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hidePivotFieldList="1" defaultThemeVersion="166925"/>
  <mc:AlternateContent xmlns:mc="http://schemas.openxmlformats.org/markup-compatibility/2006">
    <mc:Choice Requires="x15">
      <x15ac:absPath xmlns:x15ac="http://schemas.microsoft.com/office/spreadsheetml/2010/11/ac" url="https://approd-my.sharepoint.com/personal/lia16_airproducts_com/Documents/Documents/2021/202101/DASHBOARD/"/>
    </mc:Choice>
  </mc:AlternateContent>
  <xr:revisionPtr revIDLastSave="10842" documentId="13_ncr:1_{2C12FD90-66D5-4997-A2D1-5BA321BA7641}" xr6:coauthVersionLast="45" xr6:coauthVersionMax="45" xr10:uidLastSave="{A2199008-AF8D-41B7-84B7-5D13AB4F2410}"/>
  <bookViews>
    <workbookView showHorizontalScroll="0" showVerticalScroll="0" showSheetTabs="0" xWindow="-108" yWindow="-108" windowWidth="23256" windowHeight="12576" activeTab="5" autoFilterDateGrouping="0" xr2:uid="{00000000-000D-0000-FFFF-FFFF00000000}"/>
  </bookViews>
  <sheets>
    <sheet name="Production" sheetId="26" r:id="rId1"/>
    <sheet name="CW" sheetId="24" r:id="rId2"/>
    <sheet name="Spec Power" sheetId="23" r:id="rId3"/>
    <sheet name="table" sheetId="3" r:id="rId4"/>
    <sheet name="Dashboard" sheetId="18" state="hidden" r:id="rId5"/>
    <sheet name="DASHBOARD1" sheetId="29" r:id="rId6"/>
  </sheets>
  <definedNames>
    <definedName name="D">OFFSET(table!#REF!,,,7,)</definedName>
    <definedName name="DMONTH">OFFSET(table!#REF!,,,30,)</definedName>
    <definedName name="E">table!$E$6:$E$11</definedName>
    <definedName name="F">table!$F$6:$F$11</definedName>
    <definedName name="Slicer_Month">#N/A</definedName>
    <definedName name="Slicer_Year">#N/A</definedName>
  </definedNames>
  <calcPr calcId="191029" calcOnSave="0"/>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Y15" i="3" l="1"/>
  <c r="AX15" i="3"/>
  <c r="AW15" i="3"/>
  <c r="AV15" i="3"/>
  <c r="AU15" i="3"/>
  <c r="AT15" i="3"/>
  <c r="R408" i="3"/>
  <c r="P408" i="3"/>
  <c r="O408" i="3"/>
  <c r="N408" i="3"/>
  <c r="M408" i="3"/>
  <c r="L408" i="3"/>
  <c r="B408" i="3"/>
  <c r="A408" i="3"/>
  <c r="AR4" i="3" l="1"/>
  <c r="AR5" i="3"/>
  <c r="K33" i="29"/>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6"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L407" i="3"/>
  <c r="A407" i="3"/>
  <c r="B407" i="3"/>
  <c r="B406" i="3"/>
  <c r="A406" i="3"/>
  <c r="L406"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BA5" i="3" a="1"/>
  <c r="AY12" i="3" a="1"/>
  <c r="AX12" i="3" a="1"/>
  <c r="AT5" i="3" a="1"/>
  <c r="AT12" i="3" a="1"/>
  <c r="AY13" i="3" a="1"/>
  <c r="AT8" i="3" a="1"/>
  <c r="AV12" i="3" a="1"/>
  <c r="AV8" i="3" a="1"/>
  <c r="AX5" i="3" a="1"/>
  <c r="AZ5" i="3" a="1"/>
  <c r="AV5" i="3" a="1"/>
  <c r="AV8" i="3" l="1"/>
  <c r="AV12" i="3"/>
  <c r="AT8" i="3"/>
  <c r="AY13" i="3"/>
  <c r="AT12" i="3"/>
  <c r="AX12" i="3"/>
  <c r="AY12" i="3"/>
  <c r="BA5" i="3"/>
  <c r="AT18" i="3" s="1"/>
  <c r="AR6" i="3"/>
  <c r="AX5" i="3"/>
  <c r="AW5" i="3" s="1"/>
  <c r="AT5" i="3"/>
  <c r="AT17" i="3" s="1"/>
  <c r="AZ5" i="3"/>
  <c r="AY5" i="3" s="1"/>
  <c r="AV5" i="3"/>
  <c r="AV9" i="3" a="1"/>
  <c r="AT9" i="3" a="1"/>
  <c r="AT9" i="3" l="1"/>
  <c r="AV9" i="3"/>
  <c r="AW12" i="3"/>
  <c r="AV18" i="3" s="1"/>
  <c r="AX8" i="3"/>
  <c r="AS8" i="3"/>
  <c r="AV16" i="3" s="1"/>
  <c r="AV17" i="3"/>
  <c r="AU5" i="3"/>
  <c r="AU16" i="3" s="1"/>
  <c r="AU17" i="3"/>
  <c r="AS12" i="3"/>
  <c r="AX16" i="3" s="1"/>
  <c r="AX17" i="3"/>
  <c r="AY17" i="3"/>
  <c r="AU12" i="3"/>
  <c r="AY16" i="3" s="1"/>
  <c r="AV19" i="3"/>
  <c r="AU8" i="3"/>
  <c r="AW16" i="3" s="1"/>
  <c r="AW17" i="3"/>
  <c r="BB5" i="3"/>
  <c r="AS5" i="3"/>
  <c r="AT16" i="3" s="1"/>
  <c r="C39" i="29"/>
  <c r="C37" i="29"/>
  <c r="C36" i="29"/>
  <c r="BH18" i="3"/>
  <c r="BH17" i="3"/>
  <c r="BH16" i="3"/>
  <c r="BH15" i="3"/>
  <c r="BH14" i="3"/>
  <c r="BH13" i="3"/>
  <c r="BH12" i="3"/>
  <c r="BH11" i="3"/>
  <c r="BH10" i="3"/>
  <c r="BH9" i="3"/>
  <c r="F33" i="29" s="1"/>
  <c r="BH8" i="3"/>
  <c r="E33" i="29" s="1"/>
  <c r="BH7" i="3"/>
  <c r="D33" i="29" s="1"/>
  <c r="I22" i="18"/>
  <c r="K22" i="18"/>
  <c r="J22" i="18"/>
  <c r="CL6" i="3"/>
  <c r="K33" i="26"/>
  <c r="K32" i="26" s="1"/>
  <c r="K31" i="26" s="1"/>
  <c r="K30" i="26" s="1"/>
  <c r="K29" i="26" s="1"/>
  <c r="K28" i="26" s="1"/>
  <c r="K27" i="26" s="1"/>
  <c r="K26" i="26" s="1"/>
  <c r="K25" i="26" s="1"/>
  <c r="K24" i="26" s="1"/>
  <c r="K23" i="26" s="1"/>
  <c r="K22" i="26" s="1"/>
  <c r="K21" i="26" s="1"/>
  <c r="K20" i="26" s="1"/>
  <c r="K19" i="26" s="1"/>
  <c r="K18" i="26" s="1"/>
  <c r="K17" i="26" s="1"/>
  <c r="K16" i="26" s="1"/>
  <c r="K15" i="26" s="1"/>
  <c r="K14" i="26" s="1"/>
  <c r="K13" i="26" s="1"/>
  <c r="K12" i="26" s="1"/>
  <c r="K11" i="26" s="1"/>
  <c r="K10" i="26" s="1"/>
  <c r="K9" i="26" s="1"/>
  <c r="K8" i="26" s="1"/>
  <c r="K7" i="26" s="1"/>
  <c r="K6" i="26" s="1"/>
  <c r="K5" i="26" s="1"/>
  <c r="K4" i="26" s="1"/>
  <c r="M4" i="26" s="1"/>
  <c r="B405" i="3"/>
  <c r="A405" i="3"/>
  <c r="B404" i="3"/>
  <c r="A404" i="3"/>
  <c r="B403" i="3"/>
  <c r="A403" i="3"/>
  <c r="B402" i="3"/>
  <c r="A402" i="3"/>
  <c r="B401" i="3"/>
  <c r="A401" i="3"/>
  <c r="B400" i="3"/>
  <c r="A400" i="3"/>
  <c r="B399" i="3"/>
  <c r="A399" i="3"/>
  <c r="B398" i="3"/>
  <c r="A398" i="3"/>
  <c r="B397" i="3"/>
  <c r="A397" i="3"/>
  <c r="B396" i="3"/>
  <c r="A396" i="3"/>
  <c r="B395" i="3"/>
  <c r="A395" i="3"/>
  <c r="B394" i="3"/>
  <c r="A394" i="3"/>
  <c r="B393" i="3"/>
  <c r="A393" i="3"/>
  <c r="B392" i="3"/>
  <c r="A392" i="3"/>
  <c r="B391" i="3"/>
  <c r="A391" i="3"/>
  <c r="B390" i="3"/>
  <c r="A390" i="3"/>
  <c r="B389" i="3"/>
  <c r="A389" i="3"/>
  <c r="B388" i="3"/>
  <c r="A388" i="3"/>
  <c r="B387" i="3"/>
  <c r="A387" i="3"/>
  <c r="B386" i="3"/>
  <c r="A386" i="3"/>
  <c r="B385" i="3"/>
  <c r="A385" i="3"/>
  <c r="B384" i="3"/>
  <c r="A384" i="3"/>
  <c r="B383" i="3"/>
  <c r="A383" i="3"/>
  <c r="B382" i="3"/>
  <c r="A382" i="3"/>
  <c r="B381" i="3"/>
  <c r="A381" i="3"/>
  <c r="B380" i="3"/>
  <c r="A380" i="3"/>
  <c r="B379" i="3"/>
  <c r="A379" i="3"/>
  <c r="B378" i="3"/>
  <c r="A378" i="3"/>
  <c r="B377" i="3"/>
  <c r="A377" i="3"/>
  <c r="B376" i="3"/>
  <c r="A376" i="3"/>
  <c r="B375" i="3"/>
  <c r="A375" i="3"/>
  <c r="B374" i="3"/>
  <c r="A374" i="3"/>
  <c r="B373" i="3"/>
  <c r="A373" i="3"/>
  <c r="B372" i="3"/>
  <c r="A372" i="3"/>
  <c r="B371" i="3"/>
  <c r="A371" i="3"/>
  <c r="B370" i="3"/>
  <c r="A370" i="3"/>
  <c r="B369" i="3"/>
  <c r="A369" i="3"/>
  <c r="B368" i="3"/>
  <c r="A368" i="3"/>
  <c r="B367" i="3"/>
  <c r="A367" i="3"/>
  <c r="B366" i="3"/>
  <c r="A366" i="3"/>
  <c r="B365" i="3"/>
  <c r="A365" i="3"/>
  <c r="B364" i="3"/>
  <c r="A364" i="3"/>
  <c r="B363" i="3"/>
  <c r="A363" i="3"/>
  <c r="B362" i="3"/>
  <c r="A362" i="3"/>
  <c r="B361" i="3"/>
  <c r="A361" i="3"/>
  <c r="B360" i="3"/>
  <c r="A360" i="3"/>
  <c r="B359" i="3"/>
  <c r="A359" i="3"/>
  <c r="B358" i="3"/>
  <c r="A358" i="3"/>
  <c r="B357" i="3"/>
  <c r="A357" i="3"/>
  <c r="B356" i="3"/>
  <c r="A356" i="3"/>
  <c r="B355" i="3"/>
  <c r="A355" i="3"/>
  <c r="B354" i="3"/>
  <c r="A354" i="3"/>
  <c r="B353" i="3"/>
  <c r="A353" i="3"/>
  <c r="B352" i="3"/>
  <c r="A352" i="3"/>
  <c r="B351" i="3"/>
  <c r="A351" i="3"/>
  <c r="B350" i="3"/>
  <c r="A350" i="3"/>
  <c r="B349" i="3"/>
  <c r="A349" i="3"/>
  <c r="B348" i="3"/>
  <c r="A348" i="3"/>
  <c r="B347" i="3"/>
  <c r="A347" i="3"/>
  <c r="B346" i="3"/>
  <c r="A346" i="3"/>
  <c r="B345" i="3"/>
  <c r="A345" i="3"/>
  <c r="B344" i="3"/>
  <c r="A344" i="3"/>
  <c r="B343" i="3"/>
  <c r="A343" i="3"/>
  <c r="B342" i="3"/>
  <c r="A342" i="3"/>
  <c r="B341" i="3"/>
  <c r="A341" i="3"/>
  <c r="B340" i="3"/>
  <c r="A340" i="3"/>
  <c r="B339" i="3"/>
  <c r="A339" i="3"/>
  <c r="B338" i="3"/>
  <c r="A338" i="3"/>
  <c r="B337" i="3"/>
  <c r="A337" i="3"/>
  <c r="B336" i="3"/>
  <c r="A336" i="3"/>
  <c r="B335" i="3"/>
  <c r="A335" i="3"/>
  <c r="B334" i="3"/>
  <c r="A334" i="3"/>
  <c r="B333" i="3"/>
  <c r="A333" i="3"/>
  <c r="B332" i="3"/>
  <c r="A332" i="3"/>
  <c r="B331" i="3"/>
  <c r="A331" i="3"/>
  <c r="B330" i="3"/>
  <c r="A330" i="3"/>
  <c r="B329" i="3"/>
  <c r="A329" i="3"/>
  <c r="B328" i="3"/>
  <c r="A328" i="3"/>
  <c r="B327" i="3"/>
  <c r="A327" i="3"/>
  <c r="B326" i="3"/>
  <c r="A326" i="3"/>
  <c r="B325" i="3"/>
  <c r="A325" i="3"/>
  <c r="B324" i="3"/>
  <c r="A324" i="3"/>
  <c r="B323" i="3"/>
  <c r="A323" i="3"/>
  <c r="B322" i="3"/>
  <c r="A322" i="3"/>
  <c r="B321" i="3"/>
  <c r="A321" i="3"/>
  <c r="B320" i="3"/>
  <c r="A320" i="3"/>
  <c r="B319" i="3"/>
  <c r="A319" i="3"/>
  <c r="B318" i="3"/>
  <c r="A318" i="3"/>
  <c r="B317" i="3"/>
  <c r="A317" i="3"/>
  <c r="B316" i="3"/>
  <c r="A316" i="3"/>
  <c r="B315" i="3"/>
  <c r="A315" i="3"/>
  <c r="B314" i="3"/>
  <c r="A314" i="3"/>
  <c r="B313" i="3"/>
  <c r="A313" i="3"/>
  <c r="B312" i="3"/>
  <c r="A312" i="3"/>
  <c r="B311" i="3"/>
  <c r="A311" i="3"/>
  <c r="B310" i="3"/>
  <c r="A310" i="3"/>
  <c r="B309" i="3"/>
  <c r="A309" i="3"/>
  <c r="B308" i="3"/>
  <c r="A308" i="3"/>
  <c r="B307" i="3"/>
  <c r="A307" i="3"/>
  <c r="B306" i="3"/>
  <c r="A306" i="3"/>
  <c r="B305" i="3"/>
  <c r="A305" i="3"/>
  <c r="B304" i="3"/>
  <c r="A304" i="3"/>
  <c r="B303" i="3"/>
  <c r="A303" i="3"/>
  <c r="B302" i="3"/>
  <c r="A302" i="3"/>
  <c r="B301" i="3"/>
  <c r="A301" i="3"/>
  <c r="B300" i="3"/>
  <c r="A300" i="3"/>
  <c r="B299" i="3"/>
  <c r="A299" i="3"/>
  <c r="B298" i="3"/>
  <c r="A298" i="3"/>
  <c r="B297" i="3"/>
  <c r="A297" i="3"/>
  <c r="B296" i="3"/>
  <c r="A296" i="3"/>
  <c r="B295" i="3"/>
  <c r="A295" i="3"/>
  <c r="B294" i="3"/>
  <c r="A294" i="3"/>
  <c r="B293" i="3"/>
  <c r="A293" i="3"/>
  <c r="B292" i="3"/>
  <c r="A292" i="3"/>
  <c r="B291" i="3"/>
  <c r="A291" i="3"/>
  <c r="B290" i="3"/>
  <c r="A290" i="3"/>
  <c r="B289" i="3"/>
  <c r="A289" i="3"/>
  <c r="B288" i="3"/>
  <c r="A288" i="3"/>
  <c r="B287" i="3"/>
  <c r="A287" i="3"/>
  <c r="B286" i="3"/>
  <c r="A286" i="3"/>
  <c r="B285" i="3"/>
  <c r="A285" i="3"/>
  <c r="B284" i="3"/>
  <c r="A284" i="3"/>
  <c r="B283" i="3"/>
  <c r="A283" i="3"/>
  <c r="B282" i="3"/>
  <c r="A282" i="3"/>
  <c r="B281" i="3"/>
  <c r="A281" i="3"/>
  <c r="B280" i="3"/>
  <c r="A280" i="3"/>
  <c r="B279" i="3"/>
  <c r="A279" i="3"/>
  <c r="B278" i="3"/>
  <c r="A278" i="3"/>
  <c r="B277" i="3"/>
  <c r="A277" i="3"/>
  <c r="B276" i="3"/>
  <c r="A276" i="3"/>
  <c r="B275" i="3"/>
  <c r="A275" i="3"/>
  <c r="B274" i="3"/>
  <c r="A274" i="3"/>
  <c r="B273" i="3"/>
  <c r="A273" i="3"/>
  <c r="B272" i="3"/>
  <c r="A272" i="3"/>
  <c r="B271" i="3"/>
  <c r="A271" i="3"/>
  <c r="B270" i="3"/>
  <c r="A270" i="3"/>
  <c r="B269" i="3"/>
  <c r="A269" i="3"/>
  <c r="B268" i="3"/>
  <c r="A268" i="3"/>
  <c r="B267" i="3"/>
  <c r="A267" i="3"/>
  <c r="B266" i="3"/>
  <c r="A266" i="3"/>
  <c r="B265" i="3"/>
  <c r="A265" i="3"/>
  <c r="B264" i="3"/>
  <c r="A264" i="3"/>
  <c r="B263" i="3"/>
  <c r="A263" i="3"/>
  <c r="B262" i="3"/>
  <c r="A262" i="3"/>
  <c r="B261" i="3"/>
  <c r="A261" i="3"/>
  <c r="B260" i="3"/>
  <c r="A260" i="3"/>
  <c r="B259" i="3"/>
  <c r="A259" i="3"/>
  <c r="B258" i="3"/>
  <c r="A258" i="3"/>
  <c r="B257" i="3"/>
  <c r="A257" i="3"/>
  <c r="B256" i="3"/>
  <c r="A256" i="3"/>
  <c r="B255" i="3"/>
  <c r="A255" i="3"/>
  <c r="B254" i="3"/>
  <c r="A254" i="3"/>
  <c r="B253" i="3"/>
  <c r="A253" i="3"/>
  <c r="B252" i="3"/>
  <c r="A252" i="3"/>
  <c r="B251" i="3"/>
  <c r="A251" i="3"/>
  <c r="B250" i="3"/>
  <c r="A250" i="3"/>
  <c r="B249" i="3"/>
  <c r="A249" i="3"/>
  <c r="B248" i="3"/>
  <c r="A248" i="3"/>
  <c r="B247" i="3"/>
  <c r="A247" i="3"/>
  <c r="B246" i="3"/>
  <c r="A246" i="3"/>
  <c r="B245" i="3"/>
  <c r="A245" i="3"/>
  <c r="B244" i="3"/>
  <c r="A244" i="3"/>
  <c r="B243" i="3"/>
  <c r="A243" i="3"/>
  <c r="B242" i="3"/>
  <c r="A242" i="3"/>
  <c r="B241" i="3"/>
  <c r="A241" i="3"/>
  <c r="B240" i="3"/>
  <c r="A240" i="3"/>
  <c r="B239" i="3"/>
  <c r="A239" i="3"/>
  <c r="B238" i="3"/>
  <c r="A238" i="3"/>
  <c r="B237" i="3"/>
  <c r="A237" i="3"/>
  <c r="B236" i="3"/>
  <c r="A236" i="3"/>
  <c r="B235" i="3"/>
  <c r="A235" i="3"/>
  <c r="B234" i="3"/>
  <c r="A234" i="3"/>
  <c r="B233" i="3"/>
  <c r="A233" i="3"/>
  <c r="B232" i="3"/>
  <c r="A232" i="3"/>
  <c r="B231" i="3"/>
  <c r="A231" i="3"/>
  <c r="B230" i="3"/>
  <c r="A230" i="3"/>
  <c r="B229" i="3"/>
  <c r="A229" i="3"/>
  <c r="B228" i="3"/>
  <c r="A228" i="3"/>
  <c r="B227" i="3"/>
  <c r="A227" i="3"/>
  <c r="B226" i="3"/>
  <c r="A226" i="3"/>
  <c r="B225" i="3"/>
  <c r="A225" i="3"/>
  <c r="B224" i="3"/>
  <c r="A224" i="3"/>
  <c r="B223" i="3"/>
  <c r="A223" i="3"/>
  <c r="B222" i="3"/>
  <c r="A222" i="3"/>
  <c r="B221" i="3"/>
  <c r="A221" i="3"/>
  <c r="B220" i="3"/>
  <c r="A220" i="3"/>
  <c r="B219" i="3"/>
  <c r="A219" i="3"/>
  <c r="B218" i="3"/>
  <c r="A218" i="3"/>
  <c r="B217" i="3"/>
  <c r="A217" i="3"/>
  <c r="B216" i="3"/>
  <c r="A216" i="3"/>
  <c r="B215" i="3"/>
  <c r="A215" i="3"/>
  <c r="B214" i="3"/>
  <c r="A214" i="3"/>
  <c r="B213" i="3"/>
  <c r="A213" i="3"/>
  <c r="B212" i="3"/>
  <c r="A212" i="3"/>
  <c r="B211" i="3"/>
  <c r="A211" i="3"/>
  <c r="B210" i="3"/>
  <c r="A210" i="3"/>
  <c r="B209" i="3"/>
  <c r="A209" i="3"/>
  <c r="B208" i="3"/>
  <c r="A208" i="3"/>
  <c r="B207" i="3"/>
  <c r="A207" i="3"/>
  <c r="B206" i="3"/>
  <c r="A206" i="3"/>
  <c r="B205" i="3"/>
  <c r="A205" i="3"/>
  <c r="B204" i="3"/>
  <c r="A204" i="3"/>
  <c r="B203" i="3"/>
  <c r="A203" i="3"/>
  <c r="B202" i="3"/>
  <c r="A202" i="3"/>
  <c r="B201" i="3"/>
  <c r="A201" i="3"/>
  <c r="B200" i="3"/>
  <c r="A200" i="3"/>
  <c r="B199" i="3"/>
  <c r="A199" i="3"/>
  <c r="B198" i="3"/>
  <c r="A198" i="3"/>
  <c r="B197" i="3"/>
  <c r="A197" i="3"/>
  <c r="B196" i="3"/>
  <c r="A196" i="3"/>
  <c r="B195" i="3"/>
  <c r="A195" i="3"/>
  <c r="B194" i="3"/>
  <c r="A194" i="3"/>
  <c r="B193" i="3"/>
  <c r="A193" i="3"/>
  <c r="B192" i="3"/>
  <c r="A192" i="3"/>
  <c r="B191" i="3"/>
  <c r="A191" i="3"/>
  <c r="B190" i="3"/>
  <c r="A190" i="3"/>
  <c r="B189" i="3"/>
  <c r="A189" i="3"/>
  <c r="B188" i="3"/>
  <c r="A188" i="3"/>
  <c r="B187" i="3"/>
  <c r="A187" i="3"/>
  <c r="B186" i="3"/>
  <c r="A186" i="3"/>
  <c r="B185" i="3"/>
  <c r="A185" i="3"/>
  <c r="B184" i="3"/>
  <c r="A184" i="3"/>
  <c r="B183" i="3"/>
  <c r="A183" i="3"/>
  <c r="B182" i="3"/>
  <c r="A182" i="3"/>
  <c r="B181" i="3"/>
  <c r="A181" i="3"/>
  <c r="B180" i="3"/>
  <c r="A180" i="3"/>
  <c r="B179" i="3"/>
  <c r="A179" i="3"/>
  <c r="B178" i="3"/>
  <c r="A178" i="3"/>
  <c r="B177" i="3"/>
  <c r="A177" i="3"/>
  <c r="B176" i="3"/>
  <c r="A176" i="3"/>
  <c r="B175" i="3"/>
  <c r="A175" i="3"/>
  <c r="B174" i="3"/>
  <c r="A174" i="3"/>
  <c r="B173" i="3"/>
  <c r="A173" i="3"/>
  <c r="B172" i="3"/>
  <c r="A172" i="3"/>
  <c r="B171" i="3"/>
  <c r="A171" i="3"/>
  <c r="B170" i="3"/>
  <c r="A170" i="3"/>
  <c r="B169" i="3"/>
  <c r="A169" i="3"/>
  <c r="B168" i="3"/>
  <c r="A168" i="3"/>
  <c r="B167" i="3"/>
  <c r="A167" i="3"/>
  <c r="B166" i="3"/>
  <c r="A166" i="3"/>
  <c r="B165" i="3"/>
  <c r="A165" i="3"/>
  <c r="B164" i="3"/>
  <c r="A164" i="3"/>
  <c r="B163" i="3"/>
  <c r="A163" i="3"/>
  <c r="B162" i="3"/>
  <c r="A162" i="3"/>
  <c r="B161" i="3"/>
  <c r="A161" i="3"/>
  <c r="B160" i="3"/>
  <c r="A160" i="3"/>
  <c r="B159" i="3"/>
  <c r="A159" i="3"/>
  <c r="B158" i="3"/>
  <c r="A158" i="3"/>
  <c r="B157" i="3"/>
  <c r="A157" i="3"/>
  <c r="B156" i="3"/>
  <c r="A156" i="3"/>
  <c r="B155" i="3"/>
  <c r="A155" i="3"/>
  <c r="B154" i="3"/>
  <c r="A154" i="3"/>
  <c r="B153" i="3"/>
  <c r="A153" i="3"/>
  <c r="B152" i="3"/>
  <c r="A152" i="3"/>
  <c r="B151" i="3"/>
  <c r="A151" i="3"/>
  <c r="B150" i="3"/>
  <c r="A150" i="3"/>
  <c r="B149" i="3"/>
  <c r="A149" i="3"/>
  <c r="B148" i="3"/>
  <c r="A148" i="3"/>
  <c r="B147" i="3"/>
  <c r="A147" i="3"/>
  <c r="B146" i="3"/>
  <c r="A146" i="3"/>
  <c r="B145" i="3"/>
  <c r="A145" i="3"/>
  <c r="B144" i="3"/>
  <c r="A144" i="3"/>
  <c r="B143" i="3"/>
  <c r="A143" i="3"/>
  <c r="B142" i="3"/>
  <c r="A142" i="3"/>
  <c r="B141" i="3"/>
  <c r="A141" i="3"/>
  <c r="B140" i="3"/>
  <c r="A140" i="3"/>
  <c r="B139" i="3"/>
  <c r="A139" i="3"/>
  <c r="B138" i="3"/>
  <c r="A138" i="3"/>
  <c r="B137" i="3"/>
  <c r="A137" i="3"/>
  <c r="B136" i="3"/>
  <c r="A136" i="3"/>
  <c r="B135" i="3"/>
  <c r="A135" i="3"/>
  <c r="B134" i="3"/>
  <c r="A134" i="3"/>
  <c r="B133" i="3"/>
  <c r="A133" i="3"/>
  <c r="B132" i="3"/>
  <c r="A132" i="3"/>
  <c r="B131" i="3"/>
  <c r="A131" i="3"/>
  <c r="B130" i="3"/>
  <c r="A130" i="3"/>
  <c r="B129" i="3"/>
  <c r="A129" i="3"/>
  <c r="B128" i="3"/>
  <c r="A128" i="3"/>
  <c r="B127" i="3"/>
  <c r="A127" i="3"/>
  <c r="B126" i="3"/>
  <c r="A126" i="3"/>
  <c r="B125" i="3"/>
  <c r="A125" i="3"/>
  <c r="B124" i="3"/>
  <c r="A124" i="3"/>
  <c r="B123" i="3"/>
  <c r="A123" i="3"/>
  <c r="B122" i="3"/>
  <c r="A122" i="3"/>
  <c r="B121" i="3"/>
  <c r="A121" i="3"/>
  <c r="B120" i="3"/>
  <c r="A120" i="3"/>
  <c r="B119" i="3"/>
  <c r="A119" i="3"/>
  <c r="B118" i="3"/>
  <c r="A118" i="3"/>
  <c r="B117" i="3"/>
  <c r="A117" i="3"/>
  <c r="B116" i="3"/>
  <c r="A116" i="3"/>
  <c r="B115" i="3"/>
  <c r="A115" i="3"/>
  <c r="B114" i="3"/>
  <c r="A114" i="3"/>
  <c r="B113" i="3"/>
  <c r="A113" i="3"/>
  <c r="B112" i="3"/>
  <c r="A112" i="3"/>
  <c r="B111" i="3"/>
  <c r="A111" i="3"/>
  <c r="B110" i="3"/>
  <c r="A110" i="3"/>
  <c r="B109" i="3"/>
  <c r="A109" i="3"/>
  <c r="B108" i="3"/>
  <c r="A108" i="3"/>
  <c r="B107" i="3"/>
  <c r="A107" i="3"/>
  <c r="B106" i="3"/>
  <c r="A106" i="3"/>
  <c r="B105" i="3"/>
  <c r="A105" i="3"/>
  <c r="B104" i="3"/>
  <c r="A104" i="3"/>
  <c r="B103" i="3"/>
  <c r="A103" i="3"/>
  <c r="B102" i="3"/>
  <c r="A102" i="3"/>
  <c r="B101" i="3"/>
  <c r="A101" i="3"/>
  <c r="B100" i="3"/>
  <c r="A100" i="3"/>
  <c r="B99" i="3"/>
  <c r="A99" i="3"/>
  <c r="B98" i="3"/>
  <c r="A98" i="3"/>
  <c r="B97" i="3"/>
  <c r="A97" i="3"/>
  <c r="B96" i="3"/>
  <c r="A96" i="3"/>
  <c r="B95" i="3"/>
  <c r="A95" i="3"/>
  <c r="B94" i="3"/>
  <c r="A94" i="3"/>
  <c r="B93" i="3"/>
  <c r="A93" i="3"/>
  <c r="B92" i="3"/>
  <c r="A92" i="3"/>
  <c r="B91" i="3"/>
  <c r="A91" i="3"/>
  <c r="B90" i="3"/>
  <c r="A90" i="3"/>
  <c r="B89" i="3"/>
  <c r="A89" i="3"/>
  <c r="B88" i="3"/>
  <c r="A88" i="3"/>
  <c r="B87" i="3"/>
  <c r="A87" i="3"/>
  <c r="B86" i="3"/>
  <c r="A86" i="3"/>
  <c r="B85" i="3"/>
  <c r="A85" i="3"/>
  <c r="B84" i="3"/>
  <c r="A84" i="3"/>
  <c r="B83" i="3"/>
  <c r="A83" i="3"/>
  <c r="B82" i="3"/>
  <c r="A82" i="3"/>
  <c r="B81" i="3"/>
  <c r="A81" i="3"/>
  <c r="B80" i="3"/>
  <c r="A80" i="3"/>
  <c r="B79" i="3"/>
  <c r="A79" i="3"/>
  <c r="B78" i="3"/>
  <c r="A78" i="3"/>
  <c r="B77" i="3"/>
  <c r="A77" i="3"/>
  <c r="B76" i="3"/>
  <c r="A76" i="3"/>
  <c r="B75" i="3"/>
  <c r="A75" i="3"/>
  <c r="B74" i="3"/>
  <c r="A74" i="3"/>
  <c r="B73" i="3"/>
  <c r="A73" i="3"/>
  <c r="B72" i="3"/>
  <c r="A72" i="3"/>
  <c r="B71" i="3"/>
  <c r="A71" i="3"/>
  <c r="B70" i="3"/>
  <c r="A70" i="3"/>
  <c r="B69" i="3"/>
  <c r="A69" i="3"/>
  <c r="B68" i="3"/>
  <c r="A68" i="3"/>
  <c r="B67" i="3"/>
  <c r="A67" i="3"/>
  <c r="B66" i="3"/>
  <c r="A66" i="3"/>
  <c r="B65" i="3"/>
  <c r="A65" i="3"/>
  <c r="B64" i="3"/>
  <c r="A64" i="3"/>
  <c r="B63" i="3"/>
  <c r="A63" i="3"/>
  <c r="B62" i="3"/>
  <c r="A62" i="3"/>
  <c r="B61" i="3"/>
  <c r="A61" i="3"/>
  <c r="B60" i="3"/>
  <c r="A60" i="3"/>
  <c r="B59" i="3"/>
  <c r="A59" i="3"/>
  <c r="B58" i="3"/>
  <c r="A58" i="3"/>
  <c r="B57" i="3"/>
  <c r="A57" i="3"/>
  <c r="B56" i="3"/>
  <c r="A56" i="3"/>
  <c r="B55" i="3"/>
  <c r="A55" i="3"/>
  <c r="B54" i="3"/>
  <c r="A54" i="3"/>
  <c r="B53" i="3"/>
  <c r="A53" i="3"/>
  <c r="B52" i="3"/>
  <c r="A52" i="3"/>
  <c r="B51" i="3"/>
  <c r="A51" i="3"/>
  <c r="B50" i="3"/>
  <c r="A50" i="3"/>
  <c r="B49" i="3"/>
  <c r="A49" i="3"/>
  <c r="B48" i="3"/>
  <c r="A48" i="3"/>
  <c r="B47" i="3"/>
  <c r="A47" i="3"/>
  <c r="B46" i="3"/>
  <c r="A46" i="3"/>
  <c r="B45" i="3"/>
  <c r="A45" i="3"/>
  <c r="B44" i="3"/>
  <c r="A44" i="3"/>
  <c r="B43" i="3"/>
  <c r="A43" i="3"/>
  <c r="B42" i="3"/>
  <c r="A42" i="3"/>
  <c r="B41" i="3"/>
  <c r="A41" i="3"/>
  <c r="B40" i="3"/>
  <c r="A40" i="3"/>
  <c r="B39" i="3"/>
  <c r="A39" i="3"/>
  <c r="B38" i="3"/>
  <c r="A38" i="3"/>
  <c r="B37" i="3"/>
  <c r="A37" i="3"/>
  <c r="B36" i="3"/>
  <c r="A36" i="3"/>
  <c r="B35" i="3"/>
  <c r="A35" i="3"/>
  <c r="B34" i="3"/>
  <c r="A34" i="3"/>
  <c r="B33" i="3"/>
  <c r="A33" i="3"/>
  <c r="B32" i="3"/>
  <c r="A32" i="3"/>
  <c r="B31" i="3"/>
  <c r="A31" i="3"/>
  <c r="B30" i="3"/>
  <c r="A30" i="3"/>
  <c r="B29" i="3"/>
  <c r="A29" i="3"/>
  <c r="B28" i="3"/>
  <c r="A28" i="3"/>
  <c r="B27" i="3"/>
  <c r="A27" i="3"/>
  <c r="B26" i="3"/>
  <c r="A26" i="3"/>
  <c r="B25" i="3"/>
  <c r="A25" i="3"/>
  <c r="B24" i="3"/>
  <c r="A24" i="3"/>
  <c r="B23" i="3"/>
  <c r="A23" i="3"/>
  <c r="B22" i="3"/>
  <c r="A22" i="3"/>
  <c r="B21" i="3"/>
  <c r="A21" i="3"/>
  <c r="B20" i="3"/>
  <c r="A20" i="3"/>
  <c r="B19" i="3"/>
  <c r="A19" i="3"/>
  <c r="B18" i="3"/>
  <c r="A18" i="3"/>
  <c r="B17" i="3"/>
  <c r="A17" i="3"/>
  <c r="B16" i="3"/>
  <c r="A16" i="3"/>
  <c r="B15" i="3"/>
  <c r="A15" i="3"/>
  <c r="B14" i="3"/>
  <c r="A14" i="3"/>
  <c r="B13" i="3"/>
  <c r="A13" i="3"/>
  <c r="B12" i="3"/>
  <c r="A12" i="3"/>
  <c r="B11" i="3"/>
  <c r="A11" i="3"/>
  <c r="B10" i="3"/>
  <c r="A10" i="3"/>
  <c r="B9" i="3"/>
  <c r="A9" i="3"/>
  <c r="B8" i="3"/>
  <c r="A8" i="3"/>
  <c r="B7" i="3"/>
  <c r="A7" i="3"/>
  <c r="B6" i="3"/>
  <c r="A6" i="3"/>
  <c r="AW8" i="3" l="1"/>
  <c r="AU18" i="3" s="1"/>
  <c r="AU19" i="3"/>
  <c r="AT19" i="3"/>
  <c r="CL20" i="3"/>
  <c r="K35" i="29" s="1"/>
  <c r="CL19" i="3"/>
  <c r="K34" i="29" s="1"/>
  <c r="CL22" i="3"/>
  <c r="CL24" i="3"/>
  <c r="K39" i="29" s="1"/>
  <c r="CL21" i="3"/>
  <c r="K36" i="29" s="1"/>
  <c r="CL23" i="3"/>
  <c r="K38" i="29" s="1"/>
  <c r="CL14" i="3"/>
  <c r="E36" i="29" s="1"/>
  <c r="CL13" i="3"/>
  <c r="D36" i="29" s="1"/>
  <c r="CL8" i="3"/>
  <c r="E34" i="29" s="1"/>
  <c r="CL17" i="3"/>
  <c r="E38" i="29" s="1"/>
  <c r="CL16" i="3"/>
  <c r="D38" i="29" s="1"/>
  <c r="CL7" i="3"/>
  <c r="CL18" i="3"/>
  <c r="F38" i="29" s="1"/>
  <c r="CL15" i="3"/>
  <c r="F36" i="29" s="1"/>
  <c r="CL9" i="3"/>
  <c r="CK6" i="3"/>
  <c r="N28" i="26"/>
  <c r="L26" i="26"/>
  <c r="L18" i="26"/>
  <c r="M7" i="26"/>
  <c r="M23" i="26"/>
  <c r="N20" i="26"/>
  <c r="M15" i="26"/>
  <c r="N4" i="26"/>
  <c r="N12" i="26"/>
  <c r="M31" i="26"/>
  <c r="L10" i="26"/>
  <c r="N33" i="26"/>
  <c r="L31" i="26"/>
  <c r="M28" i="26"/>
  <c r="N25" i="26"/>
  <c r="L23" i="26"/>
  <c r="M20" i="26"/>
  <c r="N17" i="26"/>
  <c r="L15" i="26"/>
  <c r="M12" i="26"/>
  <c r="N9" i="26"/>
  <c r="L7" i="26"/>
  <c r="M33" i="26"/>
  <c r="N30" i="26"/>
  <c r="L28" i="26"/>
  <c r="M25" i="26"/>
  <c r="N22" i="26"/>
  <c r="L20" i="26"/>
  <c r="M17" i="26"/>
  <c r="N14" i="26"/>
  <c r="L12" i="26"/>
  <c r="M9" i="26"/>
  <c r="N6" i="26"/>
  <c r="L33" i="26"/>
  <c r="M30" i="26"/>
  <c r="N27" i="26"/>
  <c r="L25" i="26"/>
  <c r="M22" i="26"/>
  <c r="N19" i="26"/>
  <c r="L17" i="26"/>
  <c r="M14" i="26"/>
  <c r="N11" i="26"/>
  <c r="L9" i="26"/>
  <c r="M6" i="26"/>
  <c r="N32" i="26"/>
  <c r="L30" i="26"/>
  <c r="M27" i="26"/>
  <c r="N24" i="26"/>
  <c r="L22" i="26"/>
  <c r="M19" i="26"/>
  <c r="N16" i="26"/>
  <c r="L14" i="26"/>
  <c r="M11" i="26"/>
  <c r="N8" i="26"/>
  <c r="L6" i="26"/>
  <c r="M32" i="26"/>
  <c r="N29" i="26"/>
  <c r="L27" i="26"/>
  <c r="M24" i="26"/>
  <c r="N21" i="26"/>
  <c r="L19" i="26"/>
  <c r="M16" i="26"/>
  <c r="N13" i="26"/>
  <c r="L11" i="26"/>
  <c r="M8" i="26"/>
  <c r="N5" i="26"/>
  <c r="L4" i="26"/>
  <c r="L32" i="26"/>
  <c r="M29" i="26"/>
  <c r="N26" i="26"/>
  <c r="L24" i="26"/>
  <c r="M21" i="26"/>
  <c r="N18" i="26"/>
  <c r="L16" i="26"/>
  <c r="M13" i="26"/>
  <c r="N10" i="26"/>
  <c r="L8" i="26"/>
  <c r="M5" i="26"/>
  <c r="N31" i="26"/>
  <c r="L29" i="26"/>
  <c r="M26" i="26"/>
  <c r="N23" i="26"/>
  <c r="L21" i="26"/>
  <c r="M18" i="26"/>
  <c r="N15" i="26"/>
  <c r="L13" i="26"/>
  <c r="M10" i="26"/>
  <c r="N7" i="26"/>
  <c r="L5" i="26"/>
  <c r="BC5" i="3" l="1"/>
  <c r="AT20" i="3" s="1"/>
  <c r="BD5" i="3"/>
  <c r="AU20" i="3" s="1"/>
  <c r="AZ8" i="3"/>
  <c r="AW20" i="3" s="1"/>
  <c r="K37" i="29"/>
  <c r="BA12" i="3"/>
  <c r="AY20" i="3" s="1"/>
  <c r="AZ12" i="3"/>
  <c r="AX20" i="3" s="1"/>
  <c r="AY8" i="3"/>
  <c r="AV20" i="3" s="1"/>
  <c r="CK22" i="3"/>
  <c r="CK19" i="3"/>
  <c r="CK24" i="3"/>
  <c r="CK21" i="3"/>
  <c r="CK23" i="3"/>
  <c r="CK20" i="3"/>
  <c r="J23" i="18"/>
  <c r="K23" i="18"/>
  <c r="F34" i="29"/>
  <c r="I23" i="18"/>
  <c r="D34" i="29"/>
  <c r="CK8" i="3"/>
  <c r="CK18" i="3"/>
  <c r="CK17" i="3"/>
  <c r="CK14" i="3"/>
  <c r="CK16" i="3"/>
  <c r="CK7" i="3"/>
  <c r="CK13" i="3"/>
  <c r="CK15" i="3"/>
  <c r="CK9" i="3"/>
  <c r="CJ6" i="3"/>
  <c r="CJ22" i="3" l="1"/>
  <c r="CJ19" i="3"/>
  <c r="CJ24" i="3"/>
  <c r="CJ21" i="3"/>
  <c r="CJ23" i="3"/>
  <c r="CJ20" i="3"/>
  <c r="CJ16" i="3"/>
  <c r="CJ13" i="3"/>
  <c r="CJ15" i="3"/>
  <c r="CJ8" i="3"/>
  <c r="CJ7" i="3"/>
  <c r="CJ18" i="3"/>
  <c r="CJ9" i="3"/>
  <c r="CJ17" i="3"/>
  <c r="CJ14" i="3"/>
  <c r="CI6" i="3"/>
  <c r="CI19" i="3" l="1"/>
  <c r="CI24" i="3"/>
  <c r="CI21" i="3"/>
  <c r="CI23" i="3"/>
  <c r="CI20" i="3"/>
  <c r="CI22" i="3"/>
  <c r="CH6" i="3"/>
  <c r="CI13" i="3"/>
  <c r="CI9" i="3"/>
  <c r="CI7" i="3"/>
  <c r="CI18" i="3"/>
  <c r="CI16" i="3"/>
  <c r="CI15" i="3"/>
  <c r="CI17" i="3"/>
  <c r="CI14" i="3"/>
  <c r="CI8" i="3"/>
  <c r="CH24" i="3" l="1"/>
  <c r="CH23" i="3"/>
  <c r="CH21" i="3"/>
  <c r="CH20" i="3"/>
  <c r="CH22" i="3"/>
  <c r="CH19" i="3"/>
  <c r="CG6" i="3"/>
  <c r="CG18" i="3" s="1"/>
  <c r="CH7" i="3"/>
  <c r="CH18" i="3"/>
  <c r="CH17" i="3"/>
  <c r="CH13" i="3"/>
  <c r="CH15" i="3"/>
  <c r="CH9" i="3"/>
  <c r="CH14" i="3"/>
  <c r="CH8" i="3"/>
  <c r="CH16" i="3"/>
  <c r="CG15" i="3" l="1"/>
  <c r="CF6" i="3"/>
  <c r="CF22" i="3" s="1"/>
  <c r="CG16" i="3"/>
  <c r="CG13" i="3"/>
  <c r="CG7" i="3"/>
  <c r="CG8" i="3"/>
  <c r="CG17" i="3"/>
  <c r="CG14" i="3"/>
  <c r="CG9" i="3"/>
  <c r="CF23" i="3"/>
  <c r="CG21" i="3"/>
  <c r="CG23" i="3"/>
  <c r="CG20" i="3"/>
  <c r="CG19" i="3"/>
  <c r="CG22" i="3"/>
  <c r="CG24" i="3"/>
  <c r="CF14" i="3" l="1"/>
  <c r="CF17" i="3"/>
  <c r="CF18" i="3"/>
  <c r="CF7" i="3"/>
  <c r="CF13" i="3"/>
  <c r="CF9" i="3"/>
  <c r="CF19" i="3"/>
  <c r="CF15" i="3"/>
  <c r="CF8" i="3"/>
  <c r="CF16" i="3"/>
  <c r="CE6" i="3"/>
  <c r="CD6" i="3" s="1"/>
  <c r="CD24" i="3" s="1"/>
  <c r="CF20" i="3"/>
  <c r="CF21" i="3"/>
  <c r="CF24" i="3"/>
  <c r="CE7" i="3" l="1"/>
  <c r="CD14" i="3"/>
  <c r="CD21" i="3"/>
  <c r="CE8" i="3"/>
  <c r="CD18" i="3"/>
  <c r="CE21" i="3"/>
  <c r="CD22" i="3"/>
  <c r="CE15" i="3"/>
  <c r="CD7" i="3"/>
  <c r="CE19" i="3"/>
  <c r="CD20" i="3"/>
  <c r="CD9" i="3"/>
  <c r="CE13" i="3"/>
  <c r="CD15" i="3"/>
  <c r="CE24" i="3"/>
  <c r="CE14" i="3"/>
  <c r="CD16" i="3"/>
  <c r="CE20" i="3"/>
  <c r="CD19" i="3"/>
  <c r="CE9" i="3"/>
  <c r="CD13" i="3"/>
  <c r="CE23" i="3"/>
  <c r="CC6" i="3"/>
  <c r="CC24" i="3" s="1"/>
  <c r="CE16" i="3"/>
  <c r="CD8" i="3"/>
  <c r="CE22" i="3"/>
  <c r="CE18" i="3"/>
  <c r="CE17" i="3"/>
  <c r="CD17" i="3"/>
  <c r="CD23" i="3"/>
  <c r="CC22" i="3" l="1"/>
  <c r="CC15" i="3"/>
  <c r="CC7" i="3"/>
  <c r="CC20" i="3"/>
  <c r="CC14" i="3"/>
  <c r="CC23" i="3"/>
  <c r="CB6" i="3"/>
  <c r="CB24" i="3" s="1"/>
  <c r="CC21" i="3"/>
  <c r="CC13" i="3"/>
  <c r="CC16" i="3"/>
  <c r="CC18" i="3"/>
  <c r="CC19" i="3"/>
  <c r="CC17" i="3"/>
  <c r="CC8" i="3"/>
  <c r="CC9" i="3"/>
  <c r="CB19" i="3"/>
  <c r="CB15" i="3" l="1"/>
  <c r="CA6" i="3"/>
  <c r="CA24" i="3" s="1"/>
  <c r="CB13" i="3"/>
  <c r="CB8" i="3"/>
  <c r="CB22" i="3"/>
  <c r="CB17" i="3"/>
  <c r="CB16" i="3"/>
  <c r="CB9" i="3"/>
  <c r="CB18" i="3"/>
  <c r="CB7" i="3"/>
  <c r="CB21" i="3"/>
  <c r="CB23" i="3"/>
  <c r="CB20" i="3"/>
  <c r="CB14" i="3"/>
  <c r="CA19" i="3"/>
  <c r="CA23" i="3"/>
  <c r="CA22" i="3"/>
  <c r="CA13" i="3"/>
  <c r="CA16" i="3"/>
  <c r="CA7" i="3"/>
  <c r="CA15" i="3"/>
  <c r="CA17" i="3"/>
  <c r="CA14" i="3"/>
  <c r="BZ6" i="3"/>
  <c r="CA8" i="3" l="1"/>
  <c r="CA20" i="3"/>
  <c r="CA9" i="3"/>
  <c r="CA21" i="3"/>
  <c r="CA18" i="3"/>
  <c r="BZ24" i="3"/>
  <c r="BZ21" i="3"/>
  <c r="BZ23" i="3"/>
  <c r="BZ20" i="3"/>
  <c r="BZ22" i="3"/>
  <c r="BZ19" i="3"/>
  <c r="BZ7" i="3"/>
  <c r="BZ18" i="3"/>
  <c r="BZ15" i="3"/>
  <c r="BZ17" i="3"/>
  <c r="BZ16" i="3"/>
  <c r="BZ13" i="3"/>
  <c r="BZ9" i="3"/>
  <c r="BZ14" i="3"/>
  <c r="BZ8" i="3"/>
  <c r="BY6" i="3"/>
  <c r="BY21" i="3" l="1"/>
  <c r="BY20" i="3"/>
  <c r="BY23" i="3"/>
  <c r="BY22" i="3"/>
  <c r="BY19" i="3"/>
  <c r="BY24" i="3"/>
  <c r="BY15" i="3"/>
  <c r="BY14" i="3"/>
  <c r="BY7" i="3"/>
  <c r="BY9" i="3"/>
  <c r="BY18" i="3"/>
  <c r="BY17" i="3"/>
  <c r="BY8" i="3"/>
  <c r="BY16" i="3"/>
  <c r="BY13" i="3"/>
  <c r="BX6" i="3"/>
  <c r="BX23" i="3" l="1"/>
  <c r="BX20" i="3"/>
  <c r="BX22" i="3"/>
  <c r="BX19" i="3"/>
  <c r="BX24" i="3"/>
  <c r="BX21" i="3"/>
  <c r="BX9" i="3"/>
  <c r="BX15" i="3"/>
  <c r="BX17" i="3"/>
  <c r="BX8" i="3"/>
  <c r="BX7" i="3"/>
  <c r="BX14" i="3"/>
  <c r="BX16" i="3"/>
  <c r="BX13" i="3"/>
  <c r="BX18" i="3"/>
  <c r="BW6" i="3"/>
  <c r="BW23" i="3" l="1"/>
  <c r="BW20" i="3"/>
  <c r="BW22" i="3"/>
  <c r="BW19" i="3"/>
  <c r="BW24" i="3"/>
  <c r="BW21" i="3"/>
  <c r="BW17" i="3"/>
  <c r="BW15" i="3"/>
  <c r="BW14" i="3"/>
  <c r="BW16" i="3"/>
  <c r="BW9" i="3"/>
  <c r="BW8" i="3"/>
  <c r="BW13" i="3"/>
  <c r="BW7" i="3"/>
  <c r="BW18" i="3"/>
  <c r="BV6" i="3"/>
  <c r="BV20" i="3" l="1"/>
  <c r="BV22" i="3"/>
  <c r="BV24" i="3"/>
  <c r="BV21" i="3"/>
  <c r="BV23" i="3"/>
  <c r="BV19" i="3"/>
  <c r="BV14" i="3"/>
  <c r="BV13" i="3"/>
  <c r="BV8" i="3"/>
  <c r="BV17" i="3"/>
  <c r="BV16" i="3"/>
  <c r="BV7" i="3"/>
  <c r="BV18" i="3"/>
  <c r="BV15" i="3"/>
  <c r="BV9" i="3"/>
  <c r="BU6" i="3"/>
  <c r="BU22" i="3" l="1"/>
  <c r="BU24" i="3"/>
  <c r="BU19" i="3"/>
  <c r="BU21" i="3"/>
  <c r="BU23" i="3"/>
  <c r="BU20" i="3"/>
  <c r="BU8" i="3"/>
  <c r="BU7" i="3"/>
  <c r="BU18" i="3"/>
  <c r="BU17" i="3"/>
  <c r="BU14" i="3"/>
  <c r="BU16" i="3"/>
  <c r="BU13" i="3"/>
  <c r="BU15" i="3"/>
  <c r="BU9" i="3"/>
  <c r="BT6" i="3"/>
  <c r="BT22" i="3" l="1"/>
  <c r="BT21" i="3"/>
  <c r="BT19" i="3"/>
  <c r="BT24" i="3"/>
  <c r="BT20" i="3"/>
  <c r="BT23" i="3"/>
  <c r="BT16" i="3"/>
  <c r="BT14" i="3"/>
  <c r="BT13" i="3"/>
  <c r="BT15" i="3"/>
  <c r="BT8" i="3"/>
  <c r="BT7" i="3"/>
  <c r="BT18" i="3"/>
  <c r="BT9" i="3"/>
  <c r="BT17" i="3"/>
  <c r="BS6" i="3"/>
  <c r="BS19" i="3" l="1"/>
  <c r="BS24" i="3"/>
  <c r="BS21" i="3"/>
  <c r="BS23" i="3"/>
  <c r="BS20" i="3"/>
  <c r="BS22" i="3"/>
  <c r="BS13" i="3"/>
  <c r="BS9" i="3"/>
  <c r="BS7" i="3"/>
  <c r="BS18" i="3"/>
  <c r="BS16" i="3"/>
  <c r="BS15" i="3"/>
  <c r="BS17" i="3"/>
  <c r="BS14" i="3"/>
  <c r="BS8" i="3"/>
  <c r="BR6" i="3"/>
  <c r="BR24" i="3" l="1"/>
  <c r="BR21" i="3"/>
  <c r="BR20" i="3"/>
  <c r="BR22" i="3"/>
  <c r="BR23" i="3"/>
  <c r="BR19" i="3"/>
  <c r="BR7" i="3"/>
  <c r="BR18" i="3"/>
  <c r="BR17" i="3"/>
  <c r="BR16" i="3"/>
  <c r="BR13" i="3"/>
  <c r="BR15" i="3"/>
  <c r="BR9" i="3"/>
  <c r="BR14" i="3"/>
  <c r="BR8" i="3"/>
  <c r="BQ6" i="3"/>
  <c r="BQ21" i="3" l="1"/>
  <c r="BQ23" i="3"/>
  <c r="BQ19" i="3"/>
  <c r="BQ20" i="3"/>
  <c r="BQ22" i="3"/>
  <c r="BQ24" i="3"/>
  <c r="BQ15" i="3"/>
  <c r="BQ18" i="3"/>
  <c r="BQ9" i="3"/>
  <c r="BQ14" i="3"/>
  <c r="BQ17" i="3"/>
  <c r="BQ8" i="3"/>
  <c r="BQ16" i="3"/>
  <c r="BQ13" i="3"/>
  <c r="BQ7" i="3"/>
  <c r="BP6" i="3"/>
  <c r="BP23" i="3" l="1"/>
  <c r="BP20" i="3"/>
  <c r="BP22" i="3"/>
  <c r="BP24" i="3"/>
  <c r="BP19" i="3"/>
  <c r="BP21" i="3"/>
  <c r="BP9" i="3"/>
  <c r="BP8" i="3"/>
  <c r="BP17" i="3"/>
  <c r="BP18" i="3"/>
  <c r="BP15" i="3"/>
  <c r="BP14" i="3"/>
  <c r="BP16" i="3"/>
  <c r="BP13" i="3"/>
  <c r="BP7" i="3"/>
  <c r="BO6" i="3"/>
  <c r="BO23" i="3" l="1"/>
  <c r="BO22" i="3"/>
  <c r="BO20" i="3"/>
  <c r="BO19" i="3"/>
  <c r="BO21" i="3"/>
  <c r="BO24" i="3"/>
  <c r="BO17" i="3"/>
  <c r="BO16" i="3"/>
  <c r="BO9" i="3"/>
  <c r="BO14" i="3"/>
  <c r="BO8" i="3"/>
  <c r="BO13" i="3"/>
  <c r="BO7" i="3"/>
  <c r="BO18" i="3"/>
  <c r="BO15" i="3"/>
  <c r="BN6" i="3"/>
  <c r="BN20" i="3" l="1"/>
  <c r="BN22" i="3"/>
  <c r="BN19" i="3"/>
  <c r="BN24" i="3"/>
  <c r="BN21" i="3"/>
  <c r="BN23" i="3"/>
  <c r="BN14" i="3"/>
  <c r="BN17" i="3"/>
  <c r="BN8" i="3"/>
  <c r="BN13" i="3"/>
  <c r="BN16" i="3"/>
  <c r="BN9" i="3"/>
  <c r="BN7" i="3"/>
  <c r="BN18" i="3"/>
  <c r="BN15" i="3"/>
  <c r="BM6" i="3"/>
  <c r="BM24" i="3" l="1"/>
  <c r="BM22" i="3"/>
  <c r="BM19" i="3"/>
  <c r="BM21" i="3"/>
  <c r="BM23" i="3"/>
  <c r="BM20" i="3"/>
  <c r="BM8" i="3"/>
  <c r="BM16" i="3"/>
  <c r="BM7" i="3"/>
  <c r="BM18" i="3"/>
  <c r="BM17" i="3"/>
  <c r="BM14" i="3"/>
  <c r="BM13" i="3"/>
  <c r="BM15" i="3"/>
  <c r="BM9" i="3"/>
  <c r="BL6" i="3"/>
  <c r="BL22" i="3" l="1"/>
  <c r="BL19" i="3"/>
  <c r="BL24" i="3"/>
  <c r="BL23" i="3"/>
  <c r="BL20" i="3"/>
  <c r="BL21" i="3"/>
  <c r="BL16" i="3"/>
  <c r="BL15" i="3"/>
  <c r="BL13" i="3"/>
  <c r="BL7" i="3"/>
  <c r="BL18" i="3"/>
  <c r="BL8" i="3"/>
  <c r="BL9" i="3"/>
  <c r="BL17" i="3"/>
  <c r="BL14" i="3"/>
  <c r="BK6" i="3"/>
  <c r="BK19" i="3" l="1"/>
  <c r="BK24" i="3"/>
  <c r="BK21" i="3"/>
  <c r="BK23" i="3"/>
  <c r="BK20" i="3"/>
  <c r="BK22" i="3"/>
  <c r="BK13" i="3"/>
  <c r="BK16" i="3"/>
  <c r="BK7" i="3"/>
  <c r="BK18" i="3"/>
  <c r="BK9" i="3"/>
  <c r="BK15" i="3"/>
  <c r="BK17" i="3"/>
  <c r="BK14" i="3"/>
  <c r="BK8" i="3"/>
  <c r="BJ6" i="3"/>
  <c r="BJ24" i="3" l="1"/>
  <c r="BJ21" i="3"/>
  <c r="BJ20" i="3"/>
  <c r="BJ22" i="3"/>
  <c r="BJ19" i="3"/>
  <c r="BJ23" i="3"/>
  <c r="BJ7" i="3"/>
  <c r="BJ18" i="3"/>
  <c r="BJ15" i="3"/>
  <c r="BJ17" i="3"/>
  <c r="BJ13" i="3"/>
  <c r="BJ9" i="3"/>
  <c r="BJ14" i="3"/>
  <c r="BJ8" i="3"/>
  <c r="BJ16" i="3"/>
  <c r="BI6" i="3"/>
  <c r="BI21" i="3" l="1"/>
  <c r="BI20" i="3"/>
  <c r="BI19" i="3"/>
  <c r="BI24" i="3"/>
  <c r="BI23" i="3"/>
  <c r="BI22" i="3"/>
  <c r="BI9" i="3"/>
  <c r="BI8" i="3"/>
  <c r="BI17" i="3"/>
  <c r="BI7" i="3"/>
  <c r="BI16" i="3"/>
  <c r="BI18" i="3"/>
  <c r="BI15" i="3"/>
  <c r="BI14" i="3"/>
  <c r="BI1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<sst xmlns="http://schemas.openxmlformats.org/spreadsheetml/2006/main" count="219" uniqueCount="159">
  <si>
    <t>XiAn CDA</t>
  </si>
  <si>
    <t>Year</t>
  </si>
  <si>
    <t>Month</t>
  </si>
  <si>
    <t>Date</t>
  </si>
  <si>
    <t>Row Labels</t>
  </si>
  <si>
    <t>Grand Total</t>
  </si>
  <si>
    <t>GAN Spec Power
(Kwh/Nm3)</t>
  </si>
  <si>
    <t>CDA Spec power
(Kwh/Nm3)</t>
  </si>
  <si>
    <t>CW Temp.
(℃)</t>
  </si>
  <si>
    <t>TN120</t>
  </si>
  <si>
    <t>TN550 I (N2)</t>
  </si>
  <si>
    <t>TN550 I (O2)</t>
  </si>
  <si>
    <t>TN120 GAN Recovery</t>
  </si>
  <si>
    <t>TN550 I GAN Recovery</t>
  </si>
  <si>
    <t>Flowmeter C</t>
  </si>
  <si>
    <t>Flowmeter A</t>
  </si>
  <si>
    <t>Flowmeter B</t>
  </si>
  <si>
    <t xml:space="preserve"> GAN Spec Power(Kwh/Nm3)</t>
  </si>
  <si>
    <t>CDA Spec power(Kwh/Nm3)</t>
  </si>
  <si>
    <t>CW Temp / ℃</t>
  </si>
  <si>
    <t>Sum of TN120</t>
  </si>
  <si>
    <t>Sum of TN550 I (N2)</t>
  </si>
  <si>
    <t>Sum of TN550 I (O2)</t>
  </si>
  <si>
    <t>Sum of TN550 II</t>
  </si>
  <si>
    <t>Sum of L400 (Daily)</t>
  </si>
  <si>
    <t>Sum of PHG250-I</t>
  </si>
  <si>
    <t>Sum of PHG250-II</t>
  </si>
  <si>
    <t>TN550 I (N2)</t>
    <phoneticPr fontId="1" type="noConversion"/>
  </si>
  <si>
    <t>TN550 I (O2)</t>
    <phoneticPr fontId="1" type="noConversion"/>
  </si>
  <si>
    <t>Production</t>
  </si>
  <si>
    <t>Production
(Nm3/hr)</t>
  </si>
  <si>
    <t>Trend
30Days</t>
  </si>
  <si>
    <t>Spec Power
(KWh/Nm3)</t>
  </si>
  <si>
    <t>Recovery
(%)</t>
  </si>
  <si>
    <t>Venting</t>
  </si>
  <si>
    <t>XiAn All</t>
  </si>
  <si>
    <t>GAN Spec Power</t>
  </si>
  <si>
    <t>CDA Spec power</t>
  </si>
  <si>
    <t xml:space="preserve">Cooling Water Temperature </t>
  </si>
  <si>
    <t>MP GAN Flow</t>
  </si>
  <si>
    <t>Flowmeter D</t>
  </si>
  <si>
    <t>XASVD_TI9189.PV</t>
  </si>
  <si>
    <t>XATN_FIC-7801-1.PV</t>
  </si>
  <si>
    <t>XATN2_FIC-7801-1.PV</t>
  </si>
  <si>
    <t>XATN2_FIC-2030-1.PV</t>
  </si>
  <si>
    <t>XATN2_F1600_2MAC_OPT.PV</t>
  </si>
  <si>
    <t>XATN2_FI-2020.PV</t>
  </si>
  <si>
    <t>Column6</t>
  </si>
  <si>
    <t>Column7</t>
  </si>
  <si>
    <t>Column8</t>
  </si>
  <si>
    <t>Calculate</t>
  </si>
  <si>
    <t>TN550 I (O2) Recovery</t>
  </si>
  <si>
    <t>TN120 Venting</t>
  </si>
  <si>
    <t>TN550 I Venting</t>
  </si>
  <si>
    <t>TN550 I (O2) Venting</t>
  </si>
  <si>
    <t>TN120 Average Vent</t>
  </si>
  <si>
    <t xml:space="preserve">TN550 I Average Vent </t>
  </si>
  <si>
    <t>Recovery</t>
  </si>
  <si>
    <t>Customer Demand</t>
  </si>
  <si>
    <t>N2</t>
  </si>
  <si>
    <t>O2</t>
  </si>
  <si>
    <t>CDA</t>
  </si>
  <si>
    <t>Ar</t>
  </si>
  <si>
    <t>H2</t>
  </si>
  <si>
    <t>He</t>
  </si>
  <si>
    <t>M-N2</t>
  </si>
  <si>
    <t>TEN-N2</t>
  </si>
  <si>
    <t>QMAC_PLC1_7.5.PV</t>
  </si>
  <si>
    <t>Flow meter N</t>
  </si>
  <si>
    <t>XACQC_FT7816</t>
  </si>
  <si>
    <t>TEN GN2</t>
  </si>
  <si>
    <t>QMAC_PLC1_6.15.PV</t>
  </si>
  <si>
    <t>Flow meter H</t>
  </si>
  <si>
    <t>TEN-CDA</t>
  </si>
  <si>
    <t>Column9</t>
  </si>
  <si>
    <t>Column10</t>
  </si>
  <si>
    <t>Column11</t>
  </si>
  <si>
    <t>Column12</t>
  </si>
  <si>
    <t>Column13</t>
  </si>
  <si>
    <t>Column14</t>
  </si>
  <si>
    <t>M-CDA OTHER</t>
  </si>
  <si>
    <t>M-CDA PHOTO</t>
  </si>
  <si>
    <t>M-CDA IA</t>
  </si>
  <si>
    <t>TEN-CDA WWT</t>
  </si>
  <si>
    <t>XACQC_FT8473</t>
  </si>
  <si>
    <t>TEN CDA</t>
  </si>
  <si>
    <t>QMAC_PLC1_7.13.PV</t>
  </si>
  <si>
    <t>Flow meter O</t>
  </si>
  <si>
    <t>QMAC_PLC1_7.15.PV</t>
  </si>
  <si>
    <t xml:space="preserve">Flow meter S </t>
  </si>
  <si>
    <t>QMAC_PLC1_7.14.PV</t>
  </si>
  <si>
    <t>Flow meter R</t>
  </si>
  <si>
    <t>XACQC_FT8475</t>
  </si>
  <si>
    <t xml:space="preserve">TEN WWT </t>
  </si>
  <si>
    <t>QMAC_PLC1_6.11.PV</t>
  </si>
  <si>
    <t>Flow meter F</t>
  </si>
  <si>
    <t>QMAC_PLC4_6.12.PV</t>
  </si>
  <si>
    <t>Flow meter D</t>
  </si>
  <si>
    <t>QMAC_PLC1_6.7.PV</t>
  </si>
  <si>
    <t>Flow meter E</t>
  </si>
  <si>
    <t>TN120 Venting2</t>
  </si>
  <si>
    <t>TN550 I Venting2</t>
  </si>
  <si>
    <t>Venting
(%)</t>
  </si>
  <si>
    <t>XASVD_LI7241A/WT.PV</t>
  </si>
  <si>
    <t>Inventory</t>
  </si>
  <si>
    <t>XASVD_LI7241B/WT.PV</t>
  </si>
  <si>
    <t>T721B</t>
  </si>
  <si>
    <t>T721A</t>
  </si>
  <si>
    <t>T731A</t>
    <phoneticPr fontId="1" type="noConversion"/>
  </si>
  <si>
    <t>T731B</t>
  </si>
  <si>
    <t>XASVD_LIC7341A-1/WT.PV</t>
  </si>
  <si>
    <t xml:space="preserve">HP LIN Tank A Level </t>
  </si>
  <si>
    <t>Tank I Level-Weight</t>
  </si>
  <si>
    <t>XASVD_LIC7341b-1/WT.PV</t>
  </si>
  <si>
    <t xml:space="preserve">HP LIN Tank B Level </t>
  </si>
  <si>
    <t>CAL</t>
  </si>
  <si>
    <t>LIN</t>
  </si>
  <si>
    <t>Backup</t>
  </si>
  <si>
    <t>LOX</t>
  </si>
  <si>
    <t>LAR</t>
  </si>
  <si>
    <t>Consumption/
Level Different</t>
  </si>
  <si>
    <t>LIN Consumption</t>
  </si>
  <si>
    <t>Inventory (MT)</t>
  </si>
  <si>
    <t>Performance</t>
    <phoneticPr fontId="1" type="noConversion"/>
  </si>
  <si>
    <t>Customer Demand</t>
    <phoneticPr fontId="1" type="noConversion"/>
  </si>
  <si>
    <t>N2</t>
    <phoneticPr fontId="1" type="noConversion"/>
  </si>
  <si>
    <t>Ar</t>
    <phoneticPr fontId="1" type="noConversion"/>
  </si>
  <si>
    <t>H2</t>
    <phoneticPr fontId="1" type="noConversion"/>
  </si>
  <si>
    <t>He</t>
    <phoneticPr fontId="1" type="noConversion"/>
  </si>
  <si>
    <t>Performance</t>
  </si>
  <si>
    <t>Customer Demand/ (Nm3/h)</t>
  </si>
  <si>
    <t>Trend / 30Days</t>
  </si>
  <si>
    <t>Backup time</t>
  </si>
  <si>
    <t>Tank H Level-Weight</t>
  </si>
  <si>
    <t xml:space="preserve"> T721 Backup time</t>
  </si>
  <si>
    <t xml:space="preserve"> T731 Backup time</t>
  </si>
  <si>
    <t>T621</t>
  </si>
  <si>
    <t>XASVD_LI6241/WT.PV</t>
  </si>
  <si>
    <t>Tank C Level-Weight</t>
  </si>
  <si>
    <t>XASVD_LIC6341A/WT.PV</t>
  </si>
  <si>
    <t>T631</t>
  </si>
  <si>
    <t>LOX Tank Level</t>
  </si>
  <si>
    <t xml:space="preserve"> T621 Backup time</t>
  </si>
  <si>
    <t xml:space="preserve"> T631 Backup time</t>
  </si>
  <si>
    <t>T472</t>
  </si>
  <si>
    <t>XASVD_LI4741/WT.PV</t>
  </si>
  <si>
    <t>Tank D Level-Weight</t>
  </si>
  <si>
    <t>XASVD_LI4741B/WT.PV</t>
  </si>
  <si>
    <t xml:space="preserve">Tank E Level-Weight </t>
  </si>
  <si>
    <t>LAR Import</t>
  </si>
  <si>
    <t>Load/
Import (MT)</t>
  </si>
  <si>
    <t>LAR Inventory</t>
  </si>
  <si>
    <t xml:space="preserve"> T472 Backup time</t>
  </si>
  <si>
    <t>T472B</t>
  </si>
  <si>
    <t xml:space="preserve"> T472B Backup time</t>
  </si>
  <si>
    <t>%</t>
  </si>
  <si>
    <t>MT</t>
  </si>
  <si>
    <t>Backup System</t>
  </si>
  <si>
    <t>Equipments
 running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</si>
</sst>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 #,##0.00_ ;_ * \-#,##0.00_ ;_ * &quot;-&quot;??_ ;_ @_ "/>
    <numFmt numFmtId="164" formatCode="[$-409]mmm&quot;-&quot;yy;@"/>
    <numFmt numFmtId="165" formatCode="0_ "/>
    <numFmt numFmtId="166" formatCode="dd/mm/yyyy"/>
    <numFmt numFmtId="167" formatCode="0.0%"/>
  </numFmts>
  <fonts count="17" x14ac:knownFonts="1">
    <font>
      <sz val="11"/>
      <color theme="1"/>
      <name val="Calibri"/>
      <family val="2"/>
      <scheme val="minor"/>
    </font>
    <font>
      <sz val="8"/>
      <name val="Calibri"/>
      <family val="2"/>
      <scheme val="minor"/>
    </font>
    <font>
      <sz val="11"/>
      <color theme="2"/>
      <name val="Calibri"/>
      <family val="2"/>
      <scheme val="minor"/>
    </font>
    <font>
      <sz val="11"/>
      <color theme="1"/>
      <name val="Calibri"/>
      <family val="2"/>
      <scheme val="minor"/>
    </font>
    <font>
      <b/>
      <sz val="11"/>
      <color theme="1"/>
      <name val="Calibri"/>
      <family val="2"/>
      <scheme val="minor"/>
    </font>
    <font>
      <sz val="12"/>
      <name val="新細明體"/>
      <family val="1"/>
      <charset val="136"/>
    </font>
    <font>
      <b/>
      <sz val="9"/>
      <name val="Arial"/>
      <family val="2"/>
    </font>
    <font>
      <b/>
      <sz val="16"/>
      <color theme="2"/>
      <name val="Calibri"/>
      <family val="2"/>
      <scheme val="minor"/>
    </font>
    <font>
      <sz val="14"/>
      <color rgb="FFFFC000"/>
      <name val="Calibri"/>
      <family val="2"/>
      <scheme val="minor"/>
    </font>
    <font>
      <sz val="18"/>
      <color theme="2"/>
      <name val="Calibri"/>
      <family val="2"/>
      <scheme val="minor"/>
    </font>
    <font>
      <b/>
      <sz val="20"/>
      <color theme="2"/>
      <name val="Calibri"/>
      <family val="2"/>
      <scheme val="minor"/>
    </font>
    <font>
      <b/>
      <sz val="18"/>
      <color theme="5"/>
      <name val="Calibri"/>
      <family val="2"/>
      <scheme val="minor"/>
    </font>
    <font>
      <b/>
      <sz val="9"/>
      <color rgb="FFFF0000"/>
      <name val="Arial"/>
      <family val="2"/>
    </font>
    <font>
      <b/>
      <sz val="22"/>
      <color theme="4"/>
      <name val="Calibri"/>
      <family val="2"/>
      <scheme val="minor"/>
    </font>
    <font>
      <b/>
      <sz val="11"/>
      <color theme="2"/>
      <name val="Calibri"/>
      <family val="2"/>
      <scheme val="minor"/>
    </font>
    <font>
      <b/>
      <sz val="26"/>
      <color theme="4"/>
      <name val="Calibri"/>
      <family val="2"/>
      <scheme val="minor"/>
    </font>
    <font>
      <b/>
      <sz val="28"/>
      <color theme="4"/>
      <name val="Calibri"/>
      <family val="2"/>
      <scheme val="minor"/>
    </font>
  </fonts>
  <fills count="8">
    <fill>
      <patternFill patternType="none"/>
    </fill>
    <fill>
      <patternFill patternType="gray125"/>
    </fill>
    <fill>
      <patternFill patternType="solid">
        <fgColor theme="3"/>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2"/>
        <bgColor indexed="64"/>
      </patternFill>
    </fill>
    <fill>
      <patternFill patternType="solid">
        <fgColor theme="7" tint="0.79998168889431442"/>
        <bgColor indexed="64"/>
      </patternFill>
    </fill>
    <fill>
      <patternFill patternType="solid">
        <fgColor rgb="FFFFFF00"/>
        <bgColor indexed="64"/>
      </patternFill>
    </fill>
  </fills>
  <borders count="22">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rgb="FF2C4062"/>
      </left>
      <right/>
      <top style="medium">
        <color rgb="FF2C4062"/>
      </top>
      <bottom/>
      <diagonal/>
    </border>
    <border>
      <left/>
      <right/>
      <top style="medium">
        <color rgb="FF2C4062"/>
      </top>
      <bottom/>
      <diagonal/>
    </border>
    <border>
      <left/>
      <right style="medium">
        <color rgb="FF2C4062"/>
      </right>
      <top style="medium">
        <color rgb="FF2C4062"/>
      </top>
      <bottom/>
      <diagonal/>
    </border>
    <border>
      <left style="medium">
        <color rgb="FF2C4062"/>
      </left>
      <right/>
      <top/>
      <bottom/>
      <diagonal/>
    </border>
    <border>
      <left/>
      <right style="medium">
        <color rgb="FF2C4062"/>
      </right>
      <top/>
      <bottom/>
      <diagonal/>
    </border>
    <border>
      <left style="medium">
        <color rgb="FF2C4062"/>
      </left>
      <right/>
      <top/>
      <bottom style="medium">
        <color rgb="FF2C4062"/>
      </bottom>
      <diagonal/>
    </border>
    <border>
      <left/>
      <right/>
      <top/>
      <bottom style="medium">
        <color rgb="FF2C4062"/>
      </bottom>
      <diagonal/>
    </border>
    <border>
      <left/>
      <right style="medium">
        <color rgb="FF2C4062"/>
      </right>
      <top/>
      <bottom style="medium">
        <color rgb="FF2C4062"/>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s>
  <cellStyleXfs count="4">
    <xf numFmtId="0" fontId="0" fillId="0" borderId="0"/>
    <xf numFmtId="43" fontId="3" fillId="0" borderId="0" applyFont="0" applyFill="0" applyBorder="0" applyAlignment="0" applyProtection="0"/>
    <xf numFmtId="9" fontId="3" fillId="0" borderId="0" applyFont="0" applyFill="0" applyBorder="0" applyAlignment="0" applyProtection="0"/>
    <xf numFmtId="164" fontId="5" fillId="0" borderId="0"/>
  </cellStyleXfs>
  <cellXfs count="91">
    <xf numFmtId="0" fontId="0" fillId="0" borderId="0" xfId="0" applyAlignment="1">
      <alignment horizontal="center" vertical="top"/>
    </xf>
    <xf numFmtId="0" fontId="0" fillId="0" borderId="0" xfId="0" applyAlignment="1">
      <alignment horizontal="right" vertical="top"/>
    </xf>
    <xf numFmtId="0" fontId="0" fillId="0" borderId="0" xfId="0" applyAlignment="1">
      <alignment vertical="top"/>
    </xf>
    <xf numFmtId="14" fontId="0" fillId="0" borderId="0" xfId="0" applyNumberFormat="1" applyAlignment="1">
      <alignment horizontal="left" vertical="top"/>
    </xf>
    <xf numFmtId="0" fontId="0" fillId="0" borderId="0" xfId="0" pivotButton="1" applyAlignment="1">
      <alignment horizontal="center" vertical="top"/>
    </xf>
    <xf numFmtId="0" fontId="0" fillId="0" borderId="0" xfId="0" applyNumberFormat="1" applyAlignment="1">
      <alignment horizontal="center" vertical="top"/>
    </xf>
    <xf numFmtId="14" fontId="0" fillId="0" borderId="0" xfId="0" applyNumberFormat="1" applyAlignment="1">
      <alignment horizontal="center" vertical="top"/>
    </xf>
    <xf numFmtId="0" fontId="2" fillId="2" borderId="0" xfId="0" applyFont="1" applyFill="1" applyAlignment="1">
      <alignment horizontal="center" vertical="top"/>
    </xf>
    <xf numFmtId="0" fontId="0" fillId="3" borderId="1" xfId="0" applyFont="1" applyFill="1" applyBorder="1"/>
    <xf numFmtId="0" fontId="0" fillId="0" borderId="0" xfId="0"/>
    <xf numFmtId="14" fontId="0" fillId="0" borderId="0" xfId="0" applyNumberFormat="1"/>
    <xf numFmtId="0" fontId="2" fillId="2" borderId="3" xfId="0" applyFont="1" applyFill="1" applyBorder="1" applyAlignment="1">
      <alignment horizontal="center" vertical="top"/>
    </xf>
    <xf numFmtId="165" fontId="6" fillId="4" borderId="4" xfId="3" applyNumberFormat="1" applyFont="1" applyFill="1" applyBorder="1" applyAlignment="1">
      <alignment horizontal="center" vertical="center"/>
    </xf>
    <xf numFmtId="0" fontId="0" fillId="3" borderId="2" xfId="0" applyFont="1" applyFill="1" applyBorder="1"/>
    <xf numFmtId="0" fontId="7" fillId="2" borderId="3" xfId="0" applyFont="1" applyFill="1" applyBorder="1" applyAlignment="1">
      <alignment horizontal="center" vertical="top"/>
    </xf>
    <xf numFmtId="0" fontId="8" fillId="2" borderId="3" xfId="0" applyFont="1" applyFill="1" applyBorder="1" applyAlignment="1">
      <alignment horizontal="center" vertical="top"/>
    </xf>
    <xf numFmtId="0" fontId="8" fillId="2" borderId="3" xfId="0" applyFont="1" applyFill="1" applyBorder="1" applyAlignment="1">
      <alignment horizontal="center" vertical="top" wrapText="1"/>
    </xf>
    <xf numFmtId="0" fontId="0" fillId="0" borderId="0" xfId="0" applyAlignment="1">
      <alignment horizontal="center" vertical="top" wrapText="1"/>
    </xf>
    <xf numFmtId="166" fontId="0" fillId="0" borderId="0" xfId="0" applyNumberFormat="1" applyAlignment="1">
      <alignment horizontal="center" vertical="top"/>
    </xf>
    <xf numFmtId="2" fontId="0" fillId="0" borderId="0" xfId="0" applyNumberFormat="1" applyAlignment="1">
      <alignment vertical="top"/>
    </xf>
    <xf numFmtId="2" fontId="0" fillId="0" borderId="0" xfId="0" applyNumberFormat="1"/>
    <xf numFmtId="2" fontId="0" fillId="3" borderId="1" xfId="0" applyNumberFormat="1" applyFont="1" applyFill="1" applyBorder="1"/>
    <xf numFmtId="2" fontId="0" fillId="0" borderId="0" xfId="0" applyNumberFormat="1" applyAlignment="1">
      <alignment horizontal="center" vertical="top"/>
    </xf>
    <xf numFmtId="0" fontId="0" fillId="0" borderId="3" xfId="0" applyBorder="1"/>
    <xf numFmtId="0" fontId="0" fillId="0" borderId="3" xfId="0" applyBorder="1" applyAlignment="1">
      <alignment horizontal="center" vertical="top"/>
    </xf>
    <xf numFmtId="0" fontId="0" fillId="5" borderId="3" xfId="0" applyFill="1" applyBorder="1"/>
    <xf numFmtId="0" fontId="0" fillId="5" borderId="3" xfId="0" applyFill="1" applyBorder="1" applyAlignment="1">
      <alignment horizontal="center" vertical="top"/>
    </xf>
    <xf numFmtId="0" fontId="0" fillId="0" borderId="0" xfId="0" applyBorder="1"/>
    <xf numFmtId="167" fontId="0" fillId="0" borderId="0" xfId="2" applyNumberFormat="1" applyFont="1" applyAlignment="1">
      <alignment horizontal="center" vertical="top"/>
    </xf>
    <xf numFmtId="10" fontId="0" fillId="0" borderId="0" xfId="2" applyNumberFormat="1" applyFont="1" applyAlignment="1">
      <alignment vertical="top"/>
    </xf>
    <xf numFmtId="10" fontId="0" fillId="0" borderId="0" xfId="2" applyNumberFormat="1" applyFont="1" applyBorder="1"/>
    <xf numFmtId="10" fontId="0" fillId="0" borderId="0" xfId="2" applyNumberFormat="1" applyFont="1"/>
    <xf numFmtId="10" fontId="0" fillId="3" borderId="1" xfId="2" applyNumberFormat="1" applyFont="1" applyFill="1" applyBorder="1"/>
    <xf numFmtId="10" fontId="0" fillId="0" borderId="0" xfId="2" applyNumberFormat="1" applyFont="1" applyAlignment="1">
      <alignment horizontal="center" vertical="top"/>
    </xf>
    <xf numFmtId="10" fontId="4" fillId="0" borderId="0" xfId="2" applyNumberFormat="1" applyFont="1" applyBorder="1"/>
    <xf numFmtId="2" fontId="0" fillId="0" borderId="0" xfId="0" applyNumberFormat="1" applyAlignment="1">
      <alignment horizontal="right" vertical="top"/>
    </xf>
    <xf numFmtId="0" fontId="0" fillId="0" borderId="0" xfId="0" applyFill="1" applyBorder="1"/>
    <xf numFmtId="0" fontId="4" fillId="0" borderId="0" xfId="0" applyFont="1" applyAlignment="1">
      <alignment vertical="top"/>
    </xf>
    <xf numFmtId="2" fontId="4" fillId="0" borderId="0" xfId="0" applyNumberFormat="1" applyFont="1" applyAlignment="1">
      <alignment vertical="top"/>
    </xf>
    <xf numFmtId="14" fontId="0" fillId="0" borderId="0" xfId="0" applyNumberFormat="1" applyAlignment="1">
      <alignment horizontal="right" vertical="top"/>
    </xf>
    <xf numFmtId="43" fontId="0" fillId="0" borderId="0" xfId="1" applyFont="1" applyFill="1" applyBorder="1"/>
    <xf numFmtId="43" fontId="0" fillId="0" borderId="0" xfId="1" applyFont="1" applyBorder="1"/>
    <xf numFmtId="43" fontId="0" fillId="0" borderId="0" xfId="1" applyFont="1"/>
    <xf numFmtId="43" fontId="0" fillId="3" borderId="1" xfId="1" applyFont="1" applyFill="1" applyBorder="1"/>
    <xf numFmtId="0" fontId="0" fillId="0" borderId="0" xfId="0" applyNumberFormat="1"/>
    <xf numFmtId="10" fontId="0" fillId="0" borderId="0" xfId="2" applyNumberFormat="1" applyFont="1" applyAlignment="1">
      <alignment horizontal="right" vertical="top"/>
    </xf>
    <xf numFmtId="0" fontId="0" fillId="0" borderId="0" xfId="0" applyAlignment="1">
      <alignment horizontal="right" vertical="top" wrapText="1"/>
    </xf>
    <xf numFmtId="0" fontId="0" fillId="0" borderId="0" xfId="0" applyBorder="1" applyAlignment="1">
      <alignment horizontal="center" vertical="top"/>
    </xf>
    <xf numFmtId="0" fontId="9" fillId="0" borderId="0" xfId="0" applyFont="1" applyFill="1" applyBorder="1" applyAlignment="1">
      <alignment horizontal="center" vertical="top"/>
    </xf>
    <xf numFmtId="0" fontId="10" fillId="0" borderId="0" xfId="0" applyFont="1" applyFill="1" applyBorder="1" applyAlignment="1">
      <alignment horizontal="center" vertical="center"/>
    </xf>
    <xf numFmtId="0" fontId="2" fillId="0" borderId="0" xfId="0" applyFont="1" applyFill="1" applyBorder="1" applyAlignment="1">
      <alignment horizontal="center" vertical="top"/>
    </xf>
    <xf numFmtId="0" fontId="7" fillId="0" borderId="0" xfId="0" applyFont="1" applyFill="1" applyBorder="1" applyAlignment="1">
      <alignment horizontal="center" vertical="top"/>
    </xf>
    <xf numFmtId="10" fontId="10" fillId="0" borderId="0" xfId="0" applyNumberFormat="1" applyFont="1" applyFill="1" applyBorder="1" applyAlignment="1">
      <alignment horizontal="center" vertical="center"/>
    </xf>
    <xf numFmtId="0" fontId="11" fillId="0" borderId="0" xfId="0" applyFont="1" applyFill="1" applyBorder="1" applyAlignment="1">
      <alignment horizontal="center" vertical="top"/>
    </xf>
    <xf numFmtId="0" fontId="11" fillId="0" borderId="0" xfId="0" applyFont="1" applyFill="1" applyBorder="1" applyAlignment="1">
      <alignment horizontal="center" vertical="top" wrapText="1"/>
    </xf>
    <xf numFmtId="164" fontId="12" fillId="7" borderId="5" xfId="3" applyFont="1" applyFill="1" applyBorder="1" applyAlignment="1">
      <alignment horizontal="center" vertical="center" wrapText="1"/>
    </xf>
    <xf numFmtId="0" fontId="13" fillId="0" borderId="0" xfId="0" applyFont="1" applyBorder="1" applyAlignment="1">
      <alignment vertical="top"/>
    </xf>
    <xf numFmtId="1" fontId="10" fillId="0" borderId="0" xfId="0" applyNumberFormat="1" applyFont="1" applyFill="1" applyBorder="1" applyAlignment="1">
      <alignment horizontal="center" vertical="center"/>
    </xf>
    <xf numFmtId="14" fontId="11" fillId="0" borderId="0" xfId="0" applyNumberFormat="1" applyFont="1" applyFill="1" applyBorder="1" applyAlignment="1">
      <alignment horizontal="center" vertical="top"/>
    </xf>
    <xf numFmtId="0" fontId="4" fillId="0" borderId="0" xfId="0" applyFont="1" applyBorder="1" applyAlignment="1">
      <alignment horizontal="center" vertical="top"/>
    </xf>
    <xf numFmtId="0" fontId="0" fillId="5" borderId="0" xfId="0" applyFill="1" applyAlignment="1">
      <alignment horizontal="center" vertical="top" wrapText="1"/>
    </xf>
    <xf numFmtId="0" fontId="0" fillId="6" borderId="0" xfId="0" applyFill="1" applyAlignment="1">
      <alignment horizontal="center" vertical="top" wrapText="1"/>
    </xf>
    <xf numFmtId="10" fontId="0" fillId="0" borderId="0" xfId="0" applyNumberFormat="1" applyAlignment="1">
      <alignment horizontal="center" vertical="top"/>
    </xf>
    <xf numFmtId="167" fontId="0" fillId="0" borderId="0" xfId="0" applyNumberFormat="1" applyAlignment="1">
      <alignment horizontal="center" vertical="top"/>
    </xf>
    <xf numFmtId="0" fontId="0" fillId="0" borderId="9"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12" xfId="0" applyBorder="1" applyAlignment="1">
      <alignment horizontal="center" vertical="top"/>
    </xf>
    <xf numFmtId="0" fontId="0" fillId="0" borderId="13" xfId="0" applyBorder="1" applyAlignment="1">
      <alignment horizontal="center" vertical="top"/>
    </xf>
    <xf numFmtId="0" fontId="14" fillId="0" borderId="0" xfId="0" applyFont="1" applyBorder="1" applyAlignment="1">
      <alignment horizontal="center" vertical="top"/>
    </xf>
    <xf numFmtId="0" fontId="13" fillId="0" borderId="6" xfId="0" applyFont="1" applyBorder="1" applyAlignment="1">
      <alignment horizontal="center" vertical="top"/>
    </xf>
    <xf numFmtId="0" fontId="13" fillId="0" borderId="7" xfId="0" applyFont="1" applyBorder="1" applyAlignment="1">
      <alignment horizontal="center" vertical="top"/>
    </xf>
    <xf numFmtId="0" fontId="13" fillId="0" borderId="8" xfId="0" applyFont="1" applyBorder="1" applyAlignment="1">
      <alignment horizontal="center" vertical="top"/>
    </xf>
    <xf numFmtId="0" fontId="15" fillId="0" borderId="6" xfId="0" applyFont="1" applyBorder="1" applyAlignment="1">
      <alignment horizontal="center" vertical="center"/>
    </xf>
    <xf numFmtId="0" fontId="15" fillId="0" borderId="7" xfId="0" applyFont="1" applyBorder="1" applyAlignment="1">
      <alignment horizontal="center" vertical="center"/>
    </xf>
    <xf numFmtId="0" fontId="15" fillId="0" borderId="8" xfId="0" applyFont="1" applyBorder="1" applyAlignment="1">
      <alignment horizontal="center" vertical="center"/>
    </xf>
    <xf numFmtId="0" fontId="15" fillId="0" borderId="9" xfId="0" applyFont="1" applyBorder="1" applyAlignment="1">
      <alignment horizontal="center" vertical="center"/>
    </xf>
    <xf numFmtId="0" fontId="15" fillId="0" borderId="0" xfId="0" applyFont="1" applyBorder="1" applyAlignment="1">
      <alignment horizontal="center" vertical="center"/>
    </xf>
    <xf numFmtId="0" fontId="15" fillId="0" borderId="10" xfId="0" applyFont="1" applyBorder="1" applyAlignment="1">
      <alignment horizontal="center" vertical="center"/>
    </xf>
    <xf numFmtId="0" fontId="15" fillId="0" borderId="11" xfId="0" applyFont="1" applyBorder="1" applyAlignment="1">
      <alignment horizontal="center" vertical="center"/>
    </xf>
    <xf numFmtId="0" fontId="15" fillId="0" borderId="12" xfId="0" applyFont="1" applyBorder="1" applyAlignment="1">
      <alignment horizontal="center" vertical="center"/>
    </xf>
    <xf numFmtId="0" fontId="15" fillId="0" borderId="13" xfId="0" applyFont="1" applyBorder="1" applyAlignment="1">
      <alignment horizontal="center" vertical="center"/>
    </xf>
    <xf numFmtId="0" fontId="16" fillId="0" borderId="14" xfId="0" applyFont="1" applyBorder="1" applyAlignment="1">
      <alignment horizontal="center" vertical="center" wrapText="1"/>
    </xf>
    <xf numFmtId="0" fontId="16" fillId="0" borderId="15" xfId="0" applyFont="1" applyBorder="1" applyAlignment="1">
      <alignment horizontal="center" vertical="center"/>
    </xf>
    <xf numFmtId="0" fontId="16" fillId="0" borderId="16" xfId="0" applyFont="1" applyBorder="1" applyAlignment="1">
      <alignment horizontal="center" vertical="center"/>
    </xf>
    <xf numFmtId="0" fontId="16" fillId="0" borderId="17" xfId="0" applyFont="1" applyBorder="1" applyAlignment="1">
      <alignment horizontal="center" vertical="center"/>
    </xf>
    <xf numFmtId="0" fontId="16" fillId="0" borderId="0" xfId="0" applyFont="1" applyBorder="1" applyAlignment="1">
      <alignment horizontal="center" vertical="center"/>
    </xf>
    <xf numFmtId="0" fontId="16" fillId="0" borderId="18" xfId="0" applyFont="1" applyBorder="1" applyAlignment="1">
      <alignment horizontal="center" vertical="center"/>
    </xf>
    <xf numFmtId="0" fontId="16" fillId="0" borderId="19" xfId="0" applyFont="1" applyBorder="1" applyAlignment="1">
      <alignment horizontal="center" vertical="center"/>
    </xf>
    <xf numFmtId="0" fontId="16" fillId="0" borderId="20" xfId="0" applyFont="1" applyBorder="1" applyAlignment="1">
      <alignment horizontal="center" vertical="center"/>
    </xf>
    <xf numFmtId="0" fontId="16" fillId="0" borderId="21" xfId="0" applyFont="1" applyBorder="1" applyAlignment="1">
      <alignment horizontal="center" vertical="center"/>
    </xf>
  </cellXfs>
  <cellStyles count="4">
    <cellStyle name="Comma" xfId="1" builtinId="3"/>
    <cellStyle name="Normal" xfId="0" builtinId="0"/>
    <cellStyle name="Normal 2" xfId="3" xr:uid="{FD005E1A-A549-4B11-937A-9540673D9C2A}"/>
    <cellStyle name="Percent" xfId="2" builtinId="5"/>
  </cellStyles>
  <dxfs count="44">
    <dxf>
      <font>
        <b/>
        <color theme="1"/>
      </font>
      <border>
        <bottom style="thin">
          <color theme="6"/>
        </bottom>
        <vertical/>
        <horizontal/>
      </border>
    </dxf>
    <dxf>
      <font>
        <color theme="1"/>
      </font>
      <fill>
        <patternFill patternType="solid">
          <fgColor theme="7" tint="0.39994506668294322"/>
          <bgColor theme="1" tint="0.24994659260841701"/>
        </patternFill>
      </fill>
      <border>
        <left style="thin">
          <color theme="6"/>
        </left>
        <right style="thin">
          <color theme="6"/>
        </right>
        <top style="thin">
          <color theme="6"/>
        </top>
        <bottom style="thin">
          <color theme="6"/>
        </bottom>
        <vertical/>
        <horizontal/>
      </border>
    </dxf>
    <dxf>
      <font>
        <sz val="16"/>
        <color theme="0"/>
      </font>
      <fill>
        <patternFill patternType="solid">
          <bgColor theme="1"/>
        </patternFill>
      </fill>
    </dxf>
    <dxf>
      <font>
        <color theme="3" tint="-0.24994659260841701"/>
      </font>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14" formatCode="0.00%"/>
    </dxf>
    <dxf>
      <numFmt numFmtId="14" formatCode="0.00%"/>
    </dxf>
    <dxf>
      <font>
        <b val="0"/>
        <i val="0"/>
        <strike val="0"/>
        <condense val="0"/>
        <extend val="0"/>
        <outline val="0"/>
        <shadow val="0"/>
        <u val="none"/>
        <vertAlign val="baseline"/>
        <sz val="11"/>
        <color theme="1"/>
        <name val="Calibri"/>
        <family val="2"/>
        <scheme val="minor"/>
      </font>
      <numFmt numFmtId="14" formatCode="0.00%"/>
      <alignment horizontal="center" vertical="top" textRotation="0" wrapText="0" indent="0" justifyLastLine="0" shrinkToFit="0" readingOrder="0"/>
    </dxf>
    <dxf>
      <numFmt numFmtId="14" formatCode="0.00%"/>
    </dxf>
    <dxf>
      <alignment horizontal="right" vertical="top" textRotation="0" wrapText="0" indent="0" justifyLastLine="0" shrinkToFit="0" readingOrder="0"/>
    </dxf>
    <dxf>
      <numFmt numFmtId="2" formatCode="0.00"/>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alignment horizontal="right" vertical="top" textRotation="0" wrapText="0" indent="0" justifyLastLine="0" shrinkToFit="0" readingOrder="0"/>
    </dxf>
    <dxf>
      <numFmt numFmtId="19" formatCode="yyyy/m/d"/>
      <alignment horizontal="left" vertical="top" textRotation="0" wrapText="0" indent="0" justifyLastLine="0" shrinkToFit="0" readingOrder="0"/>
    </dxf>
    <dxf>
      <alignment horizontal="right" vertical="top" textRotation="0" wrapText="0" indent="0" justifyLastLine="0" shrinkToFit="0" readingOrder="0"/>
    </dxf>
    <dxf>
      <alignment horizontal="general" vertical="top" textRotation="0" wrapText="0" indent="0" justifyLastLine="0" shrinkToFit="0" readingOrder="0"/>
    </dxf>
    <dxf>
      <fill>
        <patternFill patternType="solid">
          <bgColor auto="1"/>
        </patternFill>
      </fill>
    </dxf>
    <dxf>
      <fill>
        <patternFill patternType="none">
          <bgColor auto="1"/>
        </patternFill>
      </fill>
    </dxf>
    <dxf>
      <fill>
        <patternFill>
          <bgColor theme="8" tint="0.79998168889431442"/>
        </patternFill>
      </fill>
    </dxf>
  </dxfs>
  <tableStyles count="6" defaultTableStyle="TableStyleMedium2" defaultPivotStyle="PivotStyleLight16">
    <tableStyle name="lll·1" pivot="0" table="0" count="10" xr9:uid="{246EDA7A-E3BE-48F0-B2AA-E070BABD5FD0}">
      <tableStyleElement type="wholeTable" dxfId="1"/>
      <tableStyleElement type="headerRow" dxfId="0"/>
    </tableStyle>
    <tableStyle name="Slicer Style 1" pivot="0" table="0" count="3" xr9:uid="{8D6DE1AB-0C66-4C64-81E2-F3CB207E6B9E}">
      <tableStyleElement type="headerRow" dxfId="43"/>
    </tableStyle>
    <tableStyle name="Slicer Style 2" pivot="0" table="0" count="1" xr9:uid="{8E621AB4-97B2-406D-8D6A-B24585898583}">
      <tableStyleElement type="wholeTable" dxfId="42"/>
    </tableStyle>
    <tableStyle name="Slicer Style 3" pivot="0" table="0" count="2" xr9:uid="{9A254E34-D77F-4EC3-8B56-38D37A78BE7F}">
      <tableStyleElement type="wholeTable" dxfId="41"/>
    </tableStyle>
    <tableStyle name="Slicer Style 4" pivot="0" table="0" count="1" xr9:uid="{E2D04B92-851E-4788-83C6-6115F7CD97ED}">
      <tableStyleElement type="wholeTable" dxfId="3"/>
    </tableStyle>
    <tableStyle name="xian" pivot="0" table="0" count="1" xr9:uid="{1C6851B9-B6E0-4782-94FD-209E380F2713}">
      <tableStyleElement type="wholeTable" dxfId="2"/>
    </tableStyle>
  </tableStyles>
  <colors>
    <mruColors>
      <color rgb="FFFFFFFF"/>
      <color rgb="FF2C4062"/>
      <color rgb="FF011423"/>
      <color rgb="FF0EFBFE"/>
    </mruColors>
  </colors>
  <extLst>
    <ext xmlns:x14="http://schemas.microsoft.com/office/spreadsheetml/2009/9/main" uri="{46F421CA-312F-682f-3DD2-61675219B42D}">
      <x14:dxfs count="11">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patternType="none">
              <bgColor auto="1"/>
            </patternFill>
          </fill>
        </dxf>
        <dxf>
          <fill>
            <patternFill>
              <bgColor theme="7" tint="0.79998168889431442"/>
            </patternFill>
          </fill>
        </dxf>
        <dxf>
          <fill>
            <patternFill>
              <bgColor theme="6" tint="0.79998168889431442"/>
            </patternFill>
          </fill>
        </dxf>
      </x14:dxfs>
    </ext>
    <ext xmlns:x14="http://schemas.microsoft.com/office/spreadsheetml/2009/9/main" uri="{EB79DEF2-80B8-43e5-95BD-54CBDDF9020C}">
      <x14:slicerStyles defaultSlicerStyle="SlicerStyleLight1">
        <x14:slicerStyle name="lll·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Elements>
            <x14:slicerStyleElement type="unselectedItemWithData" dxfId="10"/>
            <x14:slicerStyleElement type="selectedItemWithData" dxfId="9"/>
          </x14:slicerStyleElements>
        </x14:slicerStyle>
        <x14:slicerStyle name="Slicer Style 2"/>
        <x14:slicerStyle name="Slicer Style 3">
          <x14:slicerStyleElements>
            <x14:slicerStyleElement type="hoveredSelectedItemWithData" dxfId="8"/>
          </x14:slicerStyleElements>
        </x14:slicerStyle>
        <x14:slicerStyle name="Slicer Style 4"/>
        <x14:slicerStyle name="xian"/>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[XianSamsung1.xlsx]CW!PivotTable20</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Cooling</a:t>
            </a:r>
            <a:r>
              <a:rPr lang="en-US" baseline="0"/>
              <a:t> Water Temperature</a:t>
            </a:r>
            <a:endParaRPr lang="en-US"/>
          </a:p>
        </c:rich>
      </c:tx>
      <c:layout>
        <c:manualLayout>
          <c:xMode val="edge"/>
          <c:yMode val="edge"/>
          <c:x val="0.30723600174978127"/>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CW!$B$3</c:f>
              <c:strCache>
                <c:ptCount val="1"/>
                <c:pt idx="0">
                  <c:v>Total</c:v>
                </c:pt>
              </c:strCache>
            </c:strRef>
          </c:tx>
          <c:spPr>
            <a:ln w="28575" cap="rnd">
              <a:solidFill>
                <a:schemeClr val="accent1"/>
              </a:solidFill>
              <a:round/>
            </a:ln>
            <a:effectLst/>
          </c:spPr>
          <c:marker>
            <c:symbol val="none"/>
          </c:marker>
          <c:cat>
            <c:strRef>
              <c:f>CW!$A$4:$A$35</c:f>
              <c:strCache>
                <c:ptCount val="31"/>
                <c:pt idx="0">
                  <c:v>2021/1/1</c:v>
                </c:pt>
                <c:pt idx="1">
                  <c:v>2021/1/2</c:v>
                </c:pt>
                <c:pt idx="2">
                  <c:v>2021/1/3</c:v>
                </c:pt>
                <c:pt idx="3">
                  <c:v>2021/1/4</c:v>
                </c:pt>
                <c:pt idx="4">
                  <c:v>2021/1/5</c:v>
                </c:pt>
                <c:pt idx="5">
                  <c:v>2021/1/6</c:v>
                </c:pt>
                <c:pt idx="6">
                  <c:v>2021/1/7</c:v>
                </c:pt>
                <c:pt idx="7">
                  <c:v>2021/1/8</c:v>
                </c:pt>
                <c:pt idx="8">
                  <c:v>2021/1/9</c:v>
                </c:pt>
                <c:pt idx="9">
                  <c:v>2021/1/10</c:v>
                </c:pt>
                <c:pt idx="10">
                  <c:v>2021/1/11</c:v>
                </c:pt>
                <c:pt idx="11">
                  <c:v>2021/1/12</c:v>
                </c:pt>
                <c:pt idx="12">
                  <c:v>2021/1/13</c:v>
                </c:pt>
                <c:pt idx="13">
                  <c:v>2021/1/14</c:v>
                </c:pt>
                <c:pt idx="14">
                  <c:v>2021/1/15</c:v>
                </c:pt>
                <c:pt idx="15">
                  <c:v>2021/1/16</c:v>
                </c:pt>
                <c:pt idx="16">
                  <c:v>2021/1/17</c:v>
                </c:pt>
                <c:pt idx="17">
                  <c:v>2021/1/18</c:v>
                </c:pt>
                <c:pt idx="18">
                  <c:v>2021/1/19</c:v>
                </c:pt>
                <c:pt idx="19">
                  <c:v>2021/1/20</c:v>
                </c:pt>
                <c:pt idx="20">
                  <c:v>2021/1/21</c:v>
                </c:pt>
                <c:pt idx="21">
                  <c:v>2021/1/22</c:v>
                </c:pt>
                <c:pt idx="22">
                  <c:v>2021/1/23</c:v>
                </c:pt>
                <c:pt idx="23">
                  <c:v>2021/1/24</c:v>
                </c:pt>
                <c:pt idx="24">
                  <c:v>2021/1/25</c:v>
                </c:pt>
                <c:pt idx="25">
                  <c:v>2021/1/26</c:v>
                </c:pt>
                <c:pt idx="26">
                  <c:v>2021/1/27</c:v>
                </c:pt>
                <c:pt idx="27">
                  <c:v>2021/1/28</c:v>
                </c:pt>
                <c:pt idx="28">
                  <c:v>2021/1/29</c:v>
                </c:pt>
                <c:pt idx="29">
                  <c:v>2021/1/30</c:v>
                </c:pt>
                <c:pt idx="30">
                  <c:v>2021/1/31</c:v>
                </c:pt>
              </c:strCache>
            </c:strRef>
          </c:cat>
          <c:val>
            <c:numRef>
              <c:f>CW!$B$4:$B$35</c:f>
              <c:numCache>
                <c:formatCode>General</c:formatCode>
                <c:ptCount val="31"/>
                <c:pt idx="0">
                  <c:v>14.120783679440647</c:v>
                </c:pt>
                <c:pt idx="1">
                  <c:v>14.844815719631356</c:v>
                </c:pt>
                <c:pt idx="2">
                  <c:v>14.828254712281504</c:v>
                </c:pt>
                <c:pt idx="3">
                  <c:v>12.807401530036159</c:v>
                </c:pt>
                <c:pt idx="4">
                  <c:v>12.98477523546927</c:v>
                </c:pt>
                <c:pt idx="5">
                  <c:v>12.893324765953896</c:v>
                </c:pt>
                <c:pt idx="6">
                  <c:v>12.836806032576552</c:v>
                </c:pt>
                <c:pt idx="7">
                  <c:v>13.519954098999955</c:v>
                </c:pt>
                <c:pt idx="8">
                  <c:v>14.221789225036282</c:v>
                </c:pt>
                <c:pt idx="9">
                  <c:v>15.167929646043955</c:v>
                </c:pt>
                <c:pt idx="10">
                  <c:v>14.500132939287724</c:v>
                </c:pt>
                <c:pt idx="11">
                  <c:v>13.222168034931425</c:v>
                </c:pt>
                <c:pt idx="12">
                  <c:v>14.363689089053048</c:v>
                </c:pt>
                <c:pt idx="13">
                  <c:v>13.33244041400515</c:v>
                </c:pt>
                <c:pt idx="14">
                  <c:v>13.237997197343772</c:v>
                </c:pt>
                <c:pt idx="15">
                  <c:v>12.9931532365427</c:v>
                </c:pt>
                <c:pt idx="16">
                  <c:v>12.992537732756359</c:v>
                </c:pt>
                <c:pt idx="17">
                  <c:v>13.117191613837299</c:v>
                </c:pt>
                <c:pt idx="18">
                  <c:v>12.617754466991968</c:v>
                </c:pt>
                <c:pt idx="19">
                  <c:v>13.181691638965065</c:v>
                </c:pt>
                <c:pt idx="20">
                  <c:v>13.99187008925894</c:v>
                </c:pt>
                <c:pt idx="21">
                  <c:v>13.281581855836572</c:v>
                </c:pt>
                <c:pt idx="22">
                  <c:v>13.004362705265128</c:v>
                </c:pt>
                <c:pt idx="23">
                  <c:v>13.022980289604828</c:v>
                </c:pt>
                <c:pt idx="24">
                  <c:v>13.313094628841656</c:v>
                </c:pt>
                <c:pt idx="25">
                  <c:v>13.039982587905662</c:v>
                </c:pt>
                <c:pt idx="26">
                  <c:v>13.010154286000068</c:v>
                </c:pt>
                <c:pt idx="27">
                  <c:v>12.986461645360626</c:v>
                </c:pt>
                <c:pt idx="28">
                  <c:v>12.856187332677475</c:v>
                </c:pt>
                <c:pt idx="29">
                  <c:v>13.339514109593642</c:v>
                </c:pt>
                <c:pt idx="30">
                  <c:v>13.56280021548354</c:v>
                </c:pt>
              </c:numCache>
            </c:numRef>
          </c:val>
          <c:smooth val="0"/>
          <c:extLst>
            <c:ext xmlns:c16="http://schemas.microsoft.com/office/drawing/2014/chart" uri="{C3380CC4-5D6E-409C-BE32-E72D297353CC}">
              <c16:uniqueId val="{00000000-AE85-4A77-95A5-31C4ABF8792D}"/>
            </c:ext>
          </c:extLst>
        </c:ser>
        <c:dLbls>
          <c:showLegendKey val="0"/>
          <c:showVal val="0"/>
          <c:showCatName val="0"/>
          <c:showSerName val="0"/>
          <c:showPercent val="0"/>
          <c:showBubbleSize val="0"/>
        </c:dLbls>
        <c:smooth val="0"/>
        <c:axId val="977640840"/>
        <c:axId val="977641496"/>
      </c:lineChart>
      <c:catAx>
        <c:axId val="977640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641496"/>
        <c:crosses val="autoZero"/>
        <c:auto val="1"/>
        <c:lblAlgn val="ctr"/>
        <c:lblOffset val="100"/>
        <c:noMultiLvlLbl val="0"/>
      </c:catAx>
      <c:valAx>
        <c:axId val="977641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6408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[XianSamsung1.xlsx]Spec Power!PivotTable20</c:name>
    <c:fmtId val="7"/>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'Spec Power'!$B$3</c:f>
              <c:strCache>
                <c:ptCount val="1"/>
                <c:pt idx="0">
                  <c:v> GAN Spec Power(Kwh/Nm3)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'Spec Power'!$A$4:$A$35</c:f>
              <c:strCache>
                <c:ptCount val="31"/>
                <c:pt idx="0">
                  <c:v>2021/1/1</c:v>
                </c:pt>
                <c:pt idx="1">
                  <c:v>2021/1/2</c:v>
                </c:pt>
                <c:pt idx="2">
                  <c:v>2021/1/3</c:v>
                </c:pt>
                <c:pt idx="3">
                  <c:v>2021/1/4</c:v>
                </c:pt>
                <c:pt idx="4">
                  <c:v>2021/1/5</c:v>
                </c:pt>
                <c:pt idx="5">
                  <c:v>2021/1/6</c:v>
                </c:pt>
                <c:pt idx="6">
                  <c:v>2021/1/7</c:v>
                </c:pt>
                <c:pt idx="7">
                  <c:v>2021/1/8</c:v>
                </c:pt>
                <c:pt idx="8">
                  <c:v>2021/1/9</c:v>
                </c:pt>
                <c:pt idx="9">
                  <c:v>2021/1/10</c:v>
                </c:pt>
                <c:pt idx="10">
                  <c:v>2021/1/11</c:v>
                </c:pt>
                <c:pt idx="11">
                  <c:v>2021/1/12</c:v>
                </c:pt>
                <c:pt idx="12">
                  <c:v>2021/1/13</c:v>
                </c:pt>
                <c:pt idx="13">
                  <c:v>2021/1/14</c:v>
                </c:pt>
                <c:pt idx="14">
                  <c:v>2021/1/15</c:v>
                </c:pt>
                <c:pt idx="15">
                  <c:v>2021/1/16</c:v>
                </c:pt>
                <c:pt idx="16">
                  <c:v>2021/1/17</c:v>
                </c:pt>
                <c:pt idx="17">
                  <c:v>2021/1/18</c:v>
                </c:pt>
                <c:pt idx="18">
                  <c:v>2021/1/19</c:v>
                </c:pt>
                <c:pt idx="19">
                  <c:v>2021/1/20</c:v>
                </c:pt>
                <c:pt idx="20">
                  <c:v>2021/1/21</c:v>
                </c:pt>
                <c:pt idx="21">
                  <c:v>2021/1/22</c:v>
                </c:pt>
                <c:pt idx="22">
                  <c:v>2021/1/23</c:v>
                </c:pt>
                <c:pt idx="23">
                  <c:v>2021/1/24</c:v>
                </c:pt>
                <c:pt idx="24">
                  <c:v>2021/1/25</c:v>
                </c:pt>
                <c:pt idx="25">
                  <c:v>2021/1/26</c:v>
                </c:pt>
                <c:pt idx="26">
                  <c:v>2021/1/27</c:v>
                </c:pt>
                <c:pt idx="27">
                  <c:v>2021/1/28</c:v>
                </c:pt>
                <c:pt idx="28">
                  <c:v>2021/1/29</c:v>
                </c:pt>
                <c:pt idx="29">
                  <c:v>2021/1/30</c:v>
                </c:pt>
                <c:pt idx="30">
                  <c:v>2021/1/31</c:v>
                </c:pt>
              </c:strCache>
            </c:strRef>
          </c:cat>
          <c:val>
            <c:numRef>
              <c:f>'Spec Power'!$B$4:$B$35</c:f>
              <c:numCache>
                <c:formatCode>General</c:formatCode>
                <c:ptCount val="31"/>
                <c:pt idx="0">
                  <c:v>0.19700000000000001</c:v>
                </c:pt>
                <c:pt idx="1">
                  <c:v>0.19800000000000001</c:v>
                </c:pt>
                <c:pt idx="2">
                  <c:v>0.2</c:v>
                </c:pt>
                <c:pt idx="3">
                  <c:v>0.247</c:v>
                </c:pt>
                <c:pt idx="4">
                  <c:v>0.20899999999999999</c:v>
                </c:pt>
                <c:pt idx="5">
                  <c:v>0.21099999999999999</c:v>
                </c:pt>
                <c:pt idx="6">
                  <c:v>0.56399999999999995</c:v>
                </c:pt>
                <c:pt idx="7">
                  <c:v>0.59299999999999997</c:v>
                </c:pt>
                <c:pt idx="8">
                  <c:v>0.21099999999999999</c:v>
                </c:pt>
                <c:pt idx="9">
                  <c:v>0.21299999999999999</c:v>
                </c:pt>
                <c:pt idx="10">
                  <c:v>0.216</c:v>
                </c:pt>
                <c:pt idx="11">
                  <c:v>0.214</c:v>
                </c:pt>
                <c:pt idx="12">
                  <c:v>0.21299999999999999</c:v>
                </c:pt>
                <c:pt idx="13">
                  <c:v>0.21299999999999999</c:v>
                </c:pt>
                <c:pt idx="14">
                  <c:v>0.21</c:v>
                </c:pt>
                <c:pt idx="15">
                  <c:v>0.20599999999999999</c:v>
                </c:pt>
                <c:pt idx="16">
                  <c:v>0.20899999999999999</c:v>
                </c:pt>
                <c:pt idx="17">
                  <c:v>0.21199999999999999</c:v>
                </c:pt>
                <c:pt idx="18">
                  <c:v>0.216</c:v>
                </c:pt>
                <c:pt idx="19">
                  <c:v>0.21299999999999999</c:v>
                </c:pt>
                <c:pt idx="20">
                  <c:v>0.21199999999999999</c:v>
                </c:pt>
                <c:pt idx="21">
                  <c:v>0.21199999999999999</c:v>
                </c:pt>
                <c:pt idx="22">
                  <c:v>0.214</c:v>
                </c:pt>
                <c:pt idx="23">
                  <c:v>0.20899999999999999</c:v>
                </c:pt>
                <c:pt idx="24">
                  <c:v>0.20699999999999999</c:v>
                </c:pt>
                <c:pt idx="25">
                  <c:v>0.20300000000000001</c:v>
                </c:pt>
                <c:pt idx="26">
                  <c:v>0.19700000000000001</c:v>
                </c:pt>
                <c:pt idx="27">
                  <c:v>0.19900000000000001</c:v>
                </c:pt>
                <c:pt idx="28">
                  <c:v>0.19800000000000001</c:v>
                </c:pt>
                <c:pt idx="29">
                  <c:v>0.20499999999999999</c:v>
                </c:pt>
                <c:pt idx="30">
                  <c:v>0.19900000000000001</c:v>
                </c:pt>
              </c:numCache>
            </c:numRef>
          </c:val>
          <c:smooth val="0"/>
          <c:extLst>
            <c:ext xmlns:c16="http://schemas.microsoft.com/office/drawing/2014/chart" uri="{C3380CC4-5D6E-409C-BE32-E72D297353CC}">
              <c16:uniqueId val="{00000000-2EB9-42B9-8C5D-A2FB45B83983}"/>
            </c:ext>
          </c:extLst>
        </c:ser>
        <c:ser>
          <c:idx val="1"/>
          <c:order val="1"/>
          <c:tx>
            <c:strRef>
              <c:f>'Spec Power'!$C$3</c:f>
              <c:strCache>
                <c:ptCount val="1"/>
                <c:pt idx="0">
                  <c:v>CDA Spec power(Kwh/Nm3)</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'Spec Power'!$A$4:$A$35</c:f>
              <c:strCache>
                <c:ptCount val="31"/>
                <c:pt idx="0">
                  <c:v>2021/1/1</c:v>
                </c:pt>
                <c:pt idx="1">
                  <c:v>2021/1/2</c:v>
                </c:pt>
                <c:pt idx="2">
                  <c:v>2021/1/3</c:v>
                </c:pt>
                <c:pt idx="3">
                  <c:v>2021/1/4</c:v>
                </c:pt>
                <c:pt idx="4">
                  <c:v>2021/1/5</c:v>
                </c:pt>
                <c:pt idx="5">
                  <c:v>2021/1/6</c:v>
                </c:pt>
                <c:pt idx="6">
                  <c:v>2021/1/7</c:v>
                </c:pt>
                <c:pt idx="7">
                  <c:v>2021/1/8</c:v>
                </c:pt>
                <c:pt idx="8">
                  <c:v>2021/1/9</c:v>
                </c:pt>
                <c:pt idx="9">
                  <c:v>2021/1/10</c:v>
                </c:pt>
                <c:pt idx="10">
                  <c:v>2021/1/11</c:v>
                </c:pt>
                <c:pt idx="11">
                  <c:v>2021/1/12</c:v>
                </c:pt>
                <c:pt idx="12">
                  <c:v>2021/1/13</c:v>
                </c:pt>
                <c:pt idx="13">
                  <c:v>2021/1/14</c:v>
                </c:pt>
                <c:pt idx="14">
                  <c:v>2021/1/15</c:v>
                </c:pt>
                <c:pt idx="15">
                  <c:v>2021/1/16</c:v>
                </c:pt>
                <c:pt idx="16">
                  <c:v>2021/1/17</c:v>
                </c:pt>
                <c:pt idx="17">
                  <c:v>2021/1/18</c:v>
                </c:pt>
                <c:pt idx="18">
                  <c:v>2021/1/19</c:v>
                </c:pt>
                <c:pt idx="19">
                  <c:v>2021/1/20</c:v>
                </c:pt>
                <c:pt idx="20">
                  <c:v>2021/1/21</c:v>
                </c:pt>
                <c:pt idx="21">
                  <c:v>2021/1/22</c:v>
                </c:pt>
                <c:pt idx="22">
                  <c:v>2021/1/23</c:v>
                </c:pt>
                <c:pt idx="23">
                  <c:v>2021/1/24</c:v>
                </c:pt>
                <c:pt idx="24">
                  <c:v>2021/1/25</c:v>
                </c:pt>
                <c:pt idx="25">
                  <c:v>2021/1/26</c:v>
                </c:pt>
                <c:pt idx="26">
                  <c:v>2021/1/27</c:v>
                </c:pt>
                <c:pt idx="27">
                  <c:v>2021/1/28</c:v>
                </c:pt>
                <c:pt idx="28">
                  <c:v>2021/1/29</c:v>
                </c:pt>
                <c:pt idx="29">
                  <c:v>2021/1/30</c:v>
                </c:pt>
                <c:pt idx="30">
                  <c:v>2021/1/31</c:v>
                </c:pt>
              </c:strCache>
            </c:strRef>
          </c:cat>
          <c:val>
            <c:numRef>
              <c:f>'Spec Power'!$C$4:$C$35</c:f>
              <c:numCache>
                <c:formatCode>General</c:formatCode>
                <c:ptCount val="31"/>
                <c:pt idx="0">
                  <c:v>0.13</c:v>
                </c:pt>
                <c:pt idx="1">
                  <c:v>0.13400000000000001</c:v>
                </c:pt>
                <c:pt idx="2">
                  <c:v>0.13300000000000001</c:v>
                </c:pt>
                <c:pt idx="3">
                  <c:v>0.13400000000000001</c:v>
                </c:pt>
                <c:pt idx="4">
                  <c:v>0.13300000000000001</c:v>
                </c:pt>
                <c:pt idx="5">
                  <c:v>0.13100000000000001</c:v>
                </c:pt>
                <c:pt idx="6">
                  <c:v>0.13200000000000001</c:v>
                </c:pt>
                <c:pt idx="7">
                  <c:v>0.13</c:v>
                </c:pt>
                <c:pt idx="8">
                  <c:v>0.124</c:v>
                </c:pt>
                <c:pt idx="9">
                  <c:v>0.13200000000000001</c:v>
                </c:pt>
                <c:pt idx="10">
                  <c:v>0.13200000000000001</c:v>
                </c:pt>
                <c:pt idx="11">
                  <c:v>0.14199999999999999</c:v>
                </c:pt>
                <c:pt idx="12">
                  <c:v>0.13500000000000001</c:v>
                </c:pt>
                <c:pt idx="13">
                  <c:v>0.13700000000000001</c:v>
                </c:pt>
                <c:pt idx="14">
                  <c:v>0.123</c:v>
                </c:pt>
                <c:pt idx="15">
                  <c:v>0.13200000000000001</c:v>
                </c:pt>
                <c:pt idx="16">
                  <c:v>0.13300000000000001</c:v>
                </c:pt>
                <c:pt idx="17">
                  <c:v>0.13400000000000001</c:v>
                </c:pt>
                <c:pt idx="18">
                  <c:v>0.13200000000000001</c:v>
                </c:pt>
                <c:pt idx="19">
                  <c:v>0.13300000000000001</c:v>
                </c:pt>
                <c:pt idx="20">
                  <c:v>0.13400000000000001</c:v>
                </c:pt>
                <c:pt idx="21">
                  <c:v>0.13500000000000001</c:v>
                </c:pt>
                <c:pt idx="22">
                  <c:v>0.13300000000000001</c:v>
                </c:pt>
                <c:pt idx="23">
                  <c:v>0.13600000000000001</c:v>
                </c:pt>
                <c:pt idx="24">
                  <c:v>0.13100000000000001</c:v>
                </c:pt>
                <c:pt idx="25">
                  <c:v>0.13500000000000001</c:v>
                </c:pt>
                <c:pt idx="26">
                  <c:v>0.13600000000000001</c:v>
                </c:pt>
                <c:pt idx="27">
                  <c:v>0.13600000000000001</c:v>
                </c:pt>
                <c:pt idx="28">
                  <c:v>0.13500000000000001</c:v>
                </c:pt>
                <c:pt idx="29">
                  <c:v>0.14000000000000001</c:v>
                </c:pt>
                <c:pt idx="30">
                  <c:v>0.13700000000000001</c:v>
                </c:pt>
              </c:numCache>
            </c:numRef>
          </c:val>
          <c:smooth val="0"/>
          <c:extLst>
            <c:ext xmlns:c16="http://schemas.microsoft.com/office/drawing/2014/chart" uri="{C3380CC4-5D6E-409C-BE32-E72D297353CC}">
              <c16:uniqueId val="{00000001-2EB9-42B9-8C5D-A2FB45B83983}"/>
            </c:ext>
          </c:extLst>
        </c:ser>
        <c:dLbls>
          <c:showLegendKey val="0"/>
          <c:showVal val="0"/>
          <c:showCatName val="0"/>
          <c:showSerName val="0"/>
          <c:showPercent val="0"/>
          <c:showBubbleSize val="0"/>
        </c:dLbls>
        <c:marker val="1"/>
        <c:smooth val="0"/>
        <c:axId val="1176666904"/>
        <c:axId val="1176670184"/>
      </c:lineChart>
      <c:catAx>
        <c:axId val="1176666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670184"/>
        <c:crosses val="autoZero"/>
        <c:auto val="1"/>
        <c:lblAlgn val="ctr"/>
        <c:lblOffset val="100"/>
        <c:noMultiLvlLbl val="0"/>
      </c:catAx>
      <c:valAx>
        <c:axId val="1176670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666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[XianSamsung1.xlsx]CW!PivotTable20</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Cooling</a:t>
            </a:r>
            <a:r>
              <a:rPr lang="en-US" baseline="0"/>
              <a:t> Water Temperature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29691332275278E-2"/>
          <c:y val="0.12689640272110017"/>
          <c:w val="0.94441780735766812"/>
          <c:h val="0.54185364194702146"/>
        </c:manualLayout>
      </c:layout>
      <c:lineChart>
        <c:grouping val="stacked"/>
        <c:varyColors val="0"/>
        <c:ser>
          <c:idx val="0"/>
          <c:order val="0"/>
          <c:tx>
            <c:strRef>
              <c:f>CW!$B$3</c:f>
              <c:strCache>
                <c:ptCount val="1"/>
                <c:pt idx="0">
                  <c:v>Total</c:v>
                </c:pt>
              </c:strCache>
            </c:strRef>
          </c:tx>
          <c:spPr>
            <a:ln w="28575" cap="rnd">
              <a:solidFill>
                <a:schemeClr val="accent1"/>
              </a:solidFill>
              <a:round/>
            </a:ln>
            <a:effectLst/>
          </c:spPr>
          <c:marker>
            <c:symbol val="none"/>
          </c:marker>
          <c:cat>
            <c:strRef>
              <c:f>CW!$A$4:$A$35</c:f>
              <c:strCache>
                <c:ptCount val="31"/>
                <c:pt idx="0">
                  <c:v>2021/1/1</c:v>
                </c:pt>
                <c:pt idx="1">
                  <c:v>2021/1/2</c:v>
                </c:pt>
                <c:pt idx="2">
                  <c:v>2021/1/3</c:v>
                </c:pt>
                <c:pt idx="3">
                  <c:v>2021/1/4</c:v>
                </c:pt>
                <c:pt idx="4">
                  <c:v>2021/1/5</c:v>
                </c:pt>
                <c:pt idx="5">
                  <c:v>2021/1/6</c:v>
                </c:pt>
                <c:pt idx="6">
                  <c:v>2021/1/7</c:v>
                </c:pt>
                <c:pt idx="7">
                  <c:v>2021/1/8</c:v>
                </c:pt>
                <c:pt idx="8">
                  <c:v>2021/1/9</c:v>
                </c:pt>
                <c:pt idx="9">
                  <c:v>2021/1/10</c:v>
                </c:pt>
                <c:pt idx="10">
                  <c:v>2021/1/11</c:v>
                </c:pt>
                <c:pt idx="11">
                  <c:v>2021/1/12</c:v>
                </c:pt>
                <c:pt idx="12">
                  <c:v>2021/1/13</c:v>
                </c:pt>
                <c:pt idx="13">
                  <c:v>2021/1/14</c:v>
                </c:pt>
                <c:pt idx="14">
                  <c:v>2021/1/15</c:v>
                </c:pt>
                <c:pt idx="15">
                  <c:v>2021/1/16</c:v>
                </c:pt>
                <c:pt idx="16">
                  <c:v>2021/1/17</c:v>
                </c:pt>
                <c:pt idx="17">
                  <c:v>2021/1/18</c:v>
                </c:pt>
                <c:pt idx="18">
                  <c:v>2021/1/19</c:v>
                </c:pt>
                <c:pt idx="19">
                  <c:v>2021/1/20</c:v>
                </c:pt>
                <c:pt idx="20">
                  <c:v>2021/1/21</c:v>
                </c:pt>
                <c:pt idx="21">
                  <c:v>2021/1/22</c:v>
                </c:pt>
                <c:pt idx="22">
                  <c:v>2021/1/23</c:v>
                </c:pt>
                <c:pt idx="23">
                  <c:v>2021/1/24</c:v>
                </c:pt>
                <c:pt idx="24">
                  <c:v>2021/1/25</c:v>
                </c:pt>
                <c:pt idx="25">
                  <c:v>2021/1/26</c:v>
                </c:pt>
                <c:pt idx="26">
                  <c:v>2021/1/27</c:v>
                </c:pt>
                <c:pt idx="27">
                  <c:v>2021/1/28</c:v>
                </c:pt>
                <c:pt idx="28">
                  <c:v>2021/1/29</c:v>
                </c:pt>
                <c:pt idx="29">
                  <c:v>2021/1/30</c:v>
                </c:pt>
                <c:pt idx="30">
                  <c:v>2021/1/31</c:v>
                </c:pt>
              </c:strCache>
            </c:strRef>
          </c:cat>
          <c:val>
            <c:numRef>
              <c:f>CW!$B$4:$B$35</c:f>
              <c:numCache>
                <c:formatCode>General</c:formatCode>
                <c:ptCount val="31"/>
                <c:pt idx="0">
                  <c:v>14.120783679440647</c:v>
                </c:pt>
                <c:pt idx="1">
                  <c:v>14.844815719631356</c:v>
                </c:pt>
                <c:pt idx="2">
                  <c:v>14.828254712281504</c:v>
                </c:pt>
                <c:pt idx="3">
                  <c:v>12.807401530036159</c:v>
                </c:pt>
                <c:pt idx="4">
                  <c:v>12.98477523546927</c:v>
                </c:pt>
                <c:pt idx="5">
                  <c:v>12.893324765953896</c:v>
                </c:pt>
                <c:pt idx="6">
                  <c:v>12.836806032576552</c:v>
                </c:pt>
                <c:pt idx="7">
                  <c:v>13.519954098999955</c:v>
                </c:pt>
                <c:pt idx="8">
                  <c:v>14.221789225036282</c:v>
                </c:pt>
                <c:pt idx="9">
                  <c:v>15.167929646043955</c:v>
                </c:pt>
                <c:pt idx="10">
                  <c:v>14.500132939287724</c:v>
                </c:pt>
                <c:pt idx="11">
                  <c:v>13.222168034931425</c:v>
                </c:pt>
                <c:pt idx="12">
                  <c:v>14.363689089053048</c:v>
                </c:pt>
                <c:pt idx="13">
                  <c:v>13.33244041400515</c:v>
                </c:pt>
                <c:pt idx="14">
                  <c:v>13.237997197343772</c:v>
                </c:pt>
                <c:pt idx="15">
                  <c:v>12.9931532365427</c:v>
                </c:pt>
                <c:pt idx="16">
                  <c:v>12.992537732756359</c:v>
                </c:pt>
                <c:pt idx="17">
                  <c:v>13.117191613837299</c:v>
                </c:pt>
                <c:pt idx="18">
                  <c:v>12.617754466991968</c:v>
                </c:pt>
                <c:pt idx="19">
                  <c:v>13.181691638965065</c:v>
                </c:pt>
                <c:pt idx="20">
                  <c:v>13.99187008925894</c:v>
                </c:pt>
                <c:pt idx="21">
                  <c:v>13.281581855836572</c:v>
                </c:pt>
                <c:pt idx="22">
                  <c:v>13.004362705265128</c:v>
                </c:pt>
                <c:pt idx="23">
                  <c:v>13.022980289604828</c:v>
                </c:pt>
                <c:pt idx="24">
                  <c:v>13.313094628841656</c:v>
                </c:pt>
                <c:pt idx="25">
                  <c:v>13.039982587905662</c:v>
                </c:pt>
                <c:pt idx="26">
                  <c:v>13.010154286000068</c:v>
                </c:pt>
                <c:pt idx="27">
                  <c:v>12.986461645360626</c:v>
                </c:pt>
                <c:pt idx="28">
                  <c:v>12.856187332677475</c:v>
                </c:pt>
                <c:pt idx="29">
                  <c:v>13.339514109593642</c:v>
                </c:pt>
                <c:pt idx="30">
                  <c:v>13.56280021548354</c:v>
                </c:pt>
              </c:numCache>
            </c:numRef>
          </c:val>
          <c:smooth val="0"/>
          <c:extLst>
            <c:ext xmlns:c16="http://schemas.microsoft.com/office/drawing/2014/chart" uri="{C3380CC4-5D6E-409C-BE32-E72D297353CC}">
              <c16:uniqueId val="{00000000-DF42-4E7F-BE7E-58CEF263C4AE}"/>
            </c:ext>
          </c:extLst>
        </c:ser>
        <c:dLbls>
          <c:showLegendKey val="0"/>
          <c:showVal val="0"/>
          <c:showCatName val="0"/>
          <c:showSerName val="0"/>
          <c:showPercent val="0"/>
          <c:showBubbleSize val="0"/>
        </c:dLbls>
        <c:smooth val="0"/>
        <c:axId val="977640840"/>
        <c:axId val="977641496"/>
      </c:lineChart>
      <c:catAx>
        <c:axId val="977640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977641496"/>
        <c:crosses val="autoZero"/>
        <c:auto val="1"/>
        <c:lblAlgn val="ctr"/>
        <c:lblOffset val="100"/>
        <c:noMultiLvlLbl val="0"/>
      </c:catAx>
      <c:valAx>
        <c:axId val="977641496"/>
        <c:scaling>
          <c:orientation val="minMax"/>
          <c:min val="8"/>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endParaRPr lang="en-US"/>
          </a:p>
        </c:txPr>
        <c:crossAx val="9776408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2C4062"/>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[XianSamsung1.xlsx]Spec Power!PivotTable20</c:name>
    <c:fmtId val="17"/>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034708647993082E-2"/>
          <c:y val="0.1043879246484218"/>
          <c:w val="0.91881291623544659"/>
          <c:h val="0.50475981163707717"/>
        </c:manualLayout>
      </c:layout>
      <c:lineChart>
        <c:grouping val="standard"/>
        <c:varyColors val="0"/>
        <c:ser>
          <c:idx val="1"/>
          <c:order val="1"/>
          <c:tx>
            <c:strRef>
              <c:f>'Spec Power'!$C$3</c:f>
              <c:strCache>
                <c:ptCount val="1"/>
                <c:pt idx="0">
                  <c:v>CDA Spec power(Kwh/Nm3)</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'Spec Power'!$A$4:$A$35</c:f>
              <c:strCache>
                <c:ptCount val="31"/>
                <c:pt idx="0">
                  <c:v>2021/1/1</c:v>
                </c:pt>
                <c:pt idx="1">
                  <c:v>2021/1/2</c:v>
                </c:pt>
                <c:pt idx="2">
                  <c:v>2021/1/3</c:v>
                </c:pt>
                <c:pt idx="3">
                  <c:v>2021/1/4</c:v>
                </c:pt>
                <c:pt idx="4">
                  <c:v>2021/1/5</c:v>
                </c:pt>
                <c:pt idx="5">
                  <c:v>2021/1/6</c:v>
                </c:pt>
                <c:pt idx="6">
                  <c:v>2021/1/7</c:v>
                </c:pt>
                <c:pt idx="7">
                  <c:v>2021/1/8</c:v>
                </c:pt>
                <c:pt idx="8">
                  <c:v>2021/1/9</c:v>
                </c:pt>
                <c:pt idx="9">
                  <c:v>2021/1/10</c:v>
                </c:pt>
                <c:pt idx="10">
                  <c:v>2021/1/11</c:v>
                </c:pt>
                <c:pt idx="11">
                  <c:v>2021/1/12</c:v>
                </c:pt>
                <c:pt idx="12">
                  <c:v>2021/1/13</c:v>
                </c:pt>
                <c:pt idx="13">
                  <c:v>2021/1/14</c:v>
                </c:pt>
                <c:pt idx="14">
                  <c:v>2021/1/15</c:v>
                </c:pt>
                <c:pt idx="15">
                  <c:v>2021/1/16</c:v>
                </c:pt>
                <c:pt idx="16">
                  <c:v>2021/1/17</c:v>
                </c:pt>
                <c:pt idx="17">
                  <c:v>2021/1/18</c:v>
                </c:pt>
                <c:pt idx="18">
                  <c:v>2021/1/19</c:v>
                </c:pt>
                <c:pt idx="19">
                  <c:v>2021/1/20</c:v>
                </c:pt>
                <c:pt idx="20">
                  <c:v>2021/1/21</c:v>
                </c:pt>
                <c:pt idx="21">
                  <c:v>2021/1/22</c:v>
                </c:pt>
                <c:pt idx="22">
                  <c:v>2021/1/23</c:v>
                </c:pt>
                <c:pt idx="23">
                  <c:v>2021/1/24</c:v>
                </c:pt>
                <c:pt idx="24">
                  <c:v>2021/1/25</c:v>
                </c:pt>
                <c:pt idx="25">
                  <c:v>2021/1/26</c:v>
                </c:pt>
                <c:pt idx="26">
                  <c:v>2021/1/27</c:v>
                </c:pt>
                <c:pt idx="27">
                  <c:v>2021/1/28</c:v>
                </c:pt>
                <c:pt idx="28">
                  <c:v>2021/1/29</c:v>
                </c:pt>
                <c:pt idx="29">
                  <c:v>2021/1/30</c:v>
                </c:pt>
                <c:pt idx="30">
                  <c:v>2021/1/31</c:v>
                </c:pt>
              </c:strCache>
            </c:strRef>
          </c:cat>
          <c:val>
            <c:numRef>
              <c:f>'Spec Power'!$C$4:$C$35</c:f>
              <c:numCache>
                <c:formatCode>General</c:formatCode>
                <c:ptCount val="31"/>
                <c:pt idx="0">
                  <c:v>0.13</c:v>
                </c:pt>
                <c:pt idx="1">
                  <c:v>0.13400000000000001</c:v>
                </c:pt>
                <c:pt idx="2">
                  <c:v>0.13300000000000001</c:v>
                </c:pt>
                <c:pt idx="3">
                  <c:v>0.13400000000000001</c:v>
                </c:pt>
                <c:pt idx="4">
                  <c:v>0.13300000000000001</c:v>
                </c:pt>
                <c:pt idx="5">
                  <c:v>0.13100000000000001</c:v>
                </c:pt>
                <c:pt idx="6">
                  <c:v>0.13200000000000001</c:v>
                </c:pt>
                <c:pt idx="7">
                  <c:v>0.13</c:v>
                </c:pt>
                <c:pt idx="8">
                  <c:v>0.124</c:v>
                </c:pt>
                <c:pt idx="9">
                  <c:v>0.13200000000000001</c:v>
                </c:pt>
                <c:pt idx="10">
                  <c:v>0.13200000000000001</c:v>
                </c:pt>
                <c:pt idx="11">
                  <c:v>0.14199999999999999</c:v>
                </c:pt>
                <c:pt idx="12">
                  <c:v>0.13500000000000001</c:v>
                </c:pt>
                <c:pt idx="13">
                  <c:v>0.13700000000000001</c:v>
                </c:pt>
                <c:pt idx="14">
                  <c:v>0.123</c:v>
                </c:pt>
                <c:pt idx="15">
                  <c:v>0.13200000000000001</c:v>
                </c:pt>
                <c:pt idx="16">
                  <c:v>0.13300000000000001</c:v>
                </c:pt>
                <c:pt idx="17">
                  <c:v>0.13400000000000001</c:v>
                </c:pt>
                <c:pt idx="18">
                  <c:v>0.13200000000000001</c:v>
                </c:pt>
                <c:pt idx="19">
                  <c:v>0.13300000000000001</c:v>
                </c:pt>
                <c:pt idx="20">
                  <c:v>0.13400000000000001</c:v>
                </c:pt>
                <c:pt idx="21">
                  <c:v>0.13500000000000001</c:v>
                </c:pt>
                <c:pt idx="22">
                  <c:v>0.13300000000000001</c:v>
                </c:pt>
                <c:pt idx="23">
                  <c:v>0.13600000000000001</c:v>
                </c:pt>
                <c:pt idx="24">
                  <c:v>0.13100000000000001</c:v>
                </c:pt>
                <c:pt idx="25">
                  <c:v>0.13500000000000001</c:v>
                </c:pt>
                <c:pt idx="26">
                  <c:v>0.13600000000000001</c:v>
                </c:pt>
                <c:pt idx="27">
                  <c:v>0.13600000000000001</c:v>
                </c:pt>
                <c:pt idx="28">
                  <c:v>0.13500000000000001</c:v>
                </c:pt>
                <c:pt idx="29">
                  <c:v>0.14000000000000001</c:v>
                </c:pt>
                <c:pt idx="30">
                  <c:v>0.13700000000000001</c:v>
                </c:pt>
              </c:numCache>
            </c:numRef>
          </c:val>
          <c:smooth val="0"/>
          <c:extLst>
            <c:ext xmlns:c16="http://schemas.microsoft.com/office/drawing/2014/chart" uri="{C3380CC4-5D6E-409C-BE32-E72D297353CC}">
              <c16:uniqueId val="{00000001-4EF7-40C8-B488-A50611167B76}"/>
            </c:ext>
          </c:extLst>
        </c:ser>
        <c:dLbls>
          <c:showLegendKey val="0"/>
          <c:showVal val="0"/>
          <c:showCatName val="0"/>
          <c:showSerName val="0"/>
          <c:showPercent val="0"/>
          <c:showBubbleSize val="0"/>
        </c:dLbls>
        <c:marker val="1"/>
        <c:smooth val="0"/>
        <c:axId val="1176666904"/>
        <c:axId val="1176670184"/>
      </c:lineChart>
      <c:lineChart>
        <c:grouping val="standard"/>
        <c:varyColors val="0"/>
        <c:ser>
          <c:idx val="0"/>
          <c:order val="0"/>
          <c:tx>
            <c:strRef>
              <c:f>'Spec Power'!$B$3</c:f>
              <c:strCache>
                <c:ptCount val="1"/>
                <c:pt idx="0">
                  <c:v> GAN Spec Power(Kwh/Nm3)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'Spec Power'!$A$4:$A$35</c:f>
              <c:strCache>
                <c:ptCount val="31"/>
                <c:pt idx="0">
                  <c:v>2021/1/1</c:v>
                </c:pt>
                <c:pt idx="1">
                  <c:v>2021/1/2</c:v>
                </c:pt>
                <c:pt idx="2">
                  <c:v>2021/1/3</c:v>
                </c:pt>
                <c:pt idx="3">
                  <c:v>2021/1/4</c:v>
                </c:pt>
                <c:pt idx="4">
                  <c:v>2021/1/5</c:v>
                </c:pt>
                <c:pt idx="5">
                  <c:v>2021/1/6</c:v>
                </c:pt>
                <c:pt idx="6">
                  <c:v>2021/1/7</c:v>
                </c:pt>
                <c:pt idx="7">
                  <c:v>2021/1/8</c:v>
                </c:pt>
                <c:pt idx="8">
                  <c:v>2021/1/9</c:v>
                </c:pt>
                <c:pt idx="9">
                  <c:v>2021/1/10</c:v>
                </c:pt>
                <c:pt idx="10">
                  <c:v>2021/1/11</c:v>
                </c:pt>
                <c:pt idx="11">
                  <c:v>2021/1/12</c:v>
                </c:pt>
                <c:pt idx="12">
                  <c:v>2021/1/13</c:v>
                </c:pt>
                <c:pt idx="13">
                  <c:v>2021/1/14</c:v>
                </c:pt>
                <c:pt idx="14">
                  <c:v>2021/1/15</c:v>
                </c:pt>
                <c:pt idx="15">
                  <c:v>2021/1/16</c:v>
                </c:pt>
                <c:pt idx="16">
                  <c:v>2021/1/17</c:v>
                </c:pt>
                <c:pt idx="17">
                  <c:v>2021/1/18</c:v>
                </c:pt>
                <c:pt idx="18">
                  <c:v>2021/1/19</c:v>
                </c:pt>
                <c:pt idx="19">
                  <c:v>2021/1/20</c:v>
                </c:pt>
                <c:pt idx="20">
                  <c:v>2021/1/21</c:v>
                </c:pt>
                <c:pt idx="21">
                  <c:v>2021/1/22</c:v>
                </c:pt>
                <c:pt idx="22">
                  <c:v>2021/1/23</c:v>
                </c:pt>
                <c:pt idx="23">
                  <c:v>2021/1/24</c:v>
                </c:pt>
                <c:pt idx="24">
                  <c:v>2021/1/25</c:v>
                </c:pt>
                <c:pt idx="25">
                  <c:v>2021/1/26</c:v>
                </c:pt>
                <c:pt idx="26">
                  <c:v>2021/1/27</c:v>
                </c:pt>
                <c:pt idx="27">
                  <c:v>2021/1/28</c:v>
                </c:pt>
                <c:pt idx="28">
                  <c:v>2021/1/29</c:v>
                </c:pt>
                <c:pt idx="29">
                  <c:v>2021/1/30</c:v>
                </c:pt>
                <c:pt idx="30">
                  <c:v>2021/1/31</c:v>
                </c:pt>
              </c:strCache>
            </c:strRef>
          </c:cat>
          <c:val>
            <c:numRef>
              <c:f>'Spec Power'!$B$4:$B$35</c:f>
              <c:numCache>
                <c:formatCode>General</c:formatCode>
                <c:ptCount val="31"/>
                <c:pt idx="0">
                  <c:v>0.19700000000000001</c:v>
                </c:pt>
                <c:pt idx="1">
                  <c:v>0.19800000000000001</c:v>
                </c:pt>
                <c:pt idx="2">
                  <c:v>0.2</c:v>
                </c:pt>
                <c:pt idx="3">
                  <c:v>0.247</c:v>
                </c:pt>
                <c:pt idx="4">
                  <c:v>0.20899999999999999</c:v>
                </c:pt>
                <c:pt idx="5">
                  <c:v>0.21099999999999999</c:v>
                </c:pt>
                <c:pt idx="6">
                  <c:v>0.56399999999999995</c:v>
                </c:pt>
                <c:pt idx="7">
                  <c:v>0.59299999999999997</c:v>
                </c:pt>
                <c:pt idx="8">
                  <c:v>0.21099999999999999</c:v>
                </c:pt>
                <c:pt idx="9">
                  <c:v>0.21299999999999999</c:v>
                </c:pt>
                <c:pt idx="10">
                  <c:v>0.216</c:v>
                </c:pt>
                <c:pt idx="11">
                  <c:v>0.214</c:v>
                </c:pt>
                <c:pt idx="12">
                  <c:v>0.21299999999999999</c:v>
                </c:pt>
                <c:pt idx="13">
                  <c:v>0.21299999999999999</c:v>
                </c:pt>
                <c:pt idx="14">
                  <c:v>0.21</c:v>
                </c:pt>
                <c:pt idx="15">
                  <c:v>0.20599999999999999</c:v>
                </c:pt>
                <c:pt idx="16">
                  <c:v>0.20899999999999999</c:v>
                </c:pt>
                <c:pt idx="17">
                  <c:v>0.21199999999999999</c:v>
                </c:pt>
                <c:pt idx="18">
                  <c:v>0.216</c:v>
                </c:pt>
                <c:pt idx="19">
                  <c:v>0.21299999999999999</c:v>
                </c:pt>
                <c:pt idx="20">
                  <c:v>0.21199999999999999</c:v>
                </c:pt>
                <c:pt idx="21">
                  <c:v>0.21199999999999999</c:v>
                </c:pt>
                <c:pt idx="22">
                  <c:v>0.214</c:v>
                </c:pt>
                <c:pt idx="23">
                  <c:v>0.20899999999999999</c:v>
                </c:pt>
                <c:pt idx="24">
                  <c:v>0.20699999999999999</c:v>
                </c:pt>
                <c:pt idx="25">
                  <c:v>0.20300000000000001</c:v>
                </c:pt>
                <c:pt idx="26">
                  <c:v>0.19700000000000001</c:v>
                </c:pt>
                <c:pt idx="27">
                  <c:v>0.19900000000000001</c:v>
                </c:pt>
                <c:pt idx="28">
                  <c:v>0.19800000000000001</c:v>
                </c:pt>
                <c:pt idx="29">
                  <c:v>0.20499999999999999</c:v>
                </c:pt>
                <c:pt idx="30">
                  <c:v>0.19900000000000001</c:v>
                </c:pt>
              </c:numCache>
            </c:numRef>
          </c:val>
          <c:smooth val="0"/>
          <c:extLst>
            <c:ext xmlns:c16="http://schemas.microsoft.com/office/drawing/2014/chart" uri="{C3380CC4-5D6E-409C-BE32-E72D297353CC}">
              <c16:uniqueId val="{00000000-4EF7-40C8-B488-A50611167B76}"/>
            </c:ext>
          </c:extLst>
        </c:ser>
        <c:dLbls>
          <c:showLegendKey val="0"/>
          <c:showVal val="0"/>
          <c:showCatName val="0"/>
          <c:showSerName val="0"/>
          <c:showPercent val="0"/>
          <c:showBubbleSize val="0"/>
        </c:dLbls>
        <c:marker val="1"/>
        <c:smooth val="0"/>
        <c:axId val="1194739240"/>
        <c:axId val="1194727432"/>
      </c:lineChart>
      <c:catAx>
        <c:axId val="1176666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176670184"/>
        <c:crosses val="autoZero"/>
        <c:auto val="1"/>
        <c:lblAlgn val="ctr"/>
        <c:lblOffset val="100"/>
        <c:noMultiLvlLbl val="0"/>
      </c:catAx>
      <c:valAx>
        <c:axId val="1176670184"/>
        <c:scaling>
          <c:orientation val="minMax"/>
          <c:min val="0.1"/>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endParaRPr lang="en-US"/>
          </a:p>
        </c:txPr>
        <c:crossAx val="1176666904"/>
        <c:crosses val="autoZero"/>
        <c:crossBetween val="between"/>
      </c:valAx>
      <c:valAx>
        <c:axId val="11947274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endParaRPr lang="en-US"/>
          </a:p>
        </c:txPr>
        <c:crossAx val="1194739240"/>
        <c:crosses val="max"/>
        <c:crossBetween val="between"/>
      </c:valAx>
      <c:catAx>
        <c:axId val="1194739240"/>
        <c:scaling>
          <c:orientation val="minMax"/>
        </c:scaling>
        <c:delete val="1"/>
        <c:axPos val="b"/>
        <c:numFmt formatCode="General" sourceLinked="1"/>
        <c:majorTickMark val="out"/>
        <c:minorTickMark val="none"/>
        <c:tickLblPos val="nextTo"/>
        <c:crossAx val="1194727432"/>
        <c:crosses val="autoZero"/>
        <c:auto val="1"/>
        <c:lblAlgn val="ctr"/>
        <c:lblOffset val="100"/>
        <c:noMultiLvlLbl val="0"/>
      </c:catAx>
      <c:spPr>
        <a:noFill/>
        <a:ln w="25400">
          <a:noFill/>
        </a:ln>
        <a:effectLst/>
      </c:spPr>
    </c:plotArea>
    <c:legend>
      <c:legendPos val="r"/>
      <c:layout>
        <c:manualLayout>
          <c:xMode val="edge"/>
          <c:yMode val="edge"/>
          <c:x val="6.3073164684929947E-2"/>
          <c:y val="0.77825724664338525"/>
          <c:w val="0.87783863471029666"/>
          <c:h val="0.18822833209513429"/>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1">
                  <a:lumMod val="9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2C4062"/>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[XianSamsung1.xlsx]CW!PivotTable20</c:name>
    <c:fmtId val="29"/>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1">
                <a:solidFill>
                  <a:schemeClr val="accent3">
                    <a:lumMod val="20000"/>
                    <a:lumOff val="80000"/>
                  </a:schemeClr>
                </a:solidFill>
              </a:rPr>
              <a:t>Cooling</a:t>
            </a:r>
            <a:r>
              <a:rPr lang="en-US" sz="2400" b="1" baseline="0">
                <a:solidFill>
                  <a:schemeClr val="accent3">
                    <a:lumMod val="20000"/>
                    <a:lumOff val="80000"/>
                  </a:schemeClr>
                </a:solidFill>
              </a:rPr>
              <a:t> Water Temperature</a:t>
            </a:r>
            <a:endParaRPr lang="en-US" sz="2400" b="1">
              <a:solidFill>
                <a:schemeClr val="accent3">
                  <a:lumMod val="20000"/>
                  <a:lumOff val="80000"/>
                </a:schemeClr>
              </a:solidFill>
            </a:endParaRP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2966613292293E-2"/>
          <c:y val="0.12113446906066683"/>
          <c:w val="0.94441780735766812"/>
          <c:h val="0.6109981513824706"/>
        </c:manualLayout>
      </c:layout>
      <c:lineChart>
        <c:grouping val="stacked"/>
        <c:varyColors val="0"/>
        <c:ser>
          <c:idx val="0"/>
          <c:order val="0"/>
          <c:tx>
            <c:strRef>
              <c:f>CW!$B$3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CW!$A$4:$A$35</c:f>
              <c:strCache>
                <c:ptCount val="31"/>
                <c:pt idx="0">
                  <c:v>2021/1/1</c:v>
                </c:pt>
                <c:pt idx="1">
                  <c:v>2021/1/2</c:v>
                </c:pt>
                <c:pt idx="2">
                  <c:v>2021/1/3</c:v>
                </c:pt>
                <c:pt idx="3">
                  <c:v>2021/1/4</c:v>
                </c:pt>
                <c:pt idx="4">
                  <c:v>2021/1/5</c:v>
                </c:pt>
                <c:pt idx="5">
                  <c:v>2021/1/6</c:v>
                </c:pt>
                <c:pt idx="6">
                  <c:v>2021/1/7</c:v>
                </c:pt>
                <c:pt idx="7">
                  <c:v>2021/1/8</c:v>
                </c:pt>
                <c:pt idx="8">
                  <c:v>2021/1/9</c:v>
                </c:pt>
                <c:pt idx="9">
                  <c:v>2021/1/10</c:v>
                </c:pt>
                <c:pt idx="10">
                  <c:v>2021/1/11</c:v>
                </c:pt>
                <c:pt idx="11">
                  <c:v>2021/1/12</c:v>
                </c:pt>
                <c:pt idx="12">
                  <c:v>2021/1/13</c:v>
                </c:pt>
                <c:pt idx="13">
                  <c:v>2021/1/14</c:v>
                </c:pt>
                <c:pt idx="14">
                  <c:v>2021/1/15</c:v>
                </c:pt>
                <c:pt idx="15">
                  <c:v>2021/1/16</c:v>
                </c:pt>
                <c:pt idx="16">
                  <c:v>2021/1/17</c:v>
                </c:pt>
                <c:pt idx="17">
                  <c:v>2021/1/18</c:v>
                </c:pt>
                <c:pt idx="18">
                  <c:v>2021/1/19</c:v>
                </c:pt>
                <c:pt idx="19">
                  <c:v>2021/1/20</c:v>
                </c:pt>
                <c:pt idx="20">
                  <c:v>2021/1/21</c:v>
                </c:pt>
                <c:pt idx="21">
                  <c:v>2021/1/22</c:v>
                </c:pt>
                <c:pt idx="22">
                  <c:v>2021/1/23</c:v>
                </c:pt>
                <c:pt idx="23">
                  <c:v>2021/1/24</c:v>
                </c:pt>
                <c:pt idx="24">
                  <c:v>2021/1/25</c:v>
                </c:pt>
                <c:pt idx="25">
                  <c:v>2021/1/26</c:v>
                </c:pt>
                <c:pt idx="26">
                  <c:v>2021/1/27</c:v>
                </c:pt>
                <c:pt idx="27">
                  <c:v>2021/1/28</c:v>
                </c:pt>
                <c:pt idx="28">
                  <c:v>2021/1/29</c:v>
                </c:pt>
                <c:pt idx="29">
                  <c:v>2021/1/30</c:v>
                </c:pt>
                <c:pt idx="30">
                  <c:v>2021/1/31</c:v>
                </c:pt>
              </c:strCache>
            </c:strRef>
          </c:cat>
          <c:val>
            <c:numRef>
              <c:f>CW!$B$4:$B$35</c:f>
              <c:numCache>
                <c:formatCode>General</c:formatCode>
                <c:ptCount val="31"/>
                <c:pt idx="0">
                  <c:v>14.120783679440647</c:v>
                </c:pt>
                <c:pt idx="1">
                  <c:v>14.844815719631356</c:v>
                </c:pt>
                <c:pt idx="2">
                  <c:v>14.828254712281504</c:v>
                </c:pt>
                <c:pt idx="3">
                  <c:v>12.807401530036159</c:v>
                </c:pt>
                <c:pt idx="4">
                  <c:v>12.98477523546927</c:v>
                </c:pt>
                <c:pt idx="5">
                  <c:v>12.893324765953896</c:v>
                </c:pt>
                <c:pt idx="6">
                  <c:v>12.836806032576552</c:v>
                </c:pt>
                <c:pt idx="7">
                  <c:v>13.519954098999955</c:v>
                </c:pt>
                <c:pt idx="8">
                  <c:v>14.221789225036282</c:v>
                </c:pt>
                <c:pt idx="9">
                  <c:v>15.167929646043955</c:v>
                </c:pt>
                <c:pt idx="10">
                  <c:v>14.500132939287724</c:v>
                </c:pt>
                <c:pt idx="11">
                  <c:v>13.222168034931425</c:v>
                </c:pt>
                <c:pt idx="12">
                  <c:v>14.363689089053048</c:v>
                </c:pt>
                <c:pt idx="13">
                  <c:v>13.33244041400515</c:v>
                </c:pt>
                <c:pt idx="14">
                  <c:v>13.237997197343772</c:v>
                </c:pt>
                <c:pt idx="15">
                  <c:v>12.9931532365427</c:v>
                </c:pt>
                <c:pt idx="16">
                  <c:v>12.992537732756359</c:v>
                </c:pt>
                <c:pt idx="17">
                  <c:v>13.117191613837299</c:v>
                </c:pt>
                <c:pt idx="18">
                  <c:v>12.617754466991968</c:v>
                </c:pt>
                <c:pt idx="19">
                  <c:v>13.181691638965065</c:v>
                </c:pt>
                <c:pt idx="20">
                  <c:v>13.99187008925894</c:v>
                </c:pt>
                <c:pt idx="21">
                  <c:v>13.281581855836572</c:v>
                </c:pt>
                <c:pt idx="22">
                  <c:v>13.004362705265128</c:v>
                </c:pt>
                <c:pt idx="23">
                  <c:v>13.022980289604828</c:v>
                </c:pt>
                <c:pt idx="24">
                  <c:v>13.313094628841656</c:v>
                </c:pt>
                <c:pt idx="25">
                  <c:v>13.039982587905662</c:v>
                </c:pt>
                <c:pt idx="26">
                  <c:v>13.010154286000068</c:v>
                </c:pt>
                <c:pt idx="27">
                  <c:v>12.986461645360626</c:v>
                </c:pt>
                <c:pt idx="28">
                  <c:v>12.856187332677475</c:v>
                </c:pt>
                <c:pt idx="29">
                  <c:v>13.339514109593642</c:v>
                </c:pt>
                <c:pt idx="30">
                  <c:v>13.56280021548354</c:v>
                </c:pt>
              </c:numCache>
            </c:numRef>
          </c:val>
          <c:smooth val="0"/>
          <c:extLst>
            <c:ext xmlns:c16="http://schemas.microsoft.com/office/drawing/2014/chart" uri="{C3380CC4-5D6E-409C-BE32-E72D297353CC}">
              <c16:uniqueId val="{00000000-490F-41F8-996B-9EA412FE5ADD}"/>
            </c:ext>
          </c:extLst>
        </c:ser>
        <c:dLbls>
          <c:showLegendKey val="0"/>
          <c:showVal val="0"/>
          <c:showCatName val="0"/>
          <c:showSerName val="0"/>
          <c:showPercent val="0"/>
          <c:showBubbleSize val="0"/>
        </c:dLbls>
        <c:marker val="1"/>
        <c:smooth val="0"/>
        <c:axId val="977640840"/>
        <c:axId val="977641496"/>
      </c:lineChart>
      <c:catAx>
        <c:axId val="977640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977641496"/>
        <c:crosses val="autoZero"/>
        <c:auto val="1"/>
        <c:lblAlgn val="ctr"/>
        <c:lblOffset val="100"/>
        <c:noMultiLvlLbl val="0"/>
      </c:catAx>
      <c:valAx>
        <c:axId val="977641496"/>
        <c:scaling>
          <c:orientation val="minMax"/>
          <c:min val="8"/>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endParaRPr lang="en-US"/>
          </a:p>
        </c:txPr>
        <c:crossAx val="9776408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rgbClr val="2C406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[XianSamsung1.xlsx]Spec Power!PivotTable20</c:name>
    <c:fmtId val="2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034708647993082E-2"/>
          <c:y val="0.13944119008167138"/>
          <c:w val="0.91881291623544659"/>
          <c:h val="0.62160404152294979"/>
        </c:manualLayout>
      </c:layout>
      <c:lineChart>
        <c:grouping val="standard"/>
        <c:varyColors val="0"/>
        <c:ser>
          <c:idx val="1"/>
          <c:order val="1"/>
          <c:tx>
            <c:strRef>
              <c:f>'Spec Power'!$C$3</c:f>
              <c:strCache>
                <c:ptCount val="1"/>
                <c:pt idx="0">
                  <c:v>CDA Spec power(Kwh/Nm3)</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'Spec Power'!$A$4:$A$35</c:f>
              <c:strCache>
                <c:ptCount val="31"/>
                <c:pt idx="0">
                  <c:v>2021/1/1</c:v>
                </c:pt>
                <c:pt idx="1">
                  <c:v>2021/1/2</c:v>
                </c:pt>
                <c:pt idx="2">
                  <c:v>2021/1/3</c:v>
                </c:pt>
                <c:pt idx="3">
                  <c:v>2021/1/4</c:v>
                </c:pt>
                <c:pt idx="4">
                  <c:v>2021/1/5</c:v>
                </c:pt>
                <c:pt idx="5">
                  <c:v>2021/1/6</c:v>
                </c:pt>
                <c:pt idx="6">
                  <c:v>2021/1/7</c:v>
                </c:pt>
                <c:pt idx="7">
                  <c:v>2021/1/8</c:v>
                </c:pt>
                <c:pt idx="8">
                  <c:v>2021/1/9</c:v>
                </c:pt>
                <c:pt idx="9">
                  <c:v>2021/1/10</c:v>
                </c:pt>
                <c:pt idx="10">
                  <c:v>2021/1/11</c:v>
                </c:pt>
                <c:pt idx="11">
                  <c:v>2021/1/12</c:v>
                </c:pt>
                <c:pt idx="12">
                  <c:v>2021/1/13</c:v>
                </c:pt>
                <c:pt idx="13">
                  <c:v>2021/1/14</c:v>
                </c:pt>
                <c:pt idx="14">
                  <c:v>2021/1/15</c:v>
                </c:pt>
                <c:pt idx="15">
                  <c:v>2021/1/16</c:v>
                </c:pt>
                <c:pt idx="16">
                  <c:v>2021/1/17</c:v>
                </c:pt>
                <c:pt idx="17">
                  <c:v>2021/1/18</c:v>
                </c:pt>
                <c:pt idx="18">
                  <c:v>2021/1/19</c:v>
                </c:pt>
                <c:pt idx="19">
                  <c:v>2021/1/20</c:v>
                </c:pt>
                <c:pt idx="20">
                  <c:v>2021/1/21</c:v>
                </c:pt>
                <c:pt idx="21">
                  <c:v>2021/1/22</c:v>
                </c:pt>
                <c:pt idx="22">
                  <c:v>2021/1/23</c:v>
                </c:pt>
                <c:pt idx="23">
                  <c:v>2021/1/24</c:v>
                </c:pt>
                <c:pt idx="24">
                  <c:v>2021/1/25</c:v>
                </c:pt>
                <c:pt idx="25">
                  <c:v>2021/1/26</c:v>
                </c:pt>
                <c:pt idx="26">
                  <c:v>2021/1/27</c:v>
                </c:pt>
                <c:pt idx="27">
                  <c:v>2021/1/28</c:v>
                </c:pt>
                <c:pt idx="28">
                  <c:v>2021/1/29</c:v>
                </c:pt>
                <c:pt idx="29">
                  <c:v>2021/1/30</c:v>
                </c:pt>
                <c:pt idx="30">
                  <c:v>2021/1/31</c:v>
                </c:pt>
              </c:strCache>
            </c:strRef>
          </c:cat>
          <c:val>
            <c:numRef>
              <c:f>'Spec Power'!$C$4:$C$35</c:f>
              <c:numCache>
                <c:formatCode>General</c:formatCode>
                <c:ptCount val="31"/>
                <c:pt idx="0">
                  <c:v>0.13</c:v>
                </c:pt>
                <c:pt idx="1">
                  <c:v>0.13400000000000001</c:v>
                </c:pt>
                <c:pt idx="2">
                  <c:v>0.13300000000000001</c:v>
                </c:pt>
                <c:pt idx="3">
                  <c:v>0.13400000000000001</c:v>
                </c:pt>
                <c:pt idx="4">
                  <c:v>0.13300000000000001</c:v>
                </c:pt>
                <c:pt idx="5">
                  <c:v>0.13100000000000001</c:v>
                </c:pt>
                <c:pt idx="6">
                  <c:v>0.13200000000000001</c:v>
                </c:pt>
                <c:pt idx="7">
                  <c:v>0.13</c:v>
                </c:pt>
                <c:pt idx="8">
                  <c:v>0.124</c:v>
                </c:pt>
                <c:pt idx="9">
                  <c:v>0.13200000000000001</c:v>
                </c:pt>
                <c:pt idx="10">
                  <c:v>0.13200000000000001</c:v>
                </c:pt>
                <c:pt idx="11">
                  <c:v>0.14199999999999999</c:v>
                </c:pt>
                <c:pt idx="12">
                  <c:v>0.13500000000000001</c:v>
                </c:pt>
                <c:pt idx="13">
                  <c:v>0.13700000000000001</c:v>
                </c:pt>
                <c:pt idx="14">
                  <c:v>0.123</c:v>
                </c:pt>
                <c:pt idx="15">
                  <c:v>0.13200000000000001</c:v>
                </c:pt>
                <c:pt idx="16">
                  <c:v>0.13300000000000001</c:v>
                </c:pt>
                <c:pt idx="17">
                  <c:v>0.13400000000000001</c:v>
                </c:pt>
                <c:pt idx="18">
                  <c:v>0.13200000000000001</c:v>
                </c:pt>
                <c:pt idx="19">
                  <c:v>0.13300000000000001</c:v>
                </c:pt>
                <c:pt idx="20">
                  <c:v>0.13400000000000001</c:v>
                </c:pt>
                <c:pt idx="21">
                  <c:v>0.13500000000000001</c:v>
                </c:pt>
                <c:pt idx="22">
                  <c:v>0.13300000000000001</c:v>
                </c:pt>
                <c:pt idx="23">
                  <c:v>0.13600000000000001</c:v>
                </c:pt>
                <c:pt idx="24">
                  <c:v>0.13100000000000001</c:v>
                </c:pt>
                <c:pt idx="25">
                  <c:v>0.13500000000000001</c:v>
                </c:pt>
                <c:pt idx="26">
                  <c:v>0.13600000000000001</c:v>
                </c:pt>
                <c:pt idx="27">
                  <c:v>0.13600000000000001</c:v>
                </c:pt>
                <c:pt idx="28">
                  <c:v>0.13500000000000001</c:v>
                </c:pt>
                <c:pt idx="29">
                  <c:v>0.14000000000000001</c:v>
                </c:pt>
                <c:pt idx="30">
                  <c:v>0.13700000000000001</c:v>
                </c:pt>
              </c:numCache>
            </c:numRef>
          </c:val>
          <c:smooth val="0"/>
          <c:extLst>
            <c:ext xmlns:c16="http://schemas.microsoft.com/office/drawing/2014/chart" uri="{C3380CC4-5D6E-409C-BE32-E72D297353CC}">
              <c16:uniqueId val="{00000000-DF68-4462-A6A4-03A507EE4BD6}"/>
            </c:ext>
          </c:extLst>
        </c:ser>
        <c:dLbls>
          <c:showLegendKey val="0"/>
          <c:showVal val="0"/>
          <c:showCatName val="0"/>
          <c:showSerName val="0"/>
          <c:showPercent val="0"/>
          <c:showBubbleSize val="0"/>
        </c:dLbls>
        <c:marker val="1"/>
        <c:smooth val="0"/>
        <c:axId val="1176666904"/>
        <c:axId val="1176670184"/>
      </c:lineChart>
      <c:lineChart>
        <c:grouping val="standard"/>
        <c:varyColors val="0"/>
        <c:ser>
          <c:idx val="0"/>
          <c:order val="0"/>
          <c:tx>
            <c:strRef>
              <c:f>'Spec Power'!$B$3</c:f>
              <c:strCache>
                <c:ptCount val="1"/>
                <c:pt idx="0">
                  <c:v> GAN Spec Power(Kwh/Nm3)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'Spec Power'!$A$4:$A$35</c:f>
              <c:strCache>
                <c:ptCount val="31"/>
                <c:pt idx="0">
                  <c:v>2021/1/1</c:v>
                </c:pt>
                <c:pt idx="1">
                  <c:v>2021/1/2</c:v>
                </c:pt>
                <c:pt idx="2">
                  <c:v>2021/1/3</c:v>
                </c:pt>
                <c:pt idx="3">
                  <c:v>2021/1/4</c:v>
                </c:pt>
                <c:pt idx="4">
                  <c:v>2021/1/5</c:v>
                </c:pt>
                <c:pt idx="5">
                  <c:v>2021/1/6</c:v>
                </c:pt>
                <c:pt idx="6">
                  <c:v>2021/1/7</c:v>
                </c:pt>
                <c:pt idx="7">
                  <c:v>2021/1/8</c:v>
                </c:pt>
                <c:pt idx="8">
                  <c:v>2021/1/9</c:v>
                </c:pt>
                <c:pt idx="9">
                  <c:v>2021/1/10</c:v>
                </c:pt>
                <c:pt idx="10">
                  <c:v>2021/1/11</c:v>
                </c:pt>
                <c:pt idx="11">
                  <c:v>2021/1/12</c:v>
                </c:pt>
                <c:pt idx="12">
                  <c:v>2021/1/13</c:v>
                </c:pt>
                <c:pt idx="13">
                  <c:v>2021/1/14</c:v>
                </c:pt>
                <c:pt idx="14">
                  <c:v>2021/1/15</c:v>
                </c:pt>
                <c:pt idx="15">
                  <c:v>2021/1/16</c:v>
                </c:pt>
                <c:pt idx="16">
                  <c:v>2021/1/17</c:v>
                </c:pt>
                <c:pt idx="17">
                  <c:v>2021/1/18</c:v>
                </c:pt>
                <c:pt idx="18">
                  <c:v>2021/1/19</c:v>
                </c:pt>
                <c:pt idx="19">
                  <c:v>2021/1/20</c:v>
                </c:pt>
                <c:pt idx="20">
                  <c:v>2021/1/21</c:v>
                </c:pt>
                <c:pt idx="21">
                  <c:v>2021/1/22</c:v>
                </c:pt>
                <c:pt idx="22">
                  <c:v>2021/1/23</c:v>
                </c:pt>
                <c:pt idx="23">
                  <c:v>2021/1/24</c:v>
                </c:pt>
                <c:pt idx="24">
                  <c:v>2021/1/25</c:v>
                </c:pt>
                <c:pt idx="25">
                  <c:v>2021/1/26</c:v>
                </c:pt>
                <c:pt idx="26">
                  <c:v>2021/1/27</c:v>
                </c:pt>
                <c:pt idx="27">
                  <c:v>2021/1/28</c:v>
                </c:pt>
                <c:pt idx="28">
                  <c:v>2021/1/29</c:v>
                </c:pt>
                <c:pt idx="29">
                  <c:v>2021/1/30</c:v>
                </c:pt>
                <c:pt idx="30">
                  <c:v>2021/1/31</c:v>
                </c:pt>
              </c:strCache>
            </c:strRef>
          </c:cat>
          <c:val>
            <c:numRef>
              <c:f>'Spec Power'!$B$4:$B$35</c:f>
              <c:numCache>
                <c:formatCode>General</c:formatCode>
                <c:ptCount val="31"/>
                <c:pt idx="0">
                  <c:v>0.19700000000000001</c:v>
                </c:pt>
                <c:pt idx="1">
                  <c:v>0.19800000000000001</c:v>
                </c:pt>
                <c:pt idx="2">
                  <c:v>0.2</c:v>
                </c:pt>
                <c:pt idx="3">
                  <c:v>0.247</c:v>
                </c:pt>
                <c:pt idx="4">
                  <c:v>0.20899999999999999</c:v>
                </c:pt>
                <c:pt idx="5">
                  <c:v>0.21099999999999999</c:v>
                </c:pt>
                <c:pt idx="6">
                  <c:v>0.56399999999999995</c:v>
                </c:pt>
                <c:pt idx="7">
                  <c:v>0.59299999999999997</c:v>
                </c:pt>
                <c:pt idx="8">
                  <c:v>0.21099999999999999</c:v>
                </c:pt>
                <c:pt idx="9">
                  <c:v>0.21299999999999999</c:v>
                </c:pt>
                <c:pt idx="10">
                  <c:v>0.216</c:v>
                </c:pt>
                <c:pt idx="11">
                  <c:v>0.214</c:v>
                </c:pt>
                <c:pt idx="12">
                  <c:v>0.21299999999999999</c:v>
                </c:pt>
                <c:pt idx="13">
                  <c:v>0.21299999999999999</c:v>
                </c:pt>
                <c:pt idx="14">
                  <c:v>0.21</c:v>
                </c:pt>
                <c:pt idx="15">
                  <c:v>0.20599999999999999</c:v>
                </c:pt>
                <c:pt idx="16">
                  <c:v>0.20899999999999999</c:v>
                </c:pt>
                <c:pt idx="17">
                  <c:v>0.21199999999999999</c:v>
                </c:pt>
                <c:pt idx="18">
                  <c:v>0.216</c:v>
                </c:pt>
                <c:pt idx="19">
                  <c:v>0.21299999999999999</c:v>
                </c:pt>
                <c:pt idx="20">
                  <c:v>0.21199999999999999</c:v>
                </c:pt>
                <c:pt idx="21">
                  <c:v>0.21199999999999999</c:v>
                </c:pt>
                <c:pt idx="22">
                  <c:v>0.214</c:v>
                </c:pt>
                <c:pt idx="23">
                  <c:v>0.20899999999999999</c:v>
                </c:pt>
                <c:pt idx="24">
                  <c:v>0.20699999999999999</c:v>
                </c:pt>
                <c:pt idx="25">
                  <c:v>0.20300000000000001</c:v>
                </c:pt>
                <c:pt idx="26">
                  <c:v>0.19700000000000001</c:v>
                </c:pt>
                <c:pt idx="27">
                  <c:v>0.19900000000000001</c:v>
                </c:pt>
                <c:pt idx="28">
                  <c:v>0.19800000000000001</c:v>
                </c:pt>
                <c:pt idx="29">
                  <c:v>0.20499999999999999</c:v>
                </c:pt>
                <c:pt idx="30">
                  <c:v>0.19900000000000001</c:v>
                </c:pt>
              </c:numCache>
            </c:numRef>
          </c:val>
          <c:smooth val="0"/>
          <c:extLst>
            <c:ext xmlns:c16="http://schemas.microsoft.com/office/drawing/2014/chart" uri="{C3380CC4-5D6E-409C-BE32-E72D297353CC}">
              <c16:uniqueId val="{00000001-DF68-4462-A6A4-03A507EE4BD6}"/>
            </c:ext>
          </c:extLst>
        </c:ser>
        <c:dLbls>
          <c:showLegendKey val="0"/>
          <c:showVal val="0"/>
          <c:showCatName val="0"/>
          <c:showSerName val="0"/>
          <c:showPercent val="0"/>
          <c:showBubbleSize val="0"/>
        </c:dLbls>
        <c:marker val="1"/>
        <c:smooth val="0"/>
        <c:axId val="1194739240"/>
        <c:axId val="1194727432"/>
      </c:lineChart>
      <c:catAx>
        <c:axId val="1176666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176670184"/>
        <c:crosses val="autoZero"/>
        <c:auto val="1"/>
        <c:lblAlgn val="ctr"/>
        <c:lblOffset val="100"/>
        <c:noMultiLvlLbl val="0"/>
      </c:catAx>
      <c:valAx>
        <c:axId val="1176670184"/>
        <c:scaling>
          <c:orientation val="minMax"/>
          <c:min val="0.1"/>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endParaRPr lang="en-US"/>
          </a:p>
        </c:txPr>
        <c:crossAx val="1176666904"/>
        <c:crosses val="autoZero"/>
        <c:crossBetween val="between"/>
      </c:valAx>
      <c:valAx>
        <c:axId val="11947274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endParaRPr lang="en-US"/>
          </a:p>
        </c:txPr>
        <c:crossAx val="1194739240"/>
        <c:crosses val="max"/>
        <c:crossBetween val="between"/>
      </c:valAx>
      <c:catAx>
        <c:axId val="1194739240"/>
        <c:scaling>
          <c:orientation val="minMax"/>
        </c:scaling>
        <c:delete val="1"/>
        <c:axPos val="b"/>
        <c:numFmt formatCode="General" sourceLinked="1"/>
        <c:majorTickMark val="out"/>
        <c:minorTickMark val="none"/>
        <c:tickLblPos val="nextTo"/>
        <c:crossAx val="1194727432"/>
        <c:crosses val="autoZero"/>
        <c:auto val="1"/>
        <c:lblAlgn val="ctr"/>
        <c:lblOffset val="100"/>
        <c:noMultiLvlLbl val="0"/>
      </c:catAx>
      <c:spPr>
        <a:noFill/>
        <a:ln w="25400">
          <a:noFill/>
        </a:ln>
        <a:effectLst/>
      </c:spPr>
    </c:plotArea>
    <c:legend>
      <c:legendPos val="r"/>
      <c:layout>
        <c:manualLayout>
          <c:xMode val="edge"/>
          <c:yMode val="edge"/>
          <c:x val="0.11302238381717666"/>
          <c:y val="0.84662177288583029"/>
          <c:w val="0.73934315917738658"/>
          <c:h val="0.1516694113564835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1">
                  <a:lumMod val="9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rgbClr val="2C4062"/>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137160</xdr:colOff>
      <xdr:row>6</xdr:row>
      <xdr:rowOff>179070</xdr:rowOff>
    </xdr:from>
    <xdr:to>
      <xdr:col>11</xdr:col>
      <xdr:colOff>441960</xdr:colOff>
      <xdr:row>21</xdr:row>
      <xdr:rowOff>179070</xdr:rowOff>
    </xdr:to>
    <xdr:graphicFrame macro="">
      <xdr:nvGraphicFramePr>
        <xdr:cNvPr id="3" name="Chart 2">
          <a:extLst>
            <a:ext uri="{FF2B5EF4-FFF2-40B4-BE49-F238E27FC236}">
              <a16:creationId xmlns:a16="http://schemas.microsoft.com/office/drawing/2014/main" id="{FA2EE4D8-E004-4850-AC1B-BE14F4594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510540</xdr:colOff>
      <xdr:row>4</xdr:row>
      <xdr:rowOff>133350</xdr:rowOff>
    </xdr:from>
    <xdr:to>
      <xdr:col>11</xdr:col>
      <xdr:colOff>205740</xdr:colOff>
      <xdr:row>19</xdr:row>
      <xdr:rowOff>133350</xdr:rowOff>
    </xdr:to>
    <xdr:graphicFrame macro="">
      <xdr:nvGraphicFramePr>
        <xdr:cNvPr id="3" name="Chart 2">
          <a:extLst>
            <a:ext uri="{FF2B5EF4-FFF2-40B4-BE49-F238E27FC236}">
              <a16:creationId xmlns:a16="http://schemas.microsoft.com/office/drawing/2014/main" id="{7A1420AD-668E-4CD8-88D7-078E1EAC80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2001981</xdr:colOff>
      <xdr:row>0</xdr:row>
      <xdr:rowOff>42552</xdr:rowOff>
    </xdr:from>
    <xdr:to>
      <xdr:col>27</xdr:col>
      <xdr:colOff>101930</xdr:colOff>
      <xdr:row>3</xdr:row>
      <xdr:rowOff>75210</xdr:rowOff>
    </xdr:to>
    <xdr:sp macro="" textlink="">
      <xdr:nvSpPr>
        <xdr:cNvPr id="2" name="Rectangle 1">
          <a:extLst>
            <a:ext uri="{FF2B5EF4-FFF2-40B4-BE49-F238E27FC236}">
              <a16:creationId xmlns:a16="http://schemas.microsoft.com/office/drawing/2014/main" id="{CA3049F0-E1A7-49A0-AF23-0C118E284A58}"/>
            </a:ext>
          </a:extLst>
        </xdr:cNvPr>
        <xdr:cNvSpPr/>
      </xdr:nvSpPr>
      <xdr:spPr>
        <a:xfrm>
          <a:off x="9968345" y="42552"/>
          <a:ext cx="6634349" cy="78080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3600">
              <a:latin typeface="微软雅黑" panose="020B0503020204020204" pitchFamily="34" charset="-122"/>
              <a:ea typeface="微软雅黑" panose="020B0503020204020204" pitchFamily="34" charset="-122"/>
            </a:rPr>
            <a:t>西安三星生产数字化报表</a:t>
          </a:r>
          <a:endParaRPr lang="en-US" sz="3600">
            <a:latin typeface="微软雅黑" panose="020B0503020204020204" pitchFamily="34" charset="-122"/>
            <a:ea typeface="微软雅黑" panose="020B0503020204020204" pitchFamily="34" charset="-122"/>
          </a:endParaRPr>
        </a:p>
      </xdr:txBody>
    </xdr:sp>
    <xdr:clientData/>
  </xdr:twoCellAnchor>
  <xdr:twoCellAnchor editAs="oneCell">
    <xdr:from>
      <xdr:col>1</xdr:col>
      <xdr:colOff>138249</xdr:colOff>
      <xdr:row>3</xdr:row>
      <xdr:rowOff>249283</xdr:rowOff>
    </xdr:from>
    <xdr:to>
      <xdr:col>6</xdr:col>
      <xdr:colOff>7621</xdr:colOff>
      <xdr:row>7</xdr:row>
      <xdr:rowOff>119743</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F6B32F5F-5BEC-4716-AA87-05D6D744835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37851" y="985061"/>
              <a:ext cx="1892146" cy="8622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117566</xdr:colOff>
      <xdr:row>7</xdr:row>
      <xdr:rowOff>228600</xdr:rowOff>
    </xdr:from>
    <xdr:to>
      <xdr:col>5</xdr:col>
      <xdr:colOff>378823</xdr:colOff>
      <xdr:row>18</xdr:row>
      <xdr:rowOff>21772</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8FC01DB6-AA44-43C0-82A7-9AE3508BAEA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20978" y="1954306"/>
              <a:ext cx="1874904" cy="25011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32660</xdr:colOff>
      <xdr:row>4</xdr:row>
      <xdr:rowOff>32657</xdr:rowOff>
    </xdr:from>
    <xdr:to>
      <xdr:col>27</xdr:col>
      <xdr:colOff>108857</xdr:colOff>
      <xdr:row>18</xdr:row>
      <xdr:rowOff>32656</xdr:rowOff>
    </xdr:to>
    <xdr:grpSp>
      <xdr:nvGrpSpPr>
        <xdr:cNvPr id="11" name="Group 10">
          <a:extLst>
            <a:ext uri="{FF2B5EF4-FFF2-40B4-BE49-F238E27FC236}">
              <a16:creationId xmlns:a16="http://schemas.microsoft.com/office/drawing/2014/main" id="{1F93A765-1384-4CA2-8CD6-53685FC52F2D}"/>
            </a:ext>
          </a:extLst>
        </xdr:cNvPr>
        <xdr:cNvGrpSpPr/>
      </xdr:nvGrpSpPr>
      <xdr:grpSpPr>
        <a:xfrm>
          <a:off x="10055201" y="1036704"/>
          <a:ext cx="6387350" cy="3514164"/>
          <a:chOff x="11963400" y="1126807"/>
          <a:chExt cx="8010662" cy="3749995"/>
        </a:xfrm>
      </xdr:grpSpPr>
      <xdr:graphicFrame macro="">
        <xdr:nvGraphicFramePr>
          <xdr:cNvPr id="47" name="Chart 46">
            <a:extLst>
              <a:ext uri="{FF2B5EF4-FFF2-40B4-BE49-F238E27FC236}">
                <a16:creationId xmlns:a16="http://schemas.microsoft.com/office/drawing/2014/main" id="{EE8035F3-2751-4135-9955-78191621B760}"/>
              </a:ext>
            </a:extLst>
          </xdr:cNvPr>
          <xdr:cNvGraphicFramePr>
            <a:graphicFrameLocks/>
          </xdr:cNvGraphicFramePr>
        </xdr:nvGraphicFramePr>
        <xdr:xfrm>
          <a:off x="11963400" y="1164774"/>
          <a:ext cx="7990113" cy="3712028"/>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6" name="Group 5">
            <a:extLst>
              <a:ext uri="{FF2B5EF4-FFF2-40B4-BE49-F238E27FC236}">
                <a16:creationId xmlns:a16="http://schemas.microsoft.com/office/drawing/2014/main" id="{AFABEE3F-4598-4347-B8B8-01797F73F4BF}"/>
              </a:ext>
            </a:extLst>
          </xdr:cNvPr>
          <xdr:cNvGrpSpPr/>
        </xdr:nvGrpSpPr>
        <xdr:grpSpPr>
          <a:xfrm>
            <a:off x="11963400" y="1126807"/>
            <a:ext cx="8010662" cy="3731487"/>
            <a:chOff x="12311743" y="1213893"/>
            <a:chExt cx="8010662" cy="3731487"/>
          </a:xfrm>
        </xdr:grpSpPr>
        <xdr:grpSp>
          <xdr:nvGrpSpPr>
            <xdr:cNvPr id="23" name="Group 22">
              <a:extLst>
                <a:ext uri="{FF2B5EF4-FFF2-40B4-BE49-F238E27FC236}">
                  <a16:creationId xmlns:a16="http://schemas.microsoft.com/office/drawing/2014/main" id="{743CC678-050A-49C4-BF5A-ADEDFE448CB1}"/>
                </a:ext>
              </a:extLst>
            </xdr:cNvPr>
            <xdr:cNvGrpSpPr/>
          </xdr:nvGrpSpPr>
          <xdr:grpSpPr>
            <a:xfrm rot="5400000">
              <a:off x="20049241" y="4672217"/>
              <a:ext cx="286295" cy="260032"/>
              <a:chOff x="11056620" y="867728"/>
              <a:chExt cx="281940" cy="260032"/>
            </a:xfrm>
          </xdr:grpSpPr>
          <xdr:cxnSp macro="">
            <xdr:nvCxnSpPr>
              <xdr:cNvPr id="24" name="Straight Connector 23">
                <a:extLst>
                  <a:ext uri="{FF2B5EF4-FFF2-40B4-BE49-F238E27FC236}">
                    <a16:creationId xmlns:a16="http://schemas.microsoft.com/office/drawing/2014/main" id="{878820A3-9CA6-4D17-9F40-C76029ECECAD}"/>
                  </a:ext>
                </a:extLst>
              </xdr:cNvPr>
              <xdr:cNvCxnSpPr/>
            </xdr:nvCxnSpPr>
            <xdr:spPr>
              <a:xfrm>
                <a:off x="11056620" y="868680"/>
                <a:ext cx="281940" cy="0"/>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cxnSp macro="">
            <xdr:nvCxnSpPr>
              <xdr:cNvPr id="25" name="Straight Connector 24">
                <a:extLst>
                  <a:ext uri="{FF2B5EF4-FFF2-40B4-BE49-F238E27FC236}">
                    <a16:creationId xmlns:a16="http://schemas.microsoft.com/office/drawing/2014/main" id="{5417C47D-3B24-4FD0-A2A9-A48C0D5E3564}"/>
                  </a:ext>
                </a:extLst>
              </xdr:cNvPr>
              <xdr:cNvCxnSpPr/>
            </xdr:nvCxnSpPr>
            <xdr:spPr>
              <a:xfrm>
                <a:off x="11338560" y="867728"/>
                <a:ext cx="0" cy="260032"/>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grpSp>
        <xdr:grpSp>
          <xdr:nvGrpSpPr>
            <xdr:cNvPr id="26" name="Group 25">
              <a:extLst>
                <a:ext uri="{FF2B5EF4-FFF2-40B4-BE49-F238E27FC236}">
                  <a16:creationId xmlns:a16="http://schemas.microsoft.com/office/drawing/2014/main" id="{3E6F037A-72EA-4BEF-8787-A9438A012725}"/>
                </a:ext>
              </a:extLst>
            </xdr:cNvPr>
            <xdr:cNvGrpSpPr/>
          </xdr:nvGrpSpPr>
          <xdr:grpSpPr>
            <a:xfrm rot="10800000">
              <a:off x="12311743" y="4680856"/>
              <a:ext cx="281940" cy="264387"/>
              <a:chOff x="11056620" y="867728"/>
              <a:chExt cx="281940" cy="260032"/>
            </a:xfrm>
          </xdr:grpSpPr>
          <xdr:cxnSp macro="">
            <xdr:nvCxnSpPr>
              <xdr:cNvPr id="27" name="Straight Connector 26">
                <a:extLst>
                  <a:ext uri="{FF2B5EF4-FFF2-40B4-BE49-F238E27FC236}">
                    <a16:creationId xmlns:a16="http://schemas.microsoft.com/office/drawing/2014/main" id="{92E6FAD1-8DC8-4DB3-B12F-24DB39C6E404}"/>
                  </a:ext>
                </a:extLst>
              </xdr:cNvPr>
              <xdr:cNvCxnSpPr/>
            </xdr:nvCxnSpPr>
            <xdr:spPr>
              <a:xfrm>
                <a:off x="11056620" y="868680"/>
                <a:ext cx="281940" cy="0"/>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777275A0-55CF-4958-BD7B-5F205690D47C}"/>
                  </a:ext>
                </a:extLst>
              </xdr:cNvPr>
              <xdr:cNvCxnSpPr/>
            </xdr:nvCxnSpPr>
            <xdr:spPr>
              <a:xfrm>
                <a:off x="11338560" y="867728"/>
                <a:ext cx="0" cy="260032"/>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grpSp>
        <xdr:grpSp>
          <xdr:nvGrpSpPr>
            <xdr:cNvPr id="29" name="Group 28">
              <a:extLst>
                <a:ext uri="{FF2B5EF4-FFF2-40B4-BE49-F238E27FC236}">
                  <a16:creationId xmlns:a16="http://schemas.microsoft.com/office/drawing/2014/main" id="{82778B08-2766-4210-9C45-89110458B458}"/>
                </a:ext>
              </a:extLst>
            </xdr:cNvPr>
            <xdr:cNvGrpSpPr/>
          </xdr:nvGrpSpPr>
          <xdr:grpSpPr>
            <a:xfrm>
              <a:off x="20015563" y="1213893"/>
              <a:ext cx="281940" cy="264386"/>
              <a:chOff x="11056620" y="867728"/>
              <a:chExt cx="281940" cy="260032"/>
            </a:xfrm>
          </xdr:grpSpPr>
          <xdr:cxnSp macro="">
            <xdr:nvCxnSpPr>
              <xdr:cNvPr id="30" name="Straight Connector 29">
                <a:extLst>
                  <a:ext uri="{FF2B5EF4-FFF2-40B4-BE49-F238E27FC236}">
                    <a16:creationId xmlns:a16="http://schemas.microsoft.com/office/drawing/2014/main" id="{A1BE3436-FEF3-4753-B54A-92240229A54C}"/>
                  </a:ext>
                </a:extLst>
              </xdr:cNvPr>
              <xdr:cNvCxnSpPr/>
            </xdr:nvCxnSpPr>
            <xdr:spPr>
              <a:xfrm>
                <a:off x="11056620" y="868680"/>
                <a:ext cx="281940" cy="0"/>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cxnSp macro="">
            <xdr:nvCxnSpPr>
              <xdr:cNvPr id="31" name="Straight Connector 30">
                <a:extLst>
                  <a:ext uri="{FF2B5EF4-FFF2-40B4-BE49-F238E27FC236}">
                    <a16:creationId xmlns:a16="http://schemas.microsoft.com/office/drawing/2014/main" id="{039879E6-D6DD-4B7F-ACC6-2AFDCC200FFD}"/>
                  </a:ext>
                </a:extLst>
              </xdr:cNvPr>
              <xdr:cNvCxnSpPr/>
            </xdr:nvCxnSpPr>
            <xdr:spPr>
              <a:xfrm>
                <a:off x="11338560" y="867728"/>
                <a:ext cx="0" cy="260032"/>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grpSp>
        <xdr:grpSp>
          <xdr:nvGrpSpPr>
            <xdr:cNvPr id="32" name="Group 31">
              <a:extLst>
                <a:ext uri="{FF2B5EF4-FFF2-40B4-BE49-F238E27FC236}">
                  <a16:creationId xmlns:a16="http://schemas.microsoft.com/office/drawing/2014/main" id="{2E560942-782F-4E88-AF96-2B689F609CF5}"/>
                </a:ext>
              </a:extLst>
            </xdr:cNvPr>
            <xdr:cNvGrpSpPr/>
          </xdr:nvGrpSpPr>
          <xdr:grpSpPr>
            <a:xfrm rot="16200000">
              <a:off x="12298613" y="1232332"/>
              <a:ext cx="286294" cy="260032"/>
              <a:chOff x="11056620" y="867728"/>
              <a:chExt cx="281940" cy="260032"/>
            </a:xfrm>
          </xdr:grpSpPr>
          <xdr:cxnSp macro="">
            <xdr:nvCxnSpPr>
              <xdr:cNvPr id="43" name="Straight Connector 42">
                <a:extLst>
                  <a:ext uri="{FF2B5EF4-FFF2-40B4-BE49-F238E27FC236}">
                    <a16:creationId xmlns:a16="http://schemas.microsoft.com/office/drawing/2014/main" id="{3888DA22-7242-4721-B2D5-29EDE144345C}"/>
                  </a:ext>
                </a:extLst>
              </xdr:cNvPr>
              <xdr:cNvCxnSpPr/>
            </xdr:nvCxnSpPr>
            <xdr:spPr>
              <a:xfrm>
                <a:off x="11056620" y="868680"/>
                <a:ext cx="281940" cy="0"/>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cxnSp macro="">
            <xdr:nvCxnSpPr>
              <xdr:cNvPr id="44" name="Straight Connector 43">
                <a:extLst>
                  <a:ext uri="{FF2B5EF4-FFF2-40B4-BE49-F238E27FC236}">
                    <a16:creationId xmlns:a16="http://schemas.microsoft.com/office/drawing/2014/main" id="{D30295CE-83D2-4A7C-A8B4-E792DF788F03}"/>
                  </a:ext>
                </a:extLst>
              </xdr:cNvPr>
              <xdr:cNvCxnSpPr/>
            </xdr:nvCxnSpPr>
            <xdr:spPr>
              <a:xfrm>
                <a:off x="11338560" y="867728"/>
                <a:ext cx="0" cy="260032"/>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grpSp>
      </xdr:grpSp>
    </xdr:grpSp>
    <xdr:clientData/>
  </xdr:twoCellAnchor>
  <xdr:twoCellAnchor>
    <xdr:from>
      <xdr:col>7</xdr:col>
      <xdr:colOff>355660</xdr:colOff>
      <xdr:row>4</xdr:row>
      <xdr:rowOff>21771</xdr:rowOff>
    </xdr:from>
    <xdr:to>
      <xdr:col>10</xdr:col>
      <xdr:colOff>1843940</xdr:colOff>
      <xdr:row>18</xdr:row>
      <xdr:rowOff>54428</xdr:rowOff>
    </xdr:to>
    <xdr:grpSp>
      <xdr:nvGrpSpPr>
        <xdr:cNvPr id="8" name="Group 7">
          <a:extLst>
            <a:ext uri="{FF2B5EF4-FFF2-40B4-BE49-F238E27FC236}">
              <a16:creationId xmlns:a16="http://schemas.microsoft.com/office/drawing/2014/main" id="{19064085-3570-4E2A-BE41-CBEF807C7782}"/>
            </a:ext>
          </a:extLst>
        </xdr:cNvPr>
        <xdr:cNvGrpSpPr/>
      </xdr:nvGrpSpPr>
      <xdr:grpSpPr>
        <a:xfrm>
          <a:off x="3116789" y="1025818"/>
          <a:ext cx="6642986" cy="3546822"/>
          <a:chOff x="3081814" y="1224780"/>
          <a:chExt cx="8926884" cy="3750725"/>
        </a:xfrm>
      </xdr:grpSpPr>
      <xdr:graphicFrame macro="">
        <xdr:nvGraphicFramePr>
          <xdr:cNvPr id="46" name="Chart 45">
            <a:extLst>
              <a:ext uri="{FF2B5EF4-FFF2-40B4-BE49-F238E27FC236}">
                <a16:creationId xmlns:a16="http://schemas.microsoft.com/office/drawing/2014/main" id="{44CE0406-BB09-4B14-8654-5423CF83FB66}"/>
              </a:ext>
            </a:extLst>
          </xdr:cNvPr>
          <xdr:cNvGraphicFramePr>
            <a:graphicFrameLocks/>
          </xdr:cNvGraphicFramePr>
        </xdr:nvGraphicFramePr>
        <xdr:xfrm>
          <a:off x="3125955" y="1252589"/>
          <a:ext cx="8882743" cy="3722916"/>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7" name="Group 6">
            <a:extLst>
              <a:ext uri="{FF2B5EF4-FFF2-40B4-BE49-F238E27FC236}">
                <a16:creationId xmlns:a16="http://schemas.microsoft.com/office/drawing/2014/main" id="{A737DDFD-D4D6-4099-8CE4-ACDC7A0C182F}"/>
              </a:ext>
            </a:extLst>
          </xdr:cNvPr>
          <xdr:cNvGrpSpPr/>
        </xdr:nvGrpSpPr>
        <xdr:grpSpPr>
          <a:xfrm>
            <a:off x="3081814" y="1224780"/>
            <a:ext cx="8906554" cy="3744483"/>
            <a:chOff x="3081814" y="1224780"/>
            <a:chExt cx="8906554" cy="3744483"/>
          </a:xfrm>
        </xdr:grpSpPr>
        <xdr:grpSp>
          <xdr:nvGrpSpPr>
            <xdr:cNvPr id="33" name="Group 32">
              <a:extLst>
                <a:ext uri="{FF2B5EF4-FFF2-40B4-BE49-F238E27FC236}">
                  <a16:creationId xmlns:a16="http://schemas.microsoft.com/office/drawing/2014/main" id="{45DC07D3-6A7E-4158-B3F7-15A71EC88E09}"/>
                </a:ext>
              </a:extLst>
            </xdr:cNvPr>
            <xdr:cNvGrpSpPr/>
          </xdr:nvGrpSpPr>
          <xdr:grpSpPr>
            <a:xfrm>
              <a:off x="11666220" y="1224780"/>
              <a:ext cx="281940" cy="264386"/>
              <a:chOff x="11056620" y="867728"/>
              <a:chExt cx="281940" cy="260032"/>
            </a:xfrm>
          </xdr:grpSpPr>
          <xdr:cxnSp macro="">
            <xdr:nvCxnSpPr>
              <xdr:cNvPr id="18" name="Straight Connector 17">
                <a:extLst>
                  <a:ext uri="{FF2B5EF4-FFF2-40B4-BE49-F238E27FC236}">
                    <a16:creationId xmlns:a16="http://schemas.microsoft.com/office/drawing/2014/main" id="{11E20BE1-1E4A-41E4-9F59-9CDF57B46F44}"/>
                  </a:ext>
                </a:extLst>
              </xdr:cNvPr>
              <xdr:cNvCxnSpPr/>
            </xdr:nvCxnSpPr>
            <xdr:spPr>
              <a:xfrm>
                <a:off x="11056620" y="868680"/>
                <a:ext cx="281940" cy="0"/>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cxnSp macro="">
            <xdr:nvCxnSpPr>
              <xdr:cNvPr id="20" name="Straight Connector 19">
                <a:extLst>
                  <a:ext uri="{FF2B5EF4-FFF2-40B4-BE49-F238E27FC236}">
                    <a16:creationId xmlns:a16="http://schemas.microsoft.com/office/drawing/2014/main" id="{146C3C49-AD85-4165-8F9C-9B0F7B2BFFE8}"/>
                  </a:ext>
                </a:extLst>
              </xdr:cNvPr>
              <xdr:cNvCxnSpPr/>
            </xdr:nvCxnSpPr>
            <xdr:spPr>
              <a:xfrm>
                <a:off x="11338560" y="867728"/>
                <a:ext cx="0" cy="260032"/>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grpSp>
        <xdr:grpSp>
          <xdr:nvGrpSpPr>
            <xdr:cNvPr id="34" name="Group 33">
              <a:extLst>
                <a:ext uri="{FF2B5EF4-FFF2-40B4-BE49-F238E27FC236}">
                  <a16:creationId xmlns:a16="http://schemas.microsoft.com/office/drawing/2014/main" id="{5DF77A13-245F-4144-B1B6-00234DD4E2B9}"/>
                </a:ext>
              </a:extLst>
            </xdr:cNvPr>
            <xdr:cNvGrpSpPr/>
          </xdr:nvGrpSpPr>
          <xdr:grpSpPr>
            <a:xfrm rot="16200000">
              <a:off x="3068683" y="1249817"/>
              <a:ext cx="286294" cy="260032"/>
              <a:chOff x="11056620" y="867728"/>
              <a:chExt cx="281940" cy="260032"/>
            </a:xfrm>
          </xdr:grpSpPr>
          <xdr:cxnSp macro="">
            <xdr:nvCxnSpPr>
              <xdr:cNvPr id="35" name="Straight Connector 34">
                <a:extLst>
                  <a:ext uri="{FF2B5EF4-FFF2-40B4-BE49-F238E27FC236}">
                    <a16:creationId xmlns:a16="http://schemas.microsoft.com/office/drawing/2014/main" id="{C0365986-3C39-4D4F-92CF-BB09622FDB1D}"/>
                  </a:ext>
                </a:extLst>
              </xdr:cNvPr>
              <xdr:cNvCxnSpPr/>
            </xdr:nvCxnSpPr>
            <xdr:spPr>
              <a:xfrm>
                <a:off x="11056620" y="868680"/>
                <a:ext cx="281940" cy="0"/>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cxnSp macro="">
            <xdr:nvCxnSpPr>
              <xdr:cNvPr id="36" name="Straight Connector 35">
                <a:extLst>
                  <a:ext uri="{FF2B5EF4-FFF2-40B4-BE49-F238E27FC236}">
                    <a16:creationId xmlns:a16="http://schemas.microsoft.com/office/drawing/2014/main" id="{C71CEEEC-28BE-4C46-BFA1-B43BBA1878F5}"/>
                  </a:ext>
                </a:extLst>
              </xdr:cNvPr>
              <xdr:cNvCxnSpPr/>
            </xdr:nvCxnSpPr>
            <xdr:spPr>
              <a:xfrm>
                <a:off x="11338560" y="867728"/>
                <a:ext cx="0" cy="260032"/>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grpSp>
        <xdr:grpSp>
          <xdr:nvGrpSpPr>
            <xdr:cNvPr id="40" name="Group 39">
              <a:extLst>
                <a:ext uri="{FF2B5EF4-FFF2-40B4-BE49-F238E27FC236}">
                  <a16:creationId xmlns:a16="http://schemas.microsoft.com/office/drawing/2014/main" id="{209BAEC3-03CE-4089-BF05-424D0DB09EFC}"/>
                </a:ext>
              </a:extLst>
            </xdr:cNvPr>
            <xdr:cNvGrpSpPr/>
          </xdr:nvGrpSpPr>
          <xdr:grpSpPr>
            <a:xfrm rot="5400000">
              <a:off x="11715204" y="4696100"/>
              <a:ext cx="286295" cy="260032"/>
              <a:chOff x="11056620" y="867728"/>
              <a:chExt cx="281940" cy="260032"/>
            </a:xfrm>
          </xdr:grpSpPr>
          <xdr:cxnSp macro="">
            <xdr:nvCxnSpPr>
              <xdr:cNvPr id="41" name="Straight Connector 40">
                <a:extLst>
                  <a:ext uri="{FF2B5EF4-FFF2-40B4-BE49-F238E27FC236}">
                    <a16:creationId xmlns:a16="http://schemas.microsoft.com/office/drawing/2014/main" id="{E394737F-FC2C-46A4-B192-84A9C9A26A1C}"/>
                  </a:ext>
                </a:extLst>
              </xdr:cNvPr>
              <xdr:cNvCxnSpPr/>
            </xdr:nvCxnSpPr>
            <xdr:spPr>
              <a:xfrm>
                <a:off x="11056620" y="868680"/>
                <a:ext cx="281940" cy="0"/>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cxnSp macro="">
            <xdr:nvCxnSpPr>
              <xdr:cNvPr id="42" name="Straight Connector 41">
                <a:extLst>
                  <a:ext uri="{FF2B5EF4-FFF2-40B4-BE49-F238E27FC236}">
                    <a16:creationId xmlns:a16="http://schemas.microsoft.com/office/drawing/2014/main" id="{B2C2499B-CDFF-4097-A5CB-2EC1D70A15B5}"/>
                  </a:ext>
                </a:extLst>
              </xdr:cNvPr>
              <xdr:cNvCxnSpPr/>
            </xdr:nvCxnSpPr>
            <xdr:spPr>
              <a:xfrm>
                <a:off x="11338560" y="867728"/>
                <a:ext cx="0" cy="260032"/>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grpSp>
        <xdr:grpSp>
          <xdr:nvGrpSpPr>
            <xdr:cNvPr id="37" name="Group 36">
              <a:extLst>
                <a:ext uri="{FF2B5EF4-FFF2-40B4-BE49-F238E27FC236}">
                  <a16:creationId xmlns:a16="http://schemas.microsoft.com/office/drawing/2014/main" id="{1F139921-3A4C-44AE-851F-9E544EB366DF}"/>
                </a:ext>
              </a:extLst>
            </xdr:cNvPr>
            <xdr:cNvGrpSpPr/>
          </xdr:nvGrpSpPr>
          <xdr:grpSpPr>
            <a:xfrm rot="10800000">
              <a:off x="3096986" y="4690654"/>
              <a:ext cx="281940" cy="264387"/>
              <a:chOff x="11056620" y="867728"/>
              <a:chExt cx="281940" cy="260032"/>
            </a:xfrm>
          </xdr:grpSpPr>
          <xdr:cxnSp macro="">
            <xdr:nvCxnSpPr>
              <xdr:cNvPr id="38" name="Straight Connector 37">
                <a:extLst>
                  <a:ext uri="{FF2B5EF4-FFF2-40B4-BE49-F238E27FC236}">
                    <a16:creationId xmlns:a16="http://schemas.microsoft.com/office/drawing/2014/main" id="{3023ACE9-0167-4E8F-B6B6-CC025A4720DA}"/>
                  </a:ext>
                </a:extLst>
              </xdr:cNvPr>
              <xdr:cNvCxnSpPr/>
            </xdr:nvCxnSpPr>
            <xdr:spPr>
              <a:xfrm>
                <a:off x="11056620" y="868680"/>
                <a:ext cx="281940" cy="0"/>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cxnSp macro="">
            <xdr:nvCxnSpPr>
              <xdr:cNvPr id="39" name="Straight Connector 38">
                <a:extLst>
                  <a:ext uri="{FF2B5EF4-FFF2-40B4-BE49-F238E27FC236}">
                    <a16:creationId xmlns:a16="http://schemas.microsoft.com/office/drawing/2014/main" id="{7E0BEEAF-569D-48DC-9465-D0B23E77D05B}"/>
                  </a:ext>
                </a:extLst>
              </xdr:cNvPr>
              <xdr:cNvCxnSpPr/>
            </xdr:nvCxnSpPr>
            <xdr:spPr>
              <a:xfrm>
                <a:off x="11338560" y="867728"/>
                <a:ext cx="0" cy="260032"/>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grpSp>
      </xdr:grpSp>
    </xdr:grpSp>
    <xdr:clientData/>
  </xdr:twoCellAnchor>
</xdr:wsDr>
</file>

<file path=xl/drawings/drawing4.xml><?xml version="1.0" encoding="utf-8"?>
<c:userShapes xmlns:c="http://schemas.openxmlformats.org/drawingml/2006/chart">
  <cdr:relSizeAnchor xmlns:cdr="http://schemas.openxmlformats.org/drawingml/2006/chartDrawing">
    <cdr:from>
      <cdr:x>0.29564</cdr:x>
      <cdr:y>0.01466</cdr:y>
    </cdr:from>
    <cdr:to>
      <cdr:x>0.73569</cdr:x>
      <cdr:y>0.11144</cdr:y>
    </cdr:to>
    <cdr:sp macro="" textlink="">
      <cdr:nvSpPr>
        <cdr:cNvPr id="2" name="Rectangle 1">
          <a:extLst xmlns:a="http://schemas.openxmlformats.org/drawingml/2006/main">
            <a:ext uri="{FF2B5EF4-FFF2-40B4-BE49-F238E27FC236}">
              <a16:creationId xmlns:a16="http://schemas.microsoft.com/office/drawing/2014/main" id="{B16A4150-918C-4FE1-A479-A1358E6F8AB6}"/>
            </a:ext>
          </a:extLst>
        </cdr:cNvPr>
        <cdr:cNvSpPr/>
      </cdr:nvSpPr>
      <cdr:spPr>
        <a:xfrm xmlns:a="http://schemas.openxmlformats.org/drawingml/2006/main">
          <a:off x="2362200" y="54427"/>
          <a:ext cx="3516086" cy="359229"/>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rtl="0"/>
          <a:r>
            <a:rPr lang="en-US" sz="2000" b="1" i="0" baseline="0">
              <a:solidFill>
                <a:schemeClr val="lt1"/>
              </a:solidFill>
              <a:effectLst/>
              <a:latin typeface="+mn-lt"/>
              <a:ea typeface="+mn-ea"/>
              <a:cs typeface="+mn-cs"/>
            </a:rPr>
            <a:t>Cooling Water Temperature</a:t>
          </a:r>
          <a:endParaRPr lang="en-US" sz="2000" b="1">
            <a:effectLst/>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0.33578</cdr:x>
      <cdr:y>0.01754</cdr:y>
    </cdr:from>
    <cdr:to>
      <cdr:x>0.60662</cdr:x>
      <cdr:y>0.09357</cdr:y>
    </cdr:to>
    <cdr:sp macro="" textlink="">
      <cdr:nvSpPr>
        <cdr:cNvPr id="2" name="Rectangle 1">
          <a:extLst xmlns:a="http://schemas.openxmlformats.org/drawingml/2006/main">
            <a:ext uri="{FF2B5EF4-FFF2-40B4-BE49-F238E27FC236}">
              <a16:creationId xmlns:a16="http://schemas.microsoft.com/office/drawing/2014/main" id="{A4318449-3DB9-4387-AC2C-093D5B5D8B7C}"/>
            </a:ext>
          </a:extLst>
        </cdr:cNvPr>
        <cdr:cNvSpPr/>
      </cdr:nvSpPr>
      <cdr:spPr>
        <a:xfrm xmlns:a="http://schemas.openxmlformats.org/drawingml/2006/main">
          <a:off x="2982686" y="65315"/>
          <a:ext cx="2405743" cy="283029"/>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2000" b="1"/>
            <a:t>Spec Power</a:t>
          </a:r>
        </a:p>
      </cdr:txBody>
    </cdr:sp>
  </cdr:relSizeAnchor>
</c:userShapes>
</file>

<file path=xl/drawings/drawing6.xml><?xml version="1.0" encoding="utf-8"?>
<xdr:wsDr xmlns:xdr="http://schemas.openxmlformats.org/drawingml/2006/spreadsheetDrawing" xmlns:a="http://schemas.openxmlformats.org/drawingml/2006/main">
  <xdr:twoCellAnchor>
    <xdr:from>
      <xdr:col>11</xdr:col>
      <xdr:colOff>2163199</xdr:colOff>
      <xdr:row>6</xdr:row>
      <xdr:rowOff>91440</xdr:rowOff>
    </xdr:from>
    <xdr:to>
      <xdr:col>23</xdr:col>
      <xdr:colOff>532315</xdr:colOff>
      <xdr:row>29</xdr:row>
      <xdr:rowOff>458932</xdr:rowOff>
    </xdr:to>
    <xdr:grpSp>
      <xdr:nvGrpSpPr>
        <xdr:cNvPr id="2" name="Group 1">
          <a:extLst>
            <a:ext uri="{FF2B5EF4-FFF2-40B4-BE49-F238E27FC236}">
              <a16:creationId xmlns:a16="http://schemas.microsoft.com/office/drawing/2014/main" id="{BA639DF0-203B-471A-A58C-AED5F27DE782}"/>
            </a:ext>
          </a:extLst>
        </xdr:cNvPr>
        <xdr:cNvGrpSpPr/>
      </xdr:nvGrpSpPr>
      <xdr:grpSpPr>
        <a:xfrm>
          <a:off x="12138472" y="1185949"/>
          <a:ext cx="8704607" cy="4510001"/>
          <a:chOff x="11963400" y="1126807"/>
          <a:chExt cx="8010662" cy="3749994"/>
        </a:xfrm>
      </xdr:grpSpPr>
      <xdr:graphicFrame macro="">
        <xdr:nvGraphicFramePr>
          <xdr:cNvPr id="3" name="Chart 2">
            <a:extLst>
              <a:ext uri="{FF2B5EF4-FFF2-40B4-BE49-F238E27FC236}">
                <a16:creationId xmlns:a16="http://schemas.microsoft.com/office/drawing/2014/main" id="{09E6AA8E-4ED3-4037-9FED-02CDA2E3D950}"/>
              </a:ext>
            </a:extLst>
          </xdr:cNvPr>
          <xdr:cNvGraphicFramePr>
            <a:graphicFrameLocks/>
          </xdr:cNvGraphicFramePr>
        </xdr:nvGraphicFramePr>
        <xdr:xfrm>
          <a:off x="11963400" y="1164774"/>
          <a:ext cx="7990113" cy="3712027"/>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4" name="Group 3">
            <a:extLst>
              <a:ext uri="{FF2B5EF4-FFF2-40B4-BE49-F238E27FC236}">
                <a16:creationId xmlns:a16="http://schemas.microsoft.com/office/drawing/2014/main" id="{880E5A88-6165-4973-839E-2DBA2FDA40F3}"/>
              </a:ext>
            </a:extLst>
          </xdr:cNvPr>
          <xdr:cNvGrpSpPr/>
        </xdr:nvGrpSpPr>
        <xdr:grpSpPr>
          <a:xfrm>
            <a:off x="11963400" y="1126807"/>
            <a:ext cx="8010662" cy="3731487"/>
            <a:chOff x="12311743" y="1213893"/>
            <a:chExt cx="8010662" cy="3731487"/>
          </a:xfrm>
        </xdr:grpSpPr>
        <xdr:grpSp>
          <xdr:nvGrpSpPr>
            <xdr:cNvPr id="5" name="Group 4">
              <a:extLst>
                <a:ext uri="{FF2B5EF4-FFF2-40B4-BE49-F238E27FC236}">
                  <a16:creationId xmlns:a16="http://schemas.microsoft.com/office/drawing/2014/main" id="{B4EF2BD8-180C-4803-A0B1-AC2F8BFB3D3E}"/>
                </a:ext>
              </a:extLst>
            </xdr:cNvPr>
            <xdr:cNvGrpSpPr/>
          </xdr:nvGrpSpPr>
          <xdr:grpSpPr>
            <a:xfrm rot="5400000">
              <a:off x="20049241" y="4672217"/>
              <a:ext cx="286295" cy="260032"/>
              <a:chOff x="11056620" y="867728"/>
              <a:chExt cx="281940" cy="260032"/>
            </a:xfrm>
          </xdr:grpSpPr>
          <xdr:cxnSp macro="">
            <xdr:nvCxnSpPr>
              <xdr:cNvPr id="15" name="Straight Connector 14">
                <a:extLst>
                  <a:ext uri="{FF2B5EF4-FFF2-40B4-BE49-F238E27FC236}">
                    <a16:creationId xmlns:a16="http://schemas.microsoft.com/office/drawing/2014/main" id="{BA22591F-0F03-4FA3-89D1-C0F7D316284D}"/>
                  </a:ext>
                </a:extLst>
              </xdr:cNvPr>
              <xdr:cNvCxnSpPr/>
            </xdr:nvCxnSpPr>
            <xdr:spPr>
              <a:xfrm>
                <a:off x="11056620" y="868680"/>
                <a:ext cx="281940" cy="0"/>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cxnSp macro="">
            <xdr:nvCxnSpPr>
              <xdr:cNvPr id="16" name="Straight Connector 15">
                <a:extLst>
                  <a:ext uri="{FF2B5EF4-FFF2-40B4-BE49-F238E27FC236}">
                    <a16:creationId xmlns:a16="http://schemas.microsoft.com/office/drawing/2014/main" id="{C49905B7-1BBE-4B11-B615-FD3E5B009443}"/>
                  </a:ext>
                </a:extLst>
              </xdr:cNvPr>
              <xdr:cNvCxnSpPr/>
            </xdr:nvCxnSpPr>
            <xdr:spPr>
              <a:xfrm>
                <a:off x="11338560" y="867728"/>
                <a:ext cx="0" cy="260032"/>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grpSp>
        <xdr:grpSp>
          <xdr:nvGrpSpPr>
            <xdr:cNvPr id="6" name="Group 5">
              <a:extLst>
                <a:ext uri="{FF2B5EF4-FFF2-40B4-BE49-F238E27FC236}">
                  <a16:creationId xmlns:a16="http://schemas.microsoft.com/office/drawing/2014/main" id="{4AE6E6F5-B0DB-4205-BB31-2690EED58EA6}"/>
                </a:ext>
              </a:extLst>
            </xdr:cNvPr>
            <xdr:cNvGrpSpPr/>
          </xdr:nvGrpSpPr>
          <xdr:grpSpPr>
            <a:xfrm rot="10800000">
              <a:off x="12311743" y="4680856"/>
              <a:ext cx="281940" cy="264387"/>
              <a:chOff x="11056620" y="867728"/>
              <a:chExt cx="281940" cy="260032"/>
            </a:xfrm>
          </xdr:grpSpPr>
          <xdr:cxnSp macro="">
            <xdr:nvCxnSpPr>
              <xdr:cNvPr id="13" name="Straight Connector 12">
                <a:extLst>
                  <a:ext uri="{FF2B5EF4-FFF2-40B4-BE49-F238E27FC236}">
                    <a16:creationId xmlns:a16="http://schemas.microsoft.com/office/drawing/2014/main" id="{9AAEB2DC-20DC-447E-ACC9-C4360B0F530E}"/>
                  </a:ext>
                </a:extLst>
              </xdr:cNvPr>
              <xdr:cNvCxnSpPr/>
            </xdr:nvCxnSpPr>
            <xdr:spPr>
              <a:xfrm>
                <a:off x="11056620" y="868680"/>
                <a:ext cx="281940" cy="0"/>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cxnSp macro="">
            <xdr:nvCxnSpPr>
              <xdr:cNvPr id="14" name="Straight Connector 13">
                <a:extLst>
                  <a:ext uri="{FF2B5EF4-FFF2-40B4-BE49-F238E27FC236}">
                    <a16:creationId xmlns:a16="http://schemas.microsoft.com/office/drawing/2014/main" id="{C9685858-015C-4300-847C-8D393F2CD04A}"/>
                  </a:ext>
                </a:extLst>
              </xdr:cNvPr>
              <xdr:cNvCxnSpPr/>
            </xdr:nvCxnSpPr>
            <xdr:spPr>
              <a:xfrm>
                <a:off x="11338560" y="867728"/>
                <a:ext cx="0" cy="260032"/>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grpSp>
        <xdr:grpSp>
          <xdr:nvGrpSpPr>
            <xdr:cNvPr id="7" name="Group 6">
              <a:extLst>
                <a:ext uri="{FF2B5EF4-FFF2-40B4-BE49-F238E27FC236}">
                  <a16:creationId xmlns:a16="http://schemas.microsoft.com/office/drawing/2014/main" id="{49537E9B-8747-44AE-8593-B38F210559AE}"/>
                </a:ext>
              </a:extLst>
            </xdr:cNvPr>
            <xdr:cNvGrpSpPr/>
          </xdr:nvGrpSpPr>
          <xdr:grpSpPr>
            <a:xfrm>
              <a:off x="20015563" y="1213893"/>
              <a:ext cx="281940" cy="264386"/>
              <a:chOff x="11056620" y="867728"/>
              <a:chExt cx="281940" cy="260032"/>
            </a:xfrm>
          </xdr:grpSpPr>
          <xdr:cxnSp macro="">
            <xdr:nvCxnSpPr>
              <xdr:cNvPr id="11" name="Straight Connector 10">
                <a:extLst>
                  <a:ext uri="{FF2B5EF4-FFF2-40B4-BE49-F238E27FC236}">
                    <a16:creationId xmlns:a16="http://schemas.microsoft.com/office/drawing/2014/main" id="{024749C1-C4C2-4730-ABA3-926C6FE71B10}"/>
                  </a:ext>
                </a:extLst>
              </xdr:cNvPr>
              <xdr:cNvCxnSpPr/>
            </xdr:nvCxnSpPr>
            <xdr:spPr>
              <a:xfrm>
                <a:off x="11056620" y="868680"/>
                <a:ext cx="281940" cy="0"/>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cxnSp macro="">
            <xdr:nvCxnSpPr>
              <xdr:cNvPr id="12" name="Straight Connector 11">
                <a:extLst>
                  <a:ext uri="{FF2B5EF4-FFF2-40B4-BE49-F238E27FC236}">
                    <a16:creationId xmlns:a16="http://schemas.microsoft.com/office/drawing/2014/main" id="{E06CD069-92C6-4BAD-9E13-85FF06DE479A}"/>
                  </a:ext>
                </a:extLst>
              </xdr:cNvPr>
              <xdr:cNvCxnSpPr/>
            </xdr:nvCxnSpPr>
            <xdr:spPr>
              <a:xfrm>
                <a:off x="11338560" y="867728"/>
                <a:ext cx="0" cy="260032"/>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grpSp>
        <xdr:grpSp>
          <xdr:nvGrpSpPr>
            <xdr:cNvPr id="8" name="Group 7">
              <a:extLst>
                <a:ext uri="{FF2B5EF4-FFF2-40B4-BE49-F238E27FC236}">
                  <a16:creationId xmlns:a16="http://schemas.microsoft.com/office/drawing/2014/main" id="{05FFD407-FDE4-4E0E-9C8E-0E3A064F0ADA}"/>
                </a:ext>
              </a:extLst>
            </xdr:cNvPr>
            <xdr:cNvGrpSpPr/>
          </xdr:nvGrpSpPr>
          <xdr:grpSpPr>
            <a:xfrm rot="16200000">
              <a:off x="12298613" y="1232332"/>
              <a:ext cx="286294" cy="260032"/>
              <a:chOff x="11056620" y="867728"/>
              <a:chExt cx="281940" cy="260032"/>
            </a:xfrm>
          </xdr:grpSpPr>
          <xdr:cxnSp macro="">
            <xdr:nvCxnSpPr>
              <xdr:cNvPr id="9" name="Straight Connector 8">
                <a:extLst>
                  <a:ext uri="{FF2B5EF4-FFF2-40B4-BE49-F238E27FC236}">
                    <a16:creationId xmlns:a16="http://schemas.microsoft.com/office/drawing/2014/main" id="{D203B0BC-C50A-4BBE-B234-5BACDA177C20}"/>
                  </a:ext>
                </a:extLst>
              </xdr:cNvPr>
              <xdr:cNvCxnSpPr/>
            </xdr:nvCxnSpPr>
            <xdr:spPr>
              <a:xfrm>
                <a:off x="11056620" y="868680"/>
                <a:ext cx="281940" cy="0"/>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cxnSp macro="">
            <xdr:nvCxnSpPr>
              <xdr:cNvPr id="10" name="Straight Connector 9">
                <a:extLst>
                  <a:ext uri="{FF2B5EF4-FFF2-40B4-BE49-F238E27FC236}">
                    <a16:creationId xmlns:a16="http://schemas.microsoft.com/office/drawing/2014/main" id="{A8BF0E55-8AF2-4D76-8B22-2D1293A2ED51}"/>
                  </a:ext>
                </a:extLst>
              </xdr:cNvPr>
              <xdr:cNvCxnSpPr/>
            </xdr:nvCxnSpPr>
            <xdr:spPr>
              <a:xfrm>
                <a:off x="11338560" y="867728"/>
                <a:ext cx="0" cy="260032"/>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grpSp>
      </xdr:grpSp>
    </xdr:grpSp>
    <xdr:clientData/>
  </xdr:twoCellAnchor>
  <xdr:twoCellAnchor>
    <xdr:from>
      <xdr:col>3</xdr:col>
      <xdr:colOff>1016828</xdr:colOff>
      <xdr:row>6</xdr:row>
      <xdr:rowOff>112065</xdr:rowOff>
    </xdr:from>
    <xdr:to>
      <xdr:col>11</xdr:col>
      <xdr:colOff>1958042</xdr:colOff>
      <xdr:row>29</xdr:row>
      <xdr:rowOff>419100</xdr:rowOff>
    </xdr:to>
    <xdr:grpSp>
      <xdr:nvGrpSpPr>
        <xdr:cNvPr id="37" name="Group 36">
          <a:extLst>
            <a:ext uri="{FF2B5EF4-FFF2-40B4-BE49-F238E27FC236}">
              <a16:creationId xmlns:a16="http://schemas.microsoft.com/office/drawing/2014/main" id="{19E5B2F5-C1E2-4835-945D-602DA98B3DCB}"/>
            </a:ext>
          </a:extLst>
        </xdr:cNvPr>
        <xdr:cNvGrpSpPr/>
      </xdr:nvGrpSpPr>
      <xdr:grpSpPr>
        <a:xfrm>
          <a:off x="3205846" y="1206574"/>
          <a:ext cx="8727469" cy="4449544"/>
          <a:chOff x="3411685" y="1250372"/>
          <a:chExt cx="11272403" cy="4810991"/>
        </a:xfrm>
      </xdr:grpSpPr>
      <xdr:graphicFrame macro="">
        <xdr:nvGraphicFramePr>
          <xdr:cNvPr id="18" name="Chart 17">
            <a:extLst>
              <a:ext uri="{FF2B5EF4-FFF2-40B4-BE49-F238E27FC236}">
                <a16:creationId xmlns:a16="http://schemas.microsoft.com/office/drawing/2014/main" id="{CADDF8FB-430C-4D0A-BDE4-0B78110D863F}"/>
              </a:ext>
            </a:extLst>
          </xdr:cNvPr>
          <xdr:cNvGraphicFramePr>
            <a:graphicFrameLocks/>
          </xdr:cNvGraphicFramePr>
        </xdr:nvGraphicFramePr>
        <xdr:xfrm>
          <a:off x="3467424" y="1282328"/>
          <a:ext cx="11216664" cy="4775572"/>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19" name="Group 18">
            <a:extLst>
              <a:ext uri="{FF2B5EF4-FFF2-40B4-BE49-F238E27FC236}">
                <a16:creationId xmlns:a16="http://schemas.microsoft.com/office/drawing/2014/main" id="{6AB0898C-959D-4EBD-A150-A62A177D6D45}"/>
              </a:ext>
            </a:extLst>
          </xdr:cNvPr>
          <xdr:cNvGrpSpPr/>
        </xdr:nvGrpSpPr>
        <xdr:grpSpPr>
          <a:xfrm>
            <a:off x="3411685" y="1250372"/>
            <a:ext cx="11246733" cy="4810991"/>
            <a:chOff x="3081814" y="1224780"/>
            <a:chExt cx="8906554" cy="3744483"/>
          </a:xfrm>
        </xdr:grpSpPr>
        <xdr:grpSp>
          <xdr:nvGrpSpPr>
            <xdr:cNvPr id="20" name="Group 19">
              <a:extLst>
                <a:ext uri="{FF2B5EF4-FFF2-40B4-BE49-F238E27FC236}">
                  <a16:creationId xmlns:a16="http://schemas.microsoft.com/office/drawing/2014/main" id="{8DA37BF7-B736-4F5B-B226-C0FF4E18B742}"/>
                </a:ext>
              </a:extLst>
            </xdr:cNvPr>
            <xdr:cNvGrpSpPr/>
          </xdr:nvGrpSpPr>
          <xdr:grpSpPr>
            <a:xfrm>
              <a:off x="11666220" y="1224780"/>
              <a:ext cx="281940" cy="264386"/>
              <a:chOff x="11056620" y="867728"/>
              <a:chExt cx="281940" cy="260032"/>
            </a:xfrm>
          </xdr:grpSpPr>
          <xdr:cxnSp macro="">
            <xdr:nvCxnSpPr>
              <xdr:cNvPr id="30" name="Straight Connector 29">
                <a:extLst>
                  <a:ext uri="{FF2B5EF4-FFF2-40B4-BE49-F238E27FC236}">
                    <a16:creationId xmlns:a16="http://schemas.microsoft.com/office/drawing/2014/main" id="{AE25687C-7AD6-44C2-839E-4055F9662131}"/>
                  </a:ext>
                </a:extLst>
              </xdr:cNvPr>
              <xdr:cNvCxnSpPr/>
            </xdr:nvCxnSpPr>
            <xdr:spPr>
              <a:xfrm>
                <a:off x="11056620" y="868680"/>
                <a:ext cx="281940" cy="0"/>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cxnSp macro="">
            <xdr:nvCxnSpPr>
              <xdr:cNvPr id="31" name="Straight Connector 30">
                <a:extLst>
                  <a:ext uri="{FF2B5EF4-FFF2-40B4-BE49-F238E27FC236}">
                    <a16:creationId xmlns:a16="http://schemas.microsoft.com/office/drawing/2014/main" id="{37BFA6A8-338B-4D2D-8D4E-B79AE19E86C4}"/>
                  </a:ext>
                </a:extLst>
              </xdr:cNvPr>
              <xdr:cNvCxnSpPr/>
            </xdr:nvCxnSpPr>
            <xdr:spPr>
              <a:xfrm>
                <a:off x="11338560" y="867728"/>
                <a:ext cx="0" cy="260032"/>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grpSp>
        <xdr:grpSp>
          <xdr:nvGrpSpPr>
            <xdr:cNvPr id="21" name="Group 20">
              <a:extLst>
                <a:ext uri="{FF2B5EF4-FFF2-40B4-BE49-F238E27FC236}">
                  <a16:creationId xmlns:a16="http://schemas.microsoft.com/office/drawing/2014/main" id="{87C87D22-C96F-41E5-A9E7-DCD9EAA5255B}"/>
                </a:ext>
              </a:extLst>
            </xdr:cNvPr>
            <xdr:cNvGrpSpPr/>
          </xdr:nvGrpSpPr>
          <xdr:grpSpPr>
            <a:xfrm rot="16200000">
              <a:off x="3068683" y="1249817"/>
              <a:ext cx="286294" cy="260032"/>
              <a:chOff x="11056620" y="867728"/>
              <a:chExt cx="281940" cy="260032"/>
            </a:xfrm>
          </xdr:grpSpPr>
          <xdr:cxnSp macro="">
            <xdr:nvCxnSpPr>
              <xdr:cNvPr id="28" name="Straight Connector 27">
                <a:extLst>
                  <a:ext uri="{FF2B5EF4-FFF2-40B4-BE49-F238E27FC236}">
                    <a16:creationId xmlns:a16="http://schemas.microsoft.com/office/drawing/2014/main" id="{34C313C0-684E-4979-AAA0-49655B2C4858}"/>
                  </a:ext>
                </a:extLst>
              </xdr:cNvPr>
              <xdr:cNvCxnSpPr/>
            </xdr:nvCxnSpPr>
            <xdr:spPr>
              <a:xfrm>
                <a:off x="11056620" y="868680"/>
                <a:ext cx="281940" cy="0"/>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57299002-5498-4891-8AC9-1C26EADAF5C5}"/>
                  </a:ext>
                </a:extLst>
              </xdr:cNvPr>
              <xdr:cNvCxnSpPr/>
            </xdr:nvCxnSpPr>
            <xdr:spPr>
              <a:xfrm>
                <a:off x="11338560" y="867728"/>
                <a:ext cx="0" cy="260032"/>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grpSp>
        <xdr:grpSp>
          <xdr:nvGrpSpPr>
            <xdr:cNvPr id="22" name="Group 21">
              <a:extLst>
                <a:ext uri="{FF2B5EF4-FFF2-40B4-BE49-F238E27FC236}">
                  <a16:creationId xmlns:a16="http://schemas.microsoft.com/office/drawing/2014/main" id="{BD564EAD-02FA-4A26-A7CF-69D92835D21A}"/>
                </a:ext>
              </a:extLst>
            </xdr:cNvPr>
            <xdr:cNvGrpSpPr/>
          </xdr:nvGrpSpPr>
          <xdr:grpSpPr>
            <a:xfrm rot="5400000">
              <a:off x="11715204" y="4696100"/>
              <a:ext cx="286295" cy="260032"/>
              <a:chOff x="11056620" y="867728"/>
              <a:chExt cx="281940" cy="260032"/>
            </a:xfrm>
          </xdr:grpSpPr>
          <xdr:cxnSp macro="">
            <xdr:nvCxnSpPr>
              <xdr:cNvPr id="26" name="Straight Connector 25">
                <a:extLst>
                  <a:ext uri="{FF2B5EF4-FFF2-40B4-BE49-F238E27FC236}">
                    <a16:creationId xmlns:a16="http://schemas.microsoft.com/office/drawing/2014/main" id="{A943A7EC-0001-48D7-A8EF-D4D2F1B2EACF}"/>
                  </a:ext>
                </a:extLst>
              </xdr:cNvPr>
              <xdr:cNvCxnSpPr/>
            </xdr:nvCxnSpPr>
            <xdr:spPr>
              <a:xfrm>
                <a:off x="11056620" y="868680"/>
                <a:ext cx="281940" cy="0"/>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cxnSp macro="">
            <xdr:nvCxnSpPr>
              <xdr:cNvPr id="27" name="Straight Connector 26">
                <a:extLst>
                  <a:ext uri="{FF2B5EF4-FFF2-40B4-BE49-F238E27FC236}">
                    <a16:creationId xmlns:a16="http://schemas.microsoft.com/office/drawing/2014/main" id="{FCD9353C-8153-454C-B522-471BDA09183E}"/>
                  </a:ext>
                </a:extLst>
              </xdr:cNvPr>
              <xdr:cNvCxnSpPr/>
            </xdr:nvCxnSpPr>
            <xdr:spPr>
              <a:xfrm>
                <a:off x="11338560" y="867728"/>
                <a:ext cx="0" cy="260032"/>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grpSp>
        <xdr:grpSp>
          <xdr:nvGrpSpPr>
            <xdr:cNvPr id="23" name="Group 22">
              <a:extLst>
                <a:ext uri="{FF2B5EF4-FFF2-40B4-BE49-F238E27FC236}">
                  <a16:creationId xmlns:a16="http://schemas.microsoft.com/office/drawing/2014/main" id="{F99F4C70-B185-4FF0-B56F-D7539479C9A8}"/>
                </a:ext>
              </a:extLst>
            </xdr:cNvPr>
            <xdr:cNvGrpSpPr/>
          </xdr:nvGrpSpPr>
          <xdr:grpSpPr>
            <a:xfrm rot="10800000">
              <a:off x="3096986" y="4690654"/>
              <a:ext cx="281940" cy="264387"/>
              <a:chOff x="11056620" y="867728"/>
              <a:chExt cx="281940" cy="260032"/>
            </a:xfrm>
          </xdr:grpSpPr>
          <xdr:cxnSp macro="">
            <xdr:nvCxnSpPr>
              <xdr:cNvPr id="24" name="Straight Connector 23">
                <a:extLst>
                  <a:ext uri="{FF2B5EF4-FFF2-40B4-BE49-F238E27FC236}">
                    <a16:creationId xmlns:a16="http://schemas.microsoft.com/office/drawing/2014/main" id="{A720503A-F62E-49DB-A34E-BBC4FAD959E4}"/>
                  </a:ext>
                </a:extLst>
              </xdr:cNvPr>
              <xdr:cNvCxnSpPr/>
            </xdr:nvCxnSpPr>
            <xdr:spPr>
              <a:xfrm>
                <a:off x="11056620" y="868680"/>
                <a:ext cx="281940" cy="0"/>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cxnSp macro="">
            <xdr:nvCxnSpPr>
              <xdr:cNvPr id="25" name="Straight Connector 24">
                <a:extLst>
                  <a:ext uri="{FF2B5EF4-FFF2-40B4-BE49-F238E27FC236}">
                    <a16:creationId xmlns:a16="http://schemas.microsoft.com/office/drawing/2014/main" id="{359649D1-20A8-4124-A4F4-DE5130F50AFA}"/>
                  </a:ext>
                </a:extLst>
              </xdr:cNvPr>
              <xdr:cNvCxnSpPr/>
            </xdr:nvCxnSpPr>
            <xdr:spPr>
              <a:xfrm>
                <a:off x="11338560" y="867728"/>
                <a:ext cx="0" cy="260032"/>
              </a:xfrm>
              <a:prstGeom prst="line">
                <a:avLst/>
              </a:prstGeom>
              <a:ln w="19050">
                <a:solidFill>
                  <a:srgbClr val="0EFBFE"/>
                </a:solidFill>
              </a:ln>
            </xdr:spPr>
            <xdr:style>
              <a:lnRef idx="1">
                <a:schemeClr val="accent1"/>
              </a:lnRef>
              <a:fillRef idx="0">
                <a:schemeClr val="accent1"/>
              </a:fillRef>
              <a:effectRef idx="0">
                <a:schemeClr val="accent1"/>
              </a:effectRef>
              <a:fontRef idx="minor">
                <a:schemeClr val="tx1"/>
              </a:fontRef>
            </xdr:style>
          </xdr:cxnSp>
        </xdr:grpSp>
      </xdr:grpSp>
    </xdr:grpSp>
    <xdr:clientData/>
  </xdr:twoCellAnchor>
  <xdr:twoCellAnchor editAs="oneCell">
    <xdr:from>
      <xdr:col>0</xdr:col>
      <xdr:colOff>536268</xdr:colOff>
      <xdr:row>6</xdr:row>
      <xdr:rowOff>38595</xdr:rowOff>
    </xdr:from>
    <xdr:to>
      <xdr:col>3</xdr:col>
      <xdr:colOff>591935</xdr:colOff>
      <xdr:row>13</xdr:row>
      <xdr:rowOff>20261</xdr:rowOff>
    </xdr:to>
    <mc:AlternateContent xmlns:mc="http://schemas.openxmlformats.org/markup-compatibility/2006" xmlns:a14="http://schemas.microsoft.com/office/drawing/2010/main">
      <mc:Choice Requires="a14">
        <xdr:graphicFrame macro="">
          <xdr:nvGraphicFramePr>
            <xdr:cNvPr id="32" name="Year 1">
              <a:extLst>
                <a:ext uri="{FF2B5EF4-FFF2-40B4-BE49-F238E27FC236}">
                  <a16:creationId xmlns:a16="http://schemas.microsoft.com/office/drawing/2014/main" id="{8F3D2F56-8112-4D9E-A692-DB095EFACF6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36268" y="1099952"/>
              <a:ext cx="2260024" cy="12009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526474</xdr:colOff>
      <xdr:row>14</xdr:row>
      <xdr:rowOff>13546</xdr:rowOff>
    </xdr:from>
    <xdr:to>
      <xdr:col>3</xdr:col>
      <xdr:colOff>568038</xdr:colOff>
      <xdr:row>29</xdr:row>
      <xdr:rowOff>415637</xdr:rowOff>
    </xdr:to>
    <mc:AlternateContent xmlns:mc="http://schemas.openxmlformats.org/markup-compatibility/2006" xmlns:a14="http://schemas.microsoft.com/office/drawing/2010/main">
      <mc:Choice Requires="a14">
        <xdr:graphicFrame macro="">
          <xdr:nvGraphicFramePr>
            <xdr:cNvPr id="33" name="Month 1">
              <a:extLst>
                <a:ext uri="{FF2B5EF4-FFF2-40B4-BE49-F238E27FC236}">
                  <a16:creationId xmlns:a16="http://schemas.microsoft.com/office/drawing/2014/main" id="{C6F39FEB-EBC5-4B10-B675-D00587BC77F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524569" y="2493856"/>
              <a:ext cx="2247826" cy="30516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265367</xdr:colOff>
      <xdr:row>0</xdr:row>
      <xdr:rowOff>129887</xdr:rowOff>
    </xdr:from>
    <xdr:to>
      <xdr:col>19</xdr:col>
      <xdr:colOff>113397</xdr:colOff>
      <xdr:row>5</xdr:row>
      <xdr:rowOff>1031</xdr:rowOff>
    </xdr:to>
    <xdr:sp macro="" textlink="">
      <xdr:nvSpPr>
        <xdr:cNvPr id="34" name="Rectangle 33">
          <a:extLst>
            <a:ext uri="{FF2B5EF4-FFF2-40B4-BE49-F238E27FC236}">
              <a16:creationId xmlns:a16="http://schemas.microsoft.com/office/drawing/2014/main" id="{92E580CD-1F06-4DF1-A6F8-EBFF50AAA9CF}"/>
            </a:ext>
          </a:extLst>
        </xdr:cNvPr>
        <xdr:cNvSpPr/>
      </xdr:nvSpPr>
      <xdr:spPr>
        <a:xfrm>
          <a:off x="7833412" y="129887"/>
          <a:ext cx="10152349" cy="73705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3600">
              <a:latin typeface="微软雅黑" panose="020B0503020204020204" pitchFamily="34" charset="-122"/>
              <a:ea typeface="微软雅黑" panose="020B0503020204020204" pitchFamily="34" charset="-122"/>
            </a:rPr>
            <a:t>西安三星生产数字化报表</a:t>
          </a:r>
          <a:endParaRPr lang="en-US" sz="3600">
            <a:latin typeface="微软雅黑" panose="020B0503020204020204" pitchFamily="34" charset="-122"/>
            <a:ea typeface="微软雅黑" panose="020B0503020204020204" pitchFamily="34" charset="-122"/>
          </a:endParaRPr>
        </a:p>
      </xdr:txBody>
    </xdr:sp>
    <xdr:clientData/>
  </xdr:twoCellAnchor>
</xdr:wsDr>
</file>

<file path=xl/drawings/drawing7.xml><?xml version="1.0" encoding="utf-8"?>
<c:userShapes xmlns:c="http://schemas.openxmlformats.org/drawingml/2006/chart">
  <cdr:relSizeAnchor xmlns:cdr="http://schemas.openxmlformats.org/drawingml/2006/chartDrawing">
    <cdr:from>
      <cdr:x>0.36401</cdr:x>
      <cdr:y>0.01447</cdr:y>
    </cdr:from>
    <cdr:to>
      <cdr:x>0.63485</cdr:x>
      <cdr:y>0.0905</cdr:y>
    </cdr:to>
    <cdr:sp macro="" textlink="">
      <cdr:nvSpPr>
        <cdr:cNvPr id="2" name="Rectangle 1">
          <a:extLst xmlns:a="http://schemas.openxmlformats.org/drawingml/2006/main">
            <a:ext uri="{FF2B5EF4-FFF2-40B4-BE49-F238E27FC236}">
              <a16:creationId xmlns:a16="http://schemas.microsoft.com/office/drawing/2014/main" id="{A4318449-3DB9-4387-AC2C-093D5B5D8B7C}"/>
            </a:ext>
          </a:extLst>
        </cdr:cNvPr>
        <cdr:cNvSpPr/>
      </cdr:nvSpPr>
      <cdr:spPr>
        <a:xfrm xmlns:a="http://schemas.openxmlformats.org/drawingml/2006/main">
          <a:off x="4082992" y="69084"/>
          <a:ext cx="3037922" cy="363088"/>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2400" b="1"/>
            <a:t>Spec Power</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Ada" refreshedDate="44232.619482291666" createdVersion="6" refreshedVersion="6" minRefreshableVersion="3" recordCount="400" xr:uid="{842B1F46-C66E-4BA1-9C2E-E0F23343B668}">
  <cacheSource type="worksheet">
    <worksheetSource name="Table1"/>
  </cacheSource>
  <cacheFields count="24">
    <cacheField name="Year" numFmtId="0">
      <sharedItems containsSemiMixedTypes="0" containsString="0" containsNumber="1" containsInteger="1" minValue="2020" maxValue="2021" count="2">
        <n v="2020"/>
        <n v="2021"/>
      </sharedItems>
    </cacheField>
    <cacheField name="Month" numFmtId="0">
      <sharedItems containsSemiMixedTypes="0" containsString="0" containsNumber="1" containsInteger="1" minValue="1" maxValue="12" count="12">
        <n v="1"/>
        <n v="2"/>
        <n v="3"/>
        <n v="4"/>
        <n v="5"/>
        <n v="6"/>
        <n v="7"/>
        <n v="8"/>
        <n v="9"/>
        <n v="10"/>
        <n v="11"/>
        <n v="12"/>
      </sharedItems>
    </cacheField>
    <cacheField name="Date" numFmtId="14">
      <sharedItems containsSemiMixedTypes="0" containsNonDate="0" containsDate="1" containsString="0" minDate="2020-01-01T00:00:00" maxDate="2021-02-04T00:00:00" count="4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sharedItems>
    </cacheField>
    <cacheField name="GAN Spec Power_x000a_(Kwh/Nm3)" numFmtId="0">
      <sharedItems containsSemiMixedTypes="0" containsString="0" containsNumber="1" minValue="0.158" maxValue="0.73399999999999999"/>
    </cacheField>
    <cacheField name="CDA Spec power_x000a_(Kwh/Nm3)" numFmtId="0">
      <sharedItems containsSemiMixedTypes="0" containsString="0" containsNumber="1" minValue="0.123" maxValue="0.28799999999999998"/>
    </cacheField>
    <cacheField name="CW Temp._x000a_(℃)" numFmtId="0">
      <sharedItems containsSemiMixedTypes="0" containsString="0" containsNumber="1" minValue="11.532388369462955" maxValue="27.899341963133324"/>
    </cacheField>
    <cacheField name="TN120" numFmtId="0">
      <sharedItems containsSemiMixedTypes="0" containsString="0" containsNumber="1" minValue="31.761933964539971" maxValue="12963.124858361163"/>
    </cacheField>
    <cacheField name="TN550 I (N2)" numFmtId="0">
      <sharedItems containsSemiMixedTypes="0" containsString="0" containsNumber="1" minValue="42022.614193558278" maxValue="57501.903880768565"/>
    </cacheField>
    <cacheField name="TN550 I (O2)" numFmtId="0">
      <sharedItems containsSemiMixedTypes="0" containsString="0" containsNumber="1" minValue="1290.5763862869294" maxValue="2105.8380021062849"/>
    </cacheField>
    <cacheField name="TN550 II" numFmtId="0">
      <sharedItems containsSemiMixedTypes="0" containsString="0" containsNumber="1" containsInteger="1" minValue="0" maxValue="0"/>
    </cacheField>
    <cacheField name="L400 (Daily)" numFmtId="0">
      <sharedItems containsSemiMixedTypes="0" containsString="0" containsNumber="1" minValue="0" maxValue="411.41"/>
    </cacheField>
    <cacheField name="PHG250-I" numFmtId="0">
      <sharedItems containsSemiMixedTypes="0" containsString="0" containsNumber="1" minValue="1.4650738507323096" maxValue="7599.3089132845025"/>
    </cacheField>
    <cacheField name="PHG250-II" numFmtId="0">
      <sharedItems containsSemiMixedTypes="0" containsString="0" containsNumber="1" minValue="-2.2167251129104062" maxValue="8841.3511917993146"/>
    </cacheField>
    <cacheField name="TN120 GAN Recovery" numFmtId="0">
      <sharedItems containsSemiMixedTypes="0" containsString="0" containsNumber="1" minValue="48.04" maxValue="72.84"/>
    </cacheField>
    <cacheField name="TN550 I GAN Recovery" numFmtId="0">
      <sharedItems containsSemiMixedTypes="0" containsString="0" containsNumber="1" minValue="48.04" maxValue="72.84"/>
    </cacheField>
    <cacheField name="TN550 I(O2)" numFmtId="0">
      <sharedItems containsSemiMixedTypes="0" containsString="0" containsNumber="1" minValue="1.8399652311079106E-2" maxValue="2.6496103659305676E-2"/>
    </cacheField>
    <cacheField name="TN550 II GAN Recovery" numFmtId="0">
      <sharedItems containsSemiMixedTypes="0" containsString="0" containsNumber="1" containsInteger="1" minValue="100" maxValue="100"/>
    </cacheField>
    <cacheField name="PHG250 I Efficiency" numFmtId="0">
      <sharedItems containsString="0" containsBlank="1" containsNumber="1" minValue="-317.04000000000002" maxValue="197961.03"/>
    </cacheField>
    <cacheField name="PHG250 II Efficiency" numFmtId="0">
      <sharedItems containsSemiMixedTypes="0" containsString="0" containsNumber="1" minValue="-79639.67" maxValue="516526.9"/>
    </cacheField>
    <cacheField name="PHG250 I Efficiency2" numFmtId="0">
      <sharedItems containsSemiMixedTypes="0" containsString="0" containsNumber="1" minValue="0" maxValue="2882.23"/>
    </cacheField>
    <cacheField name="PHG250 II Efficiency3" numFmtId="0">
      <sharedItems containsSemiMixedTypes="0" containsString="0" containsNumber="1" minValue="371.68" maxValue="5579.43"/>
    </cacheField>
    <cacheField name="Flowmeter C" numFmtId="0">
      <sharedItems containsSemiMixedTypes="0" containsString="0" containsNumber="1" minValue="1290.5763862869294" maxValue="2105.8380021062849"/>
    </cacheField>
    <cacheField name="Flowmeter A" numFmtId="0">
      <sharedItems containsSemiMixedTypes="0" containsString="0" containsNumber="1" minValue="57111.269395710442" maxValue="78318.219243363987"/>
    </cacheField>
    <cacheField name="Flowmeter B" numFmtId="0">
      <sharedItems containsSemiMixedTypes="0" containsString="0" containsNumber="1" minValue="1470.6065102655966" maxValue="2000.1933318435276"/>
    </cacheField>
  </cacheFields>
  <extLst>
    <ext xmlns:x14="http://schemas.microsoft.com/office/spreadsheetml/2009/9/main" uri="{725AE2AE-9491-48be-B2B4-4EB974FC3084}">
      <x14:pivotCacheDefinition pivotCacheId="9100546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
  <r>
    <x v="0"/>
    <x v="0"/>
    <x v="0"/>
    <n v="0.21299999999999999"/>
    <n v="0.154"/>
    <n v="11.680934232278965"/>
    <n v="10427.121551873701"/>
    <n v="54596.671183748265"/>
    <n v="1491.8296357577744"/>
    <n v="0"/>
    <n v="0"/>
    <n v="7456.718681721949"/>
    <n v="2653.162497980532"/>
    <n v="70.849999999999994"/>
    <n v="70.849999999999994"/>
    <n v="1.9615182705229852E-2"/>
    <n v="100"/>
    <n v="432.89"/>
    <n v="435.79"/>
    <n v="432.89"/>
    <n v="435.79"/>
    <n v="1491.8296357577744"/>
    <n v="74504.658255985429"/>
    <n v="1550.184473571142"/>
  </r>
  <r>
    <x v="0"/>
    <x v="0"/>
    <x v="1"/>
    <n v="0.218"/>
    <n v="0.157"/>
    <n v="13.141996618611046"/>
    <n v="10668.879398258588"/>
    <n v="54602.855522965823"/>
    <n v="1542.4779173872853"/>
    <n v="0"/>
    <n v="0"/>
    <n v="7541.5556376322866"/>
    <n v="-2.2167251129104062"/>
    <n v="70.91"/>
    <n v="70.91"/>
    <n v="2.0287507658388704E-2"/>
    <n v="100"/>
    <n v="444.17"/>
    <n v="-10629.24"/>
    <n v="444.17"/>
    <n v="470"/>
    <n v="1542.4779173872853"/>
    <n v="74481.331621920544"/>
    <n v="1549.5906264062228"/>
  </r>
  <r>
    <x v="0"/>
    <x v="0"/>
    <x v="2"/>
    <n v="0.21"/>
    <n v="0.152"/>
    <n v="13.300396698204532"/>
    <n v="10691.624695036"/>
    <n v="54600.007465518735"/>
    <n v="1477.6279907650123"/>
    <n v="0"/>
    <n v="0"/>
    <n v="7599.3089132845025"/>
    <n v="-1.3893819673957613"/>
    <n v="70.959999999999994"/>
    <n v="70.959999999999994"/>
    <n v="1.9432211982037328E-2"/>
    <n v="100"/>
    <n v="458.02"/>
    <n v="-16872.78"/>
    <n v="458.02"/>
    <n v="470"/>
    <n v="1477.6279907650123"/>
    <n v="74490.467844595769"/>
    <n v="1549.6655242093975"/>
  </r>
  <r>
    <x v="0"/>
    <x v="0"/>
    <x v="3"/>
    <n v="0.21299999999999999"/>
    <n v="0.14799999999999999"/>
    <n v="11.893637084034395"/>
    <n v="10583.776100174577"/>
    <n v="54602.447041984735"/>
    <n v="1466.2049616456941"/>
    <n v="0"/>
    <n v="0"/>
    <n v="7307.2283512832882"/>
    <n v="-1.6579352099807787"/>
    <n v="70.98"/>
    <n v="70.98"/>
    <n v="1.92784691794625E-2"/>
    <n v="100"/>
    <n v="442.26"/>
    <n v="-14099.12"/>
    <n v="442.26"/>
    <n v="470"/>
    <n v="1466.2049616456941"/>
    <n v="74504.325967210272"/>
    <n v="1549.6878653638153"/>
  </r>
  <r>
    <x v="0"/>
    <x v="0"/>
    <x v="4"/>
    <n v="0.21199999999999999"/>
    <n v="0.15"/>
    <n v="11.692888594103886"/>
    <n v="10567.560412013139"/>
    <n v="54599.256587222415"/>
    <n v="1473.2878521317662"/>
    <n v="0"/>
    <n v="0"/>
    <n v="7403.9840690194524"/>
    <n v="-1.321752667427063"/>
    <n v="70.989999999999995"/>
    <n v="70.989999999999995"/>
    <n v="1.9371452047202538E-2"/>
    <n v="100"/>
    <n v="446.51"/>
    <n v="-17761.97"/>
    <n v="446.51"/>
    <n v="470"/>
    <n v="1473.2878521317662"/>
    <n v="74504.693062543374"/>
    <n v="1549.8974008765342"/>
  </r>
  <r>
    <x v="0"/>
    <x v="0"/>
    <x v="5"/>
    <n v="0.21299999999999999"/>
    <n v="0.151"/>
    <n v="11.85068828905729"/>
    <n v="10434.84590778973"/>
    <n v="54601.412766741843"/>
    <n v="1471.0666346341516"/>
    <n v="0"/>
    <n v="0"/>
    <n v="7257.2593623948205"/>
    <n v="-1.430816407091166"/>
    <n v="70.89"/>
    <n v="70.89"/>
    <n v="1.9343453271279117E-2"/>
    <n v="100"/>
    <n v="457.66"/>
    <n v="-16401.310000000001"/>
    <n v="457.66"/>
    <n v="470"/>
    <n v="1471.0666346341516"/>
    <n v="74499.732618407361"/>
    <n v="1550.1129806910349"/>
  </r>
  <r>
    <x v="0"/>
    <x v="0"/>
    <x v="6"/>
    <n v="0.21"/>
    <n v="0.14699999999999999"/>
    <n v="11.90541963226509"/>
    <n v="10510.064229484731"/>
    <n v="54602.105344053605"/>
    <n v="1481.2660884605689"/>
    <n v="0"/>
    <n v="0"/>
    <n v="7079.1591837536871"/>
    <n v="3150.4908513850755"/>
    <n v="70.94"/>
    <n v="70.94"/>
    <n v="1.9474825490059508E-2"/>
    <n v="100"/>
    <n v="458.26"/>
    <n v="564.67999999999995"/>
    <n v="458.26"/>
    <n v="564.67999999999995"/>
    <n v="1481.2660884605689"/>
    <n v="74510.525665770299"/>
    <n v="1550.0320638303208"/>
  </r>
  <r>
    <x v="0"/>
    <x v="0"/>
    <x v="7"/>
    <n v="0.20799999999999999"/>
    <n v="0.14599999999999999"/>
    <n v="11.532388369462955"/>
    <n v="10502.601398497138"/>
    <n v="54602.54062391568"/>
    <n v="1485.21977154469"/>
    <n v="0"/>
    <n v="0"/>
    <n v="4310.7309487910006"/>
    <n v="8128.8144544803954"/>
    <n v="70.8"/>
    <n v="70.8"/>
    <n v="1.9531192641417561E-2"/>
    <n v="100"/>
    <n v="455"/>
    <n v="422.38"/>
    <n v="455"/>
    <n v="422.38"/>
    <n v="1485.21977154469"/>
    <n v="74493.38242756766"/>
    <n v="1550.0931969139001"/>
  </r>
  <r>
    <x v="0"/>
    <x v="0"/>
    <x v="8"/>
    <n v="0.20799999999999999"/>
    <n v="0.15"/>
    <n v="11.693080200576516"/>
    <n v="10691.752269609862"/>
    <n v="54466.42673273768"/>
    <n v="1489.3439180690491"/>
    <n v="0"/>
    <n v="0"/>
    <n v="3.3634133625162881"/>
    <n v="7883.6281560385587"/>
    <n v="70.849999999999994"/>
    <n v="70.849999999999994"/>
    <n v="1.9634961920809577E-2"/>
    <n v="100"/>
    <n v="184.24"/>
    <n v="429.05"/>
    <n v="470"/>
    <n v="429.05"/>
    <n v="1489.3439180690491"/>
    <n v="74301.585270645388"/>
    <n v="1550.04734650823"/>
  </r>
  <r>
    <x v="0"/>
    <x v="0"/>
    <x v="9"/>
    <n v="0.21099999999999999"/>
    <n v="0.14699999999999999"/>
    <n v="11.972044318686915"/>
    <n v="11304.040082435158"/>
    <n v="54533.433750975892"/>
    <n v="1538.3026101021696"/>
    <n v="0"/>
    <n v="0"/>
    <n v="3.6518073358277654"/>
    <n v="7906.6638920590076"/>
    <n v="71.040000000000006"/>
    <n v="71.040000000000006"/>
    <n v="2.0268423292520127E-2"/>
    <n v="100"/>
    <n v="238.02"/>
    <n v="428.79"/>
    <n v="470"/>
    <n v="428.79"/>
    <n v="1538.3026101021696"/>
    <n v="74346.756202290082"/>
    <n v="1549.754734989672"/>
  </r>
  <r>
    <x v="0"/>
    <x v="0"/>
    <x v="10"/>
    <n v="0.21"/>
    <n v="0.14399999999999999"/>
    <n v="12.804021289330402"/>
    <n v="11515.064060737986"/>
    <n v="54599.270786346286"/>
    <n v="1488.9041341428208"/>
    <n v="0"/>
    <n v="0"/>
    <n v="3.8130708730195977"/>
    <n v="7918.8476820025153"/>
    <n v="71.03"/>
    <n v="71.03"/>
    <n v="1.9528092931676996E-2"/>
    <n v="100"/>
    <n v="273.7"/>
    <n v="428.52"/>
    <n v="470"/>
    <n v="428.52"/>
    <n v="1488.9041341428208"/>
    <n v="74694.514768390014"/>
    <n v="1549.7011595070155"/>
  </r>
  <r>
    <x v="0"/>
    <x v="0"/>
    <x v="11"/>
    <n v="0.20899999999999999"/>
    <n v="0.15"/>
    <n v="11.908388333714395"/>
    <n v="11444.532416317878"/>
    <n v="54718.571052545973"/>
    <n v="1521.7242866214326"/>
    <n v="0"/>
    <n v="0"/>
    <n v="3.5511556843103098"/>
    <n v="7942.5846990073087"/>
    <n v="70.98"/>
    <n v="70.98"/>
    <n v="1.9909733444190326E-2"/>
    <n v="100"/>
    <n v="215.88"/>
    <n v="429.21"/>
    <n v="470"/>
    <n v="429.21"/>
    <n v="1521.7242866214326"/>
    <n v="74881.497180777238"/>
    <n v="1549.6760886706552"/>
  </r>
  <r>
    <x v="0"/>
    <x v="0"/>
    <x v="12"/>
    <n v="0.20899999999999999"/>
    <n v="0.152"/>
    <n v="11.982546596540336"/>
    <n v="10962.990404477145"/>
    <n v="54999.926713762143"/>
    <n v="1470.404572613284"/>
    <n v="0"/>
    <n v="0"/>
    <n v="3.5776347973378142"/>
    <n v="7962.0024661422194"/>
    <n v="70.98"/>
    <n v="70.98"/>
    <n v="1.9130299169474764E-2"/>
    <n v="100"/>
    <n v="201.16"/>
    <n v="429.49"/>
    <n v="470"/>
    <n v="429.49"/>
    <n v="1470.404572613284"/>
    <n v="75312.592475928177"/>
    <n v="1550.0095977253752"/>
  </r>
  <r>
    <x v="0"/>
    <x v="0"/>
    <x v="13"/>
    <n v="0.20899999999999999"/>
    <n v="0.14399999999999999"/>
    <n v="12.31696943339997"/>
    <n v="10771.986593104832"/>
    <n v="54810.195225754687"/>
    <n v="1471.2019519898563"/>
    <n v="0"/>
    <n v="0"/>
    <n v="3.6872059642069046"/>
    <n v="8028.5079233035876"/>
    <n v="70.849999999999994"/>
    <n v="70.849999999999994"/>
    <n v="1.926255620445529E-2"/>
    <n v="100"/>
    <n v="189.92"/>
    <n v="428.82"/>
    <n v="470"/>
    <n v="428.82"/>
    <n v="1471.2019519898563"/>
    <n v="74826.178635713062"/>
    <n v="1550.0788232828493"/>
  </r>
  <r>
    <x v="0"/>
    <x v="0"/>
    <x v="14"/>
    <n v="0.20699999999999999"/>
    <n v="0.14699999999999999"/>
    <n v="13.960694676385334"/>
    <n v="10646.313318658917"/>
    <n v="54796.390191273422"/>
    <n v="1467.9529668422808"/>
    <n v="0"/>
    <n v="0"/>
    <n v="3.5457748961399034"/>
    <n v="8058.7448379760162"/>
    <n v="70.69"/>
    <n v="70.69"/>
    <n v="1.9227480199603818E-2"/>
    <n v="100"/>
    <n v="215.99"/>
    <n v="428.83"/>
    <n v="470"/>
    <n v="428.83"/>
    <n v="1467.9529668422808"/>
    <n v="74796.535641481605"/>
    <n v="1550.0761663687056"/>
  </r>
  <r>
    <x v="0"/>
    <x v="0"/>
    <x v="15"/>
    <n v="0.22800000000000001"/>
    <n v="0.14699999999999999"/>
    <n v="13.299258297636309"/>
    <n v="10976.035676044195"/>
    <n v="55332.549420432857"/>
    <n v="1464.8831168710151"/>
    <n v="0"/>
    <n v="162.38999999999999"/>
    <n v="3.76023716102616"/>
    <n v="8116.4558889903938"/>
    <n v="71.040000000000006"/>
    <n v="71.040000000000006"/>
    <n v="1.9002782950361709E-2"/>
    <n v="100"/>
    <n v="258.14"/>
    <n v="428.08"/>
    <n v="470"/>
    <n v="428.08"/>
    <n v="1464.8831168710151"/>
    <n v="75537.676364070096"/>
    <n v="1550.1439145450208"/>
  </r>
  <r>
    <x v="0"/>
    <x v="0"/>
    <x v="16"/>
    <n v="0.22"/>
    <n v="0.14799999999999999"/>
    <n v="12.091421561469476"/>
    <n v="12052.78943702397"/>
    <n v="56994.063416247394"/>
    <n v="1464.8122323093771"/>
    <n v="0"/>
    <n v="358.56"/>
    <n v="3.6906882879388241"/>
    <n v="8100.5494600781794"/>
    <n v="72.17"/>
    <n v="72.17"/>
    <n v="1.8408326726708495E-2"/>
    <n v="100"/>
    <n v="229.31"/>
    <n v="429.09"/>
    <n v="470"/>
    <n v="429.09"/>
    <n v="1464.8122323093771"/>
    <n v="78023.272792331714"/>
    <n v="1550.0775754718131"/>
  </r>
  <r>
    <x v="0"/>
    <x v="0"/>
    <x v="17"/>
    <n v="0.22"/>
    <n v="0.14599999999999999"/>
    <n v="13.40387891349819"/>
    <n v="12051.14569689018"/>
    <n v="57004.77440254164"/>
    <n v="1463.6334209878935"/>
    <n v="0"/>
    <n v="344.13"/>
    <n v="1934.2830737384968"/>
    <n v="8183.3685239200204"/>
    <n v="72.16"/>
    <n v="72.16"/>
    <n v="1.8399652311079106E-2"/>
    <n v="100"/>
    <n v="793.89"/>
    <n v="427.42"/>
    <n v="793.89"/>
    <n v="427.42"/>
    <n v="1463.6334209878935"/>
    <n v="77997.005269777932"/>
    <n v="1549.7924763178512"/>
  </r>
  <r>
    <x v="0"/>
    <x v="0"/>
    <x v="18"/>
    <n v="0.219"/>
    <n v="0.14399999999999999"/>
    <n v="12.187651016743624"/>
    <n v="12056.897854002213"/>
    <n v="56966.705231284701"/>
    <n v="1477.5623408257341"/>
    <n v="0"/>
    <n v="340.15"/>
    <n v="5543.9277157459219"/>
    <n v="8325.8490865311633"/>
    <n v="72.2"/>
    <n v="72.2"/>
    <n v="1.8583751946690215E-2"/>
    <n v="100"/>
    <n v="456.94"/>
    <n v="422.13"/>
    <n v="456.94"/>
    <n v="422.13"/>
    <n v="1477.5623408257341"/>
    <n v="77958.463252515619"/>
    <n v="1549.8268422028159"/>
  </r>
  <r>
    <x v="0"/>
    <x v="0"/>
    <x v="19"/>
    <n v="0.21299999999999999"/>
    <n v="0.14499999999999999"/>
    <n v="12.487519681825976"/>
    <n v="11046.647741504379"/>
    <n v="55130.909210183898"/>
    <n v="1529.2940528123102"/>
    <n v="0"/>
    <n v="51.15"/>
    <n v="4.0743266234043816"/>
    <n v="8384.9261434794626"/>
    <n v="71.290000000000006"/>
    <n v="71.290000000000006"/>
    <n v="1.9801671015276981E-2"/>
    <n v="100"/>
    <n v="321.75"/>
    <n v="424.84"/>
    <n v="470"/>
    <n v="424.84"/>
    <n v="1529.2940528123102"/>
    <n v="75680.824481696734"/>
    <n v="1549.7310422517457"/>
  </r>
  <r>
    <x v="0"/>
    <x v="0"/>
    <x v="20"/>
    <n v="0.21199999999999999"/>
    <n v="0.14499999999999999"/>
    <n v="11.949926167209474"/>
    <n v="10790.740245895862"/>
    <n v="54997.081914685979"/>
    <n v="1485.8738872202464"/>
    <n v="0"/>
    <n v="0"/>
    <n v="3.8816417716262577"/>
    <n v="8412.7965222583061"/>
    <n v="70.900000000000006"/>
    <n v="70.900000000000006"/>
    <n v="1.9283056107517797E-2"/>
    <n v="100"/>
    <n v="283.01"/>
    <n v="425.05"/>
    <n v="470"/>
    <n v="425.05"/>
    <n v="1485.8738872202464"/>
    <n v="75506.010138358761"/>
    <n v="1549.9232642804477"/>
  </r>
  <r>
    <x v="0"/>
    <x v="0"/>
    <x v="21"/>
    <n v="0.21199999999999999"/>
    <n v="0.14599999999999999"/>
    <n v="12.010295744822471"/>
    <n v="11106.785999983736"/>
    <n v="55001.196521512837"/>
    <n v="1516.6640221769819"/>
    <n v="0"/>
    <n v="0"/>
    <n v="3.8599619430274625"/>
    <n v="8445.479761911216"/>
    <n v="71.16"/>
    <n v="71.16"/>
    <n v="1.9684501596157943E-2"/>
    <n v="100"/>
    <n v="281.91000000000003"/>
    <n v="424.66"/>
    <n v="470"/>
    <n v="424.66"/>
    <n v="1516.6640221769819"/>
    <n v="75498.845913211306"/>
    <n v="1549.7912985638227"/>
  </r>
  <r>
    <x v="0"/>
    <x v="0"/>
    <x v="22"/>
    <n v="0.21099999999999999"/>
    <n v="0.14299999999999999"/>
    <n v="12.332276841321807"/>
    <n v="11082.756792564842"/>
    <n v="54998.46725093251"/>
    <n v="1468.0589647895342"/>
    <n v="0"/>
    <n v="0"/>
    <n v="3.8682456620446017"/>
    <n v="8564.6358438421667"/>
    <n v="71.2"/>
    <n v="71.2"/>
    <n v="1.9049288059339212E-2"/>
    <n v="100"/>
    <n v="271.63"/>
    <n v="422.28"/>
    <n v="470"/>
    <n v="422.28"/>
    <n v="1468.0589647895342"/>
    <n v="75516.387003383061"/>
    <n v="1549.9558550207917"/>
  </r>
  <r>
    <x v="0"/>
    <x v="0"/>
    <x v="23"/>
    <n v="0.21099999999999999"/>
    <n v="0.15"/>
    <n v="12.79437567904788"/>
    <n v="10942.283594834316"/>
    <n v="54999.051472501735"/>
    <n v="1468.3739915009919"/>
    <n v="0"/>
    <n v="0"/>
    <n v="3.7876175366533378"/>
    <n v="8391.2575271892347"/>
    <n v="71.040000000000006"/>
    <n v="71.040000000000006"/>
    <n v="1.9056334747518021E-2"/>
    <n v="100"/>
    <n v="267.18"/>
    <n v="424.7"/>
    <n v="470"/>
    <n v="424.7"/>
    <n v="1468.3739915009919"/>
    <n v="75504.525248308462"/>
    <n v="1549.8512073863635"/>
  </r>
  <r>
    <x v="0"/>
    <x v="0"/>
    <x v="24"/>
    <n v="0.21099999999999999"/>
    <n v="0.14499999999999999"/>
    <n v="12.492326191115264"/>
    <n v="11020.577723802917"/>
    <n v="54996.292974171585"/>
    <n v="1470.2706859623038"/>
    <n v="0"/>
    <n v="0"/>
    <n v="3.760205823956555"/>
    <n v="8442.9788693832415"/>
    <n v="71.13"/>
    <n v="71.13"/>
    <n v="1.9078992874800606E-2"/>
    <n v="100"/>
    <n v="261.05"/>
    <n v="424.64"/>
    <n v="470"/>
    <n v="424.64"/>
    <n v="1470.2706859623038"/>
    <n v="75512.419191316789"/>
    <n v="1549.860542757986"/>
  </r>
  <r>
    <x v="0"/>
    <x v="0"/>
    <x v="25"/>
    <n v="0.21199999999999999"/>
    <n v="0.14499999999999999"/>
    <n v="12.313030987460939"/>
    <n v="10685.001023323646"/>
    <n v="55001.98081030968"/>
    <n v="1468.5791217240087"/>
    <n v="0"/>
    <n v="0"/>
    <n v="3.553123597053089"/>
    <n v="8463.9166187760238"/>
    <n v="70.98"/>
    <n v="70.98"/>
    <n v="1.9057191061717767E-2"/>
    <n v="100"/>
    <n v="236.99"/>
    <n v="423.66"/>
    <n v="470"/>
    <n v="423.66"/>
    <n v="1468.5791217240087"/>
    <n v="75511.556200121442"/>
    <n v="1550.1218282896805"/>
  </r>
  <r>
    <x v="0"/>
    <x v="0"/>
    <x v="26"/>
    <n v="0.20799999999999999"/>
    <n v="0.14699999999999999"/>
    <n v="11.914524582009776"/>
    <n v="10763.240060884367"/>
    <n v="54999.484708427306"/>
    <n v="1469.5395011398878"/>
    <n v="0"/>
    <n v="0"/>
    <n v="3.734548620347097"/>
    <n v="8521.8263941598725"/>
    <n v="71.03"/>
    <n v="71.03"/>
    <n v="1.9069635510889981E-2"/>
    <n v="100"/>
    <n v="250.15"/>
    <n v="422.68"/>
    <n v="470"/>
    <n v="422.68"/>
    <n v="1469.5395011398878"/>
    <n v="75511.63264985253"/>
    <n v="1550.1182315781414"/>
  </r>
  <r>
    <x v="0"/>
    <x v="0"/>
    <x v="27"/>
    <n v="0.21"/>
    <n v="0.14699999999999999"/>
    <n v="11.700207841305332"/>
    <n v="10645.567406531922"/>
    <n v="55000.448733518388"/>
    <n v="1471.4294309066784"/>
    <n v="0"/>
    <n v="0"/>
    <n v="4.2448396727411719"/>
    <n v="8530.6477808108521"/>
    <n v="70.97"/>
    <n v="70.97"/>
    <n v="1.9096105453863307E-2"/>
    <n v="100"/>
    <n v="311.33"/>
    <n v="422.66"/>
    <n v="470"/>
    <n v="422.66"/>
    <n v="1471.4294309066784"/>
    <n v="75503.896230916027"/>
    <n v="1550.0053859183888"/>
  </r>
  <r>
    <x v="0"/>
    <x v="0"/>
    <x v="28"/>
    <n v="0.21099999999999999"/>
    <n v="0.14499999999999999"/>
    <n v="12.006790560206795"/>
    <n v="10643.606108496704"/>
    <n v="54998.73690145732"/>
    <n v="1478.5110680754196"/>
    <n v="0"/>
    <n v="0"/>
    <n v="4.2559550683751528"/>
    <n v="8471.2919650795884"/>
    <n v="70.95"/>
    <n v="70.95"/>
    <n v="1.9188748280614329E-2"/>
    <n v="100"/>
    <n v="325.93"/>
    <n v="421.74"/>
    <n v="470"/>
    <n v="421.74"/>
    <n v="1478.5110680754196"/>
    <n v="75500.87217535566"/>
    <n v="1550.0665546658138"/>
  </r>
  <r>
    <x v="0"/>
    <x v="0"/>
    <x v="29"/>
    <n v="0.21"/>
    <n v="0.14599999999999999"/>
    <n v="12.594475165743701"/>
    <n v="10946.862823126299"/>
    <n v="54996.115639638272"/>
    <n v="1519.9356791954915"/>
    <n v="0"/>
    <n v="0"/>
    <n v="4.2786793298476447"/>
    <n v="8489.6321598770392"/>
    <n v="71.13"/>
    <n v="71.13"/>
    <n v="1.9727128567968225E-2"/>
    <n v="100"/>
    <n v="329.71"/>
    <n v="420.39"/>
    <n v="470"/>
    <n v="420.39"/>
    <n v="1519.9356791954915"/>
    <n v="75497.258349236639"/>
    <n v="1550.7354304295793"/>
  </r>
  <r>
    <x v="0"/>
    <x v="0"/>
    <x v="30"/>
    <n v="0.21"/>
    <n v="0.14299999999999999"/>
    <n v="12.010412836968278"/>
    <n v="10832.840587184464"/>
    <n v="54997.409700837095"/>
    <n v="1479.0614330495589"/>
    <n v="0"/>
    <n v="0"/>
    <n v="4.1085323781126659"/>
    <n v="8531.7611237313504"/>
    <n v="71.08"/>
    <n v="71.08"/>
    <n v="1.919263436530539E-2"/>
    <n v="100"/>
    <n v="332.55"/>
    <n v="420.21"/>
    <n v="470"/>
    <n v="420.21"/>
    <n v="1479.0614330495589"/>
    <n v="75514.217535565578"/>
    <n v="1549.7959238511669"/>
  </r>
  <r>
    <x v="0"/>
    <x v="1"/>
    <x v="31"/>
    <n v="0.20899999999999999"/>
    <n v="0.14799999999999999"/>
    <n v="11.978867632080332"/>
    <n v="10723.449885604616"/>
    <n v="54996.093977706456"/>
    <n v="1511.9641980734409"/>
    <n v="0"/>
    <n v="0"/>
    <n v="4.1169753600788317"/>
    <n v="8520.3142599811326"/>
    <n v="71.05"/>
    <n v="71.05"/>
    <n v="1.9624237461654381E-2"/>
    <n v="100"/>
    <n v="347.05"/>
    <n v="419.81"/>
    <n v="470"/>
    <n v="419.81"/>
    <n v="1511.9641980734409"/>
    <n v="75496.028159698122"/>
    <n v="1549.7271736139726"/>
  </r>
  <r>
    <x v="0"/>
    <x v="1"/>
    <x v="32"/>
    <n v="0.21"/>
    <n v="0.14299999999999999"/>
    <n v="11.969111256596117"/>
    <n v="10620.779694683595"/>
    <n v="55003.566669196742"/>
    <n v="1464.9933788079838"/>
    <n v="0"/>
    <n v="0"/>
    <n v="4.2751614006751941"/>
    <n v="8487.032780241585"/>
    <n v="70.98"/>
    <n v="70.98"/>
    <n v="1.9012115466663246E-2"/>
    <n v="100"/>
    <n v="362.06"/>
    <n v="418.99"/>
    <n v="470"/>
    <n v="418.99"/>
    <n v="1464.9933788079838"/>
    <n v="75505.960796538857"/>
    <n v="1549.8187865787377"/>
  </r>
  <r>
    <x v="0"/>
    <x v="1"/>
    <x v="33"/>
    <n v="0.21"/>
    <n v="0.14599999999999999"/>
    <n v="12.125900578945563"/>
    <n v="10677.680356387707"/>
    <n v="55000.889592188585"/>
    <n v="1467.4677471767111"/>
    <n v="0"/>
    <n v="0"/>
    <n v="4.240928502317769"/>
    <n v="8540.3221368624218"/>
    <n v="70.989999999999995"/>
    <n v="70.989999999999995"/>
    <n v="1.9045864861035641E-2"/>
    <n v="100"/>
    <n v="346.89"/>
    <n v="417.85"/>
    <n v="470"/>
    <n v="417.85"/>
    <n v="1467.4677471767111"/>
    <n v="75499.108203938231"/>
    <n v="1550.0443487968153"/>
  </r>
  <r>
    <x v="0"/>
    <x v="1"/>
    <x v="34"/>
    <n v="0.20899999999999999"/>
    <n v="0.14799999999999999"/>
    <n v="12.321220742092622"/>
    <n v="10604.757676282748"/>
    <n v="55004.656304215823"/>
    <n v="1463.9633074938463"/>
    <n v="0"/>
    <n v="0"/>
    <n v="4.4061477382839929"/>
    <n v="8566.2144554291717"/>
    <n v="70.97"/>
    <n v="70.97"/>
    <n v="1.8997722160579936E-2"/>
    <n v="100"/>
    <n v="360.9"/>
    <n v="418.19"/>
    <n v="470"/>
    <n v="418.19"/>
    <n v="1463.9633074938463"/>
    <n v="75510.280604831714"/>
    <n v="1549.6582193897466"/>
  </r>
  <r>
    <x v="0"/>
    <x v="1"/>
    <x v="35"/>
    <n v="0.20699999999999999"/>
    <n v="0.14299999999999999"/>
    <n v="11.818992139563472"/>
    <n v="10589.310161264964"/>
    <n v="54998.970335812803"/>
    <n v="1465.7281968529071"/>
    <n v="0"/>
    <n v="0"/>
    <n v="1929.1825716316823"/>
    <n v="8605.9832913612518"/>
    <n v="71.03"/>
    <n v="71.03"/>
    <n v="1.9023236674184513E-2"/>
    <n v="100"/>
    <n v="912.12"/>
    <n v="416.98"/>
    <n v="912.12"/>
    <n v="416.98"/>
    <n v="1465.7281968529071"/>
    <n v="75499.349551092993"/>
    <n v="1550.0097118327387"/>
  </r>
  <r>
    <x v="0"/>
    <x v="1"/>
    <x v="36"/>
    <n v="0.21"/>
    <n v="0.14199999999999999"/>
    <n v="11.986995270813116"/>
    <n v="10790.565698055821"/>
    <n v="54998.019704740633"/>
    <n v="1486.8656493801775"/>
    <n v="0"/>
    <n v="0"/>
    <n v="4142.4787646511377"/>
    <n v="8658.4004170552125"/>
    <n v="71.040000000000006"/>
    <n v="71.040000000000006"/>
    <n v="1.9297442488458709E-2"/>
    <n v="100"/>
    <n v="449.78"/>
    <n v="414.77"/>
    <n v="449.78"/>
    <n v="414.77"/>
    <n v="1486.8656493801775"/>
    <n v="75499.515793069062"/>
    <n v="1550.3653126490935"/>
  </r>
  <r>
    <x v="0"/>
    <x v="1"/>
    <x v="37"/>
    <n v="0.20699999999999999"/>
    <n v="0.15"/>
    <n v="12.021934055272776"/>
    <n v="10891.987560179565"/>
    <n v="54999.099833015265"/>
    <n v="1500.0946151659275"/>
    <n v="0"/>
    <n v="0"/>
    <n v="3.8935833410783247"/>
    <n v="8577.9061198820273"/>
    <n v="71.069999999999993"/>
    <n v="71.069999999999993"/>
    <n v="1.9469892445264713E-2"/>
    <n v="100"/>
    <n v="269.44"/>
    <n v="417.29"/>
    <n v="470"/>
    <n v="417.29"/>
    <n v="1500.0946151659275"/>
    <n v="75496.974187846979"/>
    <n v="1549.9134302079719"/>
  </r>
  <r>
    <x v="0"/>
    <x v="1"/>
    <x v="38"/>
    <n v="0.20799999999999999"/>
    <n v="0.15"/>
    <n v="12.336851140511358"/>
    <n v="11026.997590106695"/>
    <n v="54998.513038905272"/>
    <n v="1508.2247333936937"/>
    <n v="0"/>
    <n v="0"/>
    <n v="4.2342767477200978"/>
    <n v="8585.9252384140782"/>
    <n v="71.12"/>
    <n v="71.12"/>
    <n v="1.9573877988111506E-2"/>
    <n v="100"/>
    <n v="342.44"/>
    <n v="416.13"/>
    <n v="470"/>
    <n v="416.13"/>
    <n v="1508.2247333936937"/>
    <n v="75503.069314928871"/>
    <n v="1549.8649227187336"/>
  </r>
  <r>
    <x v="0"/>
    <x v="1"/>
    <x v="39"/>
    <n v="0.20599999999999999"/>
    <n v="0.14299999999999999"/>
    <n v="12.490414250153457"/>
    <n v="10999.522891953287"/>
    <n v="54990.612332473109"/>
    <n v="1531.1582424314713"/>
    <n v="0"/>
    <n v="0"/>
    <n v="4.3298930802500806"/>
    <n v="8550.3507811144609"/>
    <n v="71.14"/>
    <n v="71.14"/>
    <n v="1.9890492306907988E-2"/>
    <n v="100"/>
    <n v="355.95"/>
    <n v="417.74"/>
    <n v="470"/>
    <n v="417.74"/>
    <n v="1531.1582424314713"/>
    <n v="75429.817851101659"/>
    <n v="1549.5861176828971"/>
  </r>
  <r>
    <x v="0"/>
    <x v="1"/>
    <x v="40"/>
    <n v="0.21099999999999999"/>
    <n v="0.14699999999999999"/>
    <n v="12.723737335469805"/>
    <n v="10782.607022033309"/>
    <n v="54997.741794435286"/>
    <n v="1578.2459080608085"/>
    <n v="0"/>
    <n v="0"/>
    <n v="4.4400317409152708"/>
    <n v="8592.6376336420017"/>
    <n v="71.069999999999993"/>
    <n v="71.069999999999993"/>
    <n v="2.0530894799493427E-2"/>
    <n v="100"/>
    <n v="369.75"/>
    <n v="417.81"/>
    <n v="470"/>
    <n v="417.81"/>
    <n v="1578.2459080608085"/>
    <n v="75298.8706952637"/>
    <n v="1572.8839688218361"/>
  </r>
  <r>
    <x v="0"/>
    <x v="1"/>
    <x v="41"/>
    <n v="0.20899999999999999"/>
    <n v="0.14699999999999999"/>
    <n v="13.244633869194969"/>
    <n v="10694.695771301396"/>
    <n v="55003.526262144347"/>
    <n v="1599.9588865323833"/>
    <n v="0"/>
    <n v="0"/>
    <n v="4.5450809620718919"/>
    <n v="8594.4778365718248"/>
    <n v="71.069999999999993"/>
    <n v="71.069999999999993"/>
    <n v="2.0802563068249541E-2"/>
    <n v="100"/>
    <n v="383.07"/>
    <n v="417.66"/>
    <n v="470"/>
    <n v="417.66"/>
    <n v="1599.9588865323833"/>
    <n v="75311.731062413251"/>
    <n v="1599.8918603583395"/>
  </r>
  <r>
    <x v="0"/>
    <x v="1"/>
    <x v="42"/>
    <n v="0.20899999999999999"/>
    <n v="0.14699999999999999"/>
    <n v="13.436171592564156"/>
    <n v="10235.820895997787"/>
    <n v="55002.57946142002"/>
    <n v="1600.0575320517164"/>
    <n v="0"/>
    <n v="0"/>
    <n v="4.5765119019190026"/>
    <n v="8501.9383647423656"/>
    <n v="70.989999999999995"/>
    <n v="70.989999999999995"/>
    <n v="2.0808644866385957E-2"/>
    <n v="100"/>
    <n v="386.46"/>
    <n v="418.21"/>
    <n v="470"/>
    <n v="418.21"/>
    <n v="1600.0575320517164"/>
    <n v="75293.549309290422"/>
    <n v="1600.3350510713046"/>
  </r>
  <r>
    <x v="0"/>
    <x v="1"/>
    <x v="43"/>
    <n v="0.20899999999999999"/>
    <n v="0.14399999999999999"/>
    <n v="13.530783576488826"/>
    <n v="10307.88678923057"/>
    <n v="55001.360491845939"/>
    <n v="1599.9099047394116"/>
    <n v="0"/>
    <n v="0"/>
    <n v="4.6532380117632135"/>
    <n v="8532.9086280415067"/>
    <n v="71.03"/>
    <n v="71.03"/>
    <n v="2.0806890551168689E-2"/>
    <n v="100"/>
    <n v="398.68"/>
    <n v="417.21"/>
    <n v="470"/>
    <n v="417.21"/>
    <n v="1599.9099047394116"/>
    <n v="75293.180939885497"/>
    <n v="1600.0915462115338"/>
  </r>
  <r>
    <x v="0"/>
    <x v="1"/>
    <x v="44"/>
    <n v="0.20499999999999999"/>
    <n v="0.14599999999999999"/>
    <n v="12.057782927624968"/>
    <n v="10836.617794496564"/>
    <n v="55001.42129760149"/>
    <n v="1600.259544695524"/>
    <n v="0"/>
    <n v="0"/>
    <n v="3.9671055615403263"/>
    <n v="8410.285267731284"/>
    <n v="71.14"/>
    <n v="71.14"/>
    <n v="2.0810437819510447E-2"/>
    <n v="100"/>
    <n v="358.08"/>
    <n v="417.23"/>
    <n v="470"/>
    <n v="417.23"/>
    <n v="1600.259544695524"/>
    <n v="75296.616797146082"/>
    <n v="1600.3499353476318"/>
  </r>
  <r>
    <x v="0"/>
    <x v="1"/>
    <x v="45"/>
    <n v="0.20399999999999999"/>
    <n v="0.14499999999999999"/>
    <n v="12.334582502853532"/>
    <n v="11089.972822285956"/>
    <n v="54997.337550420714"/>
    <n v="1599.988329197118"/>
    <n v="0"/>
    <n v="0"/>
    <n v="4.2271902503279"/>
    <n v="8324.3494789181768"/>
    <n v="71.13"/>
    <n v="71.13"/>
    <n v="2.0800974608849408E-2"/>
    <n v="100"/>
    <n v="304.89999999999998"/>
    <n v="418.76"/>
    <n v="470"/>
    <n v="418.76"/>
    <n v="1599.988329197118"/>
    <n v="75318.766562933728"/>
    <n v="1600.1451363494048"/>
  </r>
  <r>
    <x v="0"/>
    <x v="1"/>
    <x v="46"/>
    <n v="0.20599999999999999"/>
    <n v="0.14299999999999999"/>
    <n v="12.73000584270787"/>
    <n v="11167.863075229876"/>
    <n v="54999.036628209578"/>
    <n v="1600.051215484852"/>
    <n v="0"/>
    <n v="0"/>
    <n v="4.5449744940300434"/>
    <n v="8312.9322200566021"/>
    <n v="71.150000000000006"/>
    <n v="71.150000000000006"/>
    <n v="2.0809891917414704E-2"/>
    <n v="100"/>
    <n v="343.09"/>
    <n v="419.49"/>
    <n v="470"/>
    <n v="419.49"/>
    <n v="1600.051215484852"/>
    <n v="75288.884986554476"/>
    <n v="1600.08790358597"/>
  </r>
  <r>
    <x v="0"/>
    <x v="1"/>
    <x v="47"/>
    <n v="0.20799999999999999"/>
    <n v="0.14599999999999999"/>
    <n v="12.539628754879848"/>
    <n v="11031.436923279192"/>
    <n v="55002.115132720333"/>
    <n v="1599.8713023114915"/>
    <n v="0"/>
    <n v="0"/>
    <n v="4.6838700101244868"/>
    <n v="8315.9857266682211"/>
    <n v="71.010000000000005"/>
    <n v="71.010000000000005"/>
    <n v="2.0805306227165615E-2"/>
    <n v="100"/>
    <n v="367.29"/>
    <n v="419.06"/>
    <n v="470"/>
    <n v="419.06"/>
    <n v="1599.8713023114915"/>
    <n v="75297.217280751211"/>
    <n v="1600.0552151724337"/>
  </r>
  <r>
    <x v="0"/>
    <x v="1"/>
    <x v="48"/>
    <n v="0.26500000000000001"/>
    <n v="0.14599999999999999"/>
    <n v="12.248200634301826"/>
    <n v="11401.312874766872"/>
    <n v="56168.710148659782"/>
    <n v="1600.032612426673"/>
    <n v="0"/>
    <n v="198.96"/>
    <n v="3.9992966230009928"/>
    <n v="8415.145140161454"/>
    <n v="70.97"/>
    <n v="70.97"/>
    <n v="2.0362459203406721E-2"/>
    <n v="100"/>
    <n v="327.8"/>
    <n v="417.57"/>
    <n v="470"/>
    <n v="417.57"/>
    <n v="1600.032612426673"/>
    <n v="76978.043340128381"/>
    <n v="1599.5290662036184"/>
  </r>
  <r>
    <x v="0"/>
    <x v="1"/>
    <x v="49"/>
    <n v="0.21199999999999999"/>
    <n v="0.14399999999999999"/>
    <n v="13.342368468073488"/>
    <n v="11876.667705803262"/>
    <n v="57199.177852294415"/>
    <n v="1599.8387219907509"/>
    <n v="0"/>
    <n v="288.37"/>
    <n v="4.7126844467014841"/>
    <n v="8459.9187491189932"/>
    <n v="70.73"/>
    <n v="70.73"/>
    <n v="2.00227534695341E-2"/>
    <n v="100"/>
    <n v="400.45"/>
    <n v="416.6"/>
    <n v="470"/>
    <n v="416.6"/>
    <n v="1599.8387219907509"/>
    <n v="78301.410771599578"/>
    <n v="1599.6240398716711"/>
  </r>
  <r>
    <x v="0"/>
    <x v="1"/>
    <x v="50"/>
    <n v="0.218"/>
    <n v="0.14499999999999999"/>
    <n v="12.964741790898552"/>
    <n v="11960.020270618275"/>
    <n v="57196.323408223456"/>
    <n v="1600.0496276389551"/>
    <n v="0"/>
    <n v="289.18"/>
    <n v="3.8956579081636602"/>
    <n v="8473.5074729734133"/>
    <n v="71.2"/>
    <n v="71.2"/>
    <n v="2.0030490885871523E-2"/>
    <n v="100"/>
    <n v="340.97"/>
    <n v="416.47"/>
    <n v="470"/>
    <n v="416.47"/>
    <n v="1600.0496276389551"/>
    <n v="78281.124479528109"/>
    <n v="1599.5752374991869"/>
  </r>
  <r>
    <x v="0"/>
    <x v="1"/>
    <x v="51"/>
    <n v="0.214"/>
    <n v="0.14399999999999999"/>
    <n v="13.222107360463934"/>
    <n v="12008.717583004423"/>
    <n v="57199.391213241674"/>
    <n v="1600.0769755398539"/>
    <n v="0"/>
    <n v="283.92"/>
    <n v="4.6389940385600079"/>
    <n v="8502.2790562922892"/>
    <n v="71.489999999999995"/>
    <n v="71.489999999999995"/>
    <n v="2.0027622580869146E-2"/>
    <n v="100"/>
    <n v="397.54"/>
    <n v="416.23"/>
    <n v="470"/>
    <n v="416.23"/>
    <n v="1600.0769755398539"/>
    <n v="78293.6597577637"/>
    <n v="1599.8457783494534"/>
  </r>
  <r>
    <x v="0"/>
    <x v="1"/>
    <x v="52"/>
    <n v="0.22"/>
    <n v="0.14399999999999999"/>
    <n v="13.096610247302932"/>
    <n v="12011.970726844422"/>
    <n v="57202.365571868497"/>
    <n v="1599.95118026151"/>
    <n v="0"/>
    <n v="286.45999999999998"/>
    <n v="4.5453950428946159"/>
    <n v="8502.7293824004591"/>
    <n v="71.5"/>
    <n v="71.5"/>
    <n v="2.0026620768566664E-2"/>
    <n v="100"/>
    <n v="392.14"/>
    <n v="417.01"/>
    <n v="470"/>
    <n v="417.01"/>
    <n v="1599.95118026151"/>
    <n v="78290.810065709578"/>
    <n v="1600.4106624902413"/>
  </r>
  <r>
    <x v="0"/>
    <x v="1"/>
    <x v="53"/>
    <n v="0.22600000000000001"/>
    <n v="0.14499999999999999"/>
    <n v="13.961885078345464"/>
    <n v="12010.783619909134"/>
    <n v="57199.454447866061"/>
    <n v="1599.8681144211378"/>
    <n v="0"/>
    <n v="292.42"/>
    <n v="4.701647439158517"/>
    <n v="8517.8476535392092"/>
    <n v="71.5"/>
    <n v="71.5"/>
    <n v="2.0021971955121121E-2"/>
    <n v="100"/>
    <n v="401.49"/>
    <n v="415.44"/>
    <n v="470"/>
    <n v="415.44"/>
    <n v="1599.8681144211378"/>
    <n v="78305.410354137755"/>
    <n v="1600.2112303501528"/>
  </r>
  <r>
    <x v="0"/>
    <x v="1"/>
    <x v="54"/>
    <n v="0.22"/>
    <n v="0.14499999999999999"/>
    <n v="14.443770196188002"/>
    <n v="12009.249806178435"/>
    <n v="57200.452994882027"/>
    <n v="1599.965103138825"/>
    <n v="0"/>
    <n v="286.07"/>
    <n v="4.9438033330614246"/>
    <n v="8552.1653934984388"/>
    <n v="71.52"/>
    <n v="71.52"/>
    <n v="2.0019963527035004E-2"/>
    <n v="100"/>
    <n v="468.31"/>
    <n v="414.5"/>
    <n v="470"/>
    <n v="414.5"/>
    <n v="1599.965103138825"/>
    <n v="78318.219243363987"/>
    <n v="1600.2631743601178"/>
  </r>
  <r>
    <x v="0"/>
    <x v="1"/>
    <x v="55"/>
    <n v="0.221"/>
    <n v="0.14599999999999999"/>
    <n v="13.293124083757895"/>
    <n v="12021.379762859991"/>
    <n v="57195.355937716864"/>
    <n v="1600.0014218946533"/>
    <n v="0"/>
    <n v="286.33"/>
    <n v="4.6150686605203326"/>
    <n v="8589.8389281802993"/>
    <n v="71.55"/>
    <n v="71.55"/>
    <n v="2.0025017002131169E-2"/>
    <n v="100"/>
    <n v="438.77"/>
    <n v="413.64"/>
    <n v="470"/>
    <n v="413.64"/>
    <n v="1600.0014218946533"/>
    <n v="78300.21989395385"/>
    <n v="1599.9081171420942"/>
  </r>
  <r>
    <x v="0"/>
    <x v="1"/>
    <x v="56"/>
    <n v="0.218"/>
    <n v="0.14699999999999999"/>
    <n v="13.392810556623672"/>
    <n v="12017.71801130942"/>
    <n v="57202.168055495313"/>
    <n v="1599.8644324043903"/>
    <n v="0"/>
    <n v="268.77999999999997"/>
    <n v="4.6661432160014167"/>
    <n v="8660.2439074969643"/>
    <n v="71.53"/>
    <n v="71.53"/>
    <n v="2.0022546624203576E-2"/>
    <n v="100"/>
    <n v="428.2"/>
    <n v="412.37"/>
    <n v="470"/>
    <n v="412.37"/>
    <n v="1599.8644324043903"/>
    <n v="78302.895786346286"/>
    <n v="1600.2485254990563"/>
  </r>
  <r>
    <x v="0"/>
    <x v="1"/>
    <x v="57"/>
    <n v="0.214"/>
    <n v="0.14499999999999999"/>
    <n v="12.158464841425708"/>
    <n v="11320.989565487293"/>
    <n v="56159.682536541462"/>
    <n v="1581.0334305773172"/>
    <n v="0"/>
    <n v="149.27000000000001"/>
    <n v="3.9878860290972078"/>
    <n v="8614.6669278062109"/>
    <n v="71.209999999999994"/>
    <n v="71.209999999999994"/>
    <n v="2.0163962088891402E-2"/>
    <n v="100"/>
    <n v="352.41"/>
    <n v="412.81"/>
    <n v="470"/>
    <n v="412.81"/>
    <n v="1581.0334305773172"/>
    <n v="76828.013532269251"/>
    <n v="1580.8539119087764"/>
  </r>
  <r>
    <x v="0"/>
    <x v="1"/>
    <x v="58"/>
    <n v="0.20799999999999999"/>
    <n v="0.13900000000000001"/>
    <n v="12.008672583855994"/>
    <n v="10445.505141015354"/>
    <n v="55104.703149397123"/>
    <n v="1503.1687854605364"/>
    <n v="0"/>
    <n v="0"/>
    <n v="4.3053102266614758"/>
    <n v="8704.8325530772909"/>
    <n v="70.58"/>
    <n v="70.58"/>
    <n v="1.9574971651796457E-2"/>
    <n v="100"/>
    <n v="358.04"/>
    <n v="410.64"/>
    <n v="470"/>
    <n v="410.64"/>
    <n v="1503.1687854605364"/>
    <n v="75290.56954263532"/>
    <n v="1499.7733604965899"/>
  </r>
  <r>
    <x v="0"/>
    <x v="1"/>
    <x v="59"/>
    <n v="0.20899999999999999"/>
    <n v="0.14199999999999999"/>
    <n v="12.74299235016335"/>
    <n v="10694.785465280189"/>
    <n v="55095.212471807776"/>
    <n v="1514.683140878459"/>
    <n v="0"/>
    <n v="0"/>
    <n v="4.5506934219561543"/>
    <n v="8718.3454638976837"/>
    <n v="70.75"/>
    <n v="70.75"/>
    <n v="1.9724194403431927E-2"/>
    <n v="100"/>
    <n v="419.43"/>
    <n v="409.13"/>
    <n v="470"/>
    <n v="409.13"/>
    <n v="1514.683140878459"/>
    <n v="75293.619453721374"/>
    <n v="1499.5367025021958"/>
  </r>
  <r>
    <x v="0"/>
    <x v="2"/>
    <x v="60"/>
    <n v="0.20899999999999999"/>
    <n v="0.14199999999999999"/>
    <n v="12.121885140847199"/>
    <n v="10421.444445046842"/>
    <n v="55099.579770450211"/>
    <n v="1502.9116482863733"/>
    <n v="0"/>
    <n v="0"/>
    <n v="4.449339055750289"/>
    <n v="8644.1900237465306"/>
    <n v="70.569999999999993"/>
    <n v="70.569999999999993"/>
    <n v="1.9570992706932668E-2"/>
    <n v="100"/>
    <n v="411.76"/>
    <n v="410.12"/>
    <n v="470"/>
    <n v="410.12"/>
    <n v="1502.9116482863733"/>
    <n v="75292.874718077728"/>
    <n v="1499.9416092204849"/>
  </r>
  <r>
    <x v="0"/>
    <x v="2"/>
    <x v="61"/>
    <n v="0.20699999999999999"/>
    <n v="0.14099999999999999"/>
    <n v="11.99264447280386"/>
    <n v="10470.252897158009"/>
    <n v="55098.046568680606"/>
    <n v="1507.7718053496108"/>
    <n v="0"/>
    <n v="0"/>
    <n v="4.2243965479501995"/>
    <n v="8652.1353382796242"/>
    <n v="70.569999999999993"/>
    <n v="70.569999999999993"/>
    <n v="1.9705329772706094E-2"/>
    <n v="100"/>
    <n v="371.21"/>
    <n v="411.25"/>
    <n v="470"/>
    <n v="411.25"/>
    <n v="1507.7718053496108"/>
    <n v="75015.791323299796"/>
    <n v="1500.14739689506"/>
  </r>
  <r>
    <x v="0"/>
    <x v="2"/>
    <x v="62"/>
    <n v="0.20499999999999999"/>
    <n v="0.14399999999999999"/>
    <n v="12.001586912738873"/>
    <n v="10474.307234288255"/>
    <n v="55103.050624024108"/>
    <n v="1499.9043592231958"/>
    <n v="0"/>
    <n v="0"/>
    <n v="4.5363362379821943"/>
    <n v="8612.0673889117807"/>
    <n v="70.569999999999993"/>
    <n v="70.569999999999993"/>
    <n v="1.96082043307182E-2"/>
    <n v="100"/>
    <n v="385.92"/>
    <n v="412.52"/>
    <n v="470"/>
    <n v="412.52"/>
    <n v="1499.9043592231958"/>
    <n v="74993.275085660993"/>
    <n v="1500.4381542324936"/>
  </r>
  <r>
    <x v="0"/>
    <x v="2"/>
    <x v="63"/>
    <n v="0.20699999999999999"/>
    <n v="0.14699999999999999"/>
    <n v="11.890712189393106"/>
    <n v="10408.030772900764"/>
    <n v="55099.091185591606"/>
    <n v="1499.9985051681233"/>
    <n v="0"/>
    <n v="0"/>
    <n v="4.7047034044550324"/>
    <n v="8599.1548735958095"/>
    <n v="70.56"/>
    <n v="70.56"/>
    <n v="1.9605242692181182E-2"/>
    <n v="100"/>
    <n v="411.01"/>
    <n v="413.38"/>
    <n v="470"/>
    <n v="413.38"/>
    <n v="1499.9985051681233"/>
    <n v="75009.855850971551"/>
    <n v="1500.2148846660034"/>
  </r>
  <r>
    <x v="0"/>
    <x v="2"/>
    <x v="64"/>
    <n v="0.20799999999999999"/>
    <n v="0.14299999999999999"/>
    <n v="11.834027706625394"/>
    <n v="10592.063518579762"/>
    <n v="55091.145062565061"/>
    <n v="1500.0251825717817"/>
    <n v="0"/>
    <n v="0"/>
    <n v="4.4573686116276141"/>
    <n v="8651.1898888846717"/>
    <n v="70.75"/>
    <n v="70.75"/>
    <n v="1.9607350970913835E-2"/>
    <n v="100"/>
    <n v="119121.09"/>
    <n v="411.18"/>
    <n v="470"/>
    <n v="411.18"/>
    <n v="1500.0251825717817"/>
    <n v="75002.568967947605"/>
    <n v="1500.6356106294186"/>
  </r>
  <r>
    <x v="0"/>
    <x v="2"/>
    <x v="65"/>
    <n v="0.20699999999999999"/>
    <n v="0.14599999999999999"/>
    <n v="12.54108663502044"/>
    <n v="10658.438019116498"/>
    <n v="55102.82911986034"/>
    <n v="1500.0796370284579"/>
    <n v="0"/>
    <n v="0"/>
    <n v="1464.1368380765962"/>
    <n v="8691.2007977858266"/>
    <n v="70.790000000000006"/>
    <n v="70.790000000000006"/>
    <n v="1.961179184240339E-2"/>
    <n v="100"/>
    <n v="872.49"/>
    <n v="410.09"/>
    <n v="872.49"/>
    <n v="410.09"/>
    <n v="1500.0796370284579"/>
    <n v="74989.287907702979"/>
    <n v="1499.3699917286986"/>
  </r>
  <r>
    <x v="0"/>
    <x v="2"/>
    <x v="66"/>
    <n v="0.20799999999999999"/>
    <n v="0.14499999999999999"/>
    <n v="12.960035331376636"/>
    <n v="10744.381564858388"/>
    <n v="55102.637195849238"/>
    <n v="1500.1372962332202"/>
    <n v="0"/>
    <n v="0"/>
    <n v="3769.9959260818446"/>
    <n v="8771.4737575088911"/>
    <n v="70.83"/>
    <n v="70.83"/>
    <n v="1.9611992819261355E-2"/>
    <n v="100"/>
    <n v="446.06"/>
    <n v="407.09"/>
    <n v="446.06"/>
    <n v="407.09"/>
    <n v="1500.1372962332202"/>
    <n v="74990.49333145385"/>
    <n v="1500.3207361458242"/>
  </r>
  <r>
    <x v="0"/>
    <x v="2"/>
    <x v="67"/>
    <n v="0.20799999999999999"/>
    <n v="0.14399999999999999"/>
    <n v="12.276919640905737"/>
    <n v="10655.732497777151"/>
    <n v="55100.432303413429"/>
    <n v="1500.2631822383544"/>
    <n v="0"/>
    <n v="0"/>
    <n v="4.5034205814271564"/>
    <n v="8735.7053898659778"/>
    <n v="70.8"/>
    <n v="70.8"/>
    <n v="1.9610214634463215E-2"/>
    <n v="100"/>
    <n v="400.47"/>
    <n v="410.27"/>
    <n v="470"/>
    <n v="410.27"/>
    <n v="1500.2631822383544"/>
    <n v="75004.432571781756"/>
    <n v="1499.7368217431199"/>
  </r>
  <r>
    <x v="0"/>
    <x v="2"/>
    <x v="68"/>
    <n v="0.20399999999999999"/>
    <n v="0.14399999999999999"/>
    <n v="11.890142788910188"/>
    <n v="10625.721300854442"/>
    <n v="55101.868350429395"/>
    <n v="1506.2352546517177"/>
    <n v="0"/>
    <n v="0"/>
    <n v="4.5276333862174969"/>
    <n v="8693.9948603400408"/>
    <n v="70.73"/>
    <n v="70.73"/>
    <n v="1.9690946840076058E-2"/>
    <n v="100"/>
    <n v="408.73"/>
    <n v="411.19"/>
    <n v="470"/>
    <n v="411.19"/>
    <n v="1506.2352546517177"/>
    <n v="74993.869838653714"/>
    <n v="1499.9253498106511"/>
  </r>
  <r>
    <x v="0"/>
    <x v="2"/>
    <x v="69"/>
    <n v="0.20799999999999999"/>
    <n v="0.14399999999999999"/>
    <n v="12.196104469272845"/>
    <n v="10574.30984206931"/>
    <n v="55101.015212959741"/>
    <n v="1523.9285609968665"/>
    <n v="0"/>
    <n v="0"/>
    <n v="4.609017075307662"/>
    <n v="8654.2121444797449"/>
    <n v="70.75"/>
    <n v="70.75"/>
    <n v="1.9921386893106418E-2"/>
    <n v="100"/>
    <n v="411.46"/>
    <n v="412.32"/>
    <n v="470"/>
    <n v="412.32"/>
    <n v="1523.9285609968665"/>
    <n v="74997.074785305347"/>
    <n v="1500.0370460102577"/>
  </r>
  <r>
    <x v="0"/>
    <x v="2"/>
    <x v="70"/>
    <n v="0.20699999999999999"/>
    <n v="0.14299999999999999"/>
    <n v="12.162897058363839"/>
    <n v="10206.398156255422"/>
    <n v="55078.67383490198"/>
    <n v="1507.2047158108248"/>
    <n v="0"/>
    <n v="0"/>
    <n v="4.7443589055645718"/>
    <n v="8699.1466666757024"/>
    <n v="70.510000000000005"/>
    <n v="70.510000000000005"/>
    <n v="1.9702807254404996E-2"/>
    <n v="100"/>
    <n v="426.01"/>
    <n v="411.77"/>
    <n v="470"/>
    <n v="411.77"/>
    <n v="1507.2047158108248"/>
    <n v="74996.944900459755"/>
    <n v="1500.0078611248157"/>
  </r>
  <r>
    <x v="0"/>
    <x v="2"/>
    <x v="71"/>
    <n v="0.20699999999999999"/>
    <n v="0.14399999999999999"/>
    <n v="13.594720014509932"/>
    <n v="10310.155048441837"/>
    <n v="54927.351988094211"/>
    <n v="1525.7848395110004"/>
    <n v="0"/>
    <n v="0"/>
    <n v="4.6448956320138546"/>
    <n v="8581.6413894430952"/>
    <n v="70.67"/>
    <n v="70.67"/>
    <n v="2.0016501065125782E-2"/>
    <n v="100"/>
    <n v="426.45"/>
    <n v="411.55"/>
    <n v="470"/>
    <n v="411.55"/>
    <n v="1525.7848395110004"/>
    <n v="74726.289187196395"/>
    <n v="1500.0619891005863"/>
  </r>
  <r>
    <x v="0"/>
    <x v="2"/>
    <x v="72"/>
    <n v="0.20499999999999999"/>
    <n v="0.14099999999999999"/>
    <n v="12.858313967501596"/>
    <n v="10594.216772477879"/>
    <n v="54799.179234797884"/>
    <n v="1500.1968333385289"/>
    <n v="0"/>
    <n v="0"/>
    <n v="4.8017701346538368"/>
    <n v="8463.6565739395392"/>
    <n v="70.67"/>
    <n v="70.67"/>
    <n v="1.9739815468670308E-2"/>
    <n v="100"/>
    <n v="447.58"/>
    <n v="413.51"/>
    <n v="470"/>
    <n v="413.51"/>
    <n v="1500.1968333385289"/>
    <n v="74498.632660695701"/>
    <n v="1499.8910195048195"/>
  </r>
  <r>
    <x v="0"/>
    <x v="2"/>
    <x v="73"/>
    <n v="0.20699999999999999"/>
    <n v="0.14000000000000001"/>
    <n v="12.09998400553823"/>
    <n v="10764.196175886971"/>
    <n v="54796.094324687714"/>
    <n v="1499.9108510596482"/>
    <n v="0"/>
    <n v="0"/>
    <n v="2725.5731860898918"/>
    <n v="8031.6291468327117"/>
    <n v="70.77"/>
    <n v="70.77"/>
    <n v="1.9732836874895739E-2"/>
    <n v="100"/>
    <n v="669.96"/>
    <n v="416.12"/>
    <n v="669.96"/>
    <n v="416.12"/>
    <n v="1499.9108510596482"/>
    <n v="74510.988349019783"/>
    <n v="1499.9197920111633"/>
  </r>
  <r>
    <x v="0"/>
    <x v="2"/>
    <x v="74"/>
    <n v="0.20899999999999999"/>
    <n v="0.216"/>
    <n v="12.046108971859828"/>
    <n v="11024.644824693138"/>
    <n v="54805.975087829633"/>
    <n v="1500.1427278962092"/>
    <n v="0"/>
    <n v="0"/>
    <n v="5485.2579856517823"/>
    <n v="6603.6631347461343"/>
    <n v="70.959999999999994"/>
    <n v="70.959999999999994"/>
    <n v="1.9692749006351536E-2"/>
    <n v="100"/>
    <n v="472.45"/>
    <n v="433.56"/>
    <n v="472.45"/>
    <n v="433.56"/>
    <n v="1500.1427278962092"/>
    <n v="74677.809610296667"/>
    <n v="1499.6061183233214"/>
  </r>
  <r>
    <x v="0"/>
    <x v="2"/>
    <x v="75"/>
    <n v="0.20699999999999999"/>
    <n v="0.13900000000000001"/>
    <n v="13.12712223574488"/>
    <n v="10824.066899956597"/>
    <n v="54797.142804476061"/>
    <n v="1499.9226840864362"/>
    <n v="0"/>
    <n v="0.02"/>
    <n v="7116.2345037625782"/>
    <n v="1.8795411358435563"/>
    <n v="70.87"/>
    <n v="70.87"/>
    <n v="1.9658116767642338E-2"/>
    <n v="100"/>
    <n v="441.45"/>
    <n v="13958.15"/>
    <n v="441.45"/>
    <n v="470"/>
    <n v="1499.9226840864362"/>
    <n v="74800.417169066626"/>
    <n v="1500.0088491234658"/>
  </r>
  <r>
    <x v="0"/>
    <x v="2"/>
    <x v="76"/>
    <n v="0.20899999999999999"/>
    <n v="0.14499999999999999"/>
    <n v="13.418033411236458"/>
    <n v="10694.603884292592"/>
    <n v="54801.10814430083"/>
    <n v="1500.2877097305202"/>
    <n v="0"/>
    <n v="0.02"/>
    <n v="7122.6221645124915"/>
    <n v="2.6756253947324837"/>
    <n v="70.790000000000006"/>
    <n v="70.790000000000006"/>
    <n v="1.9664269895225212E-2"/>
    <n v="100"/>
    <n v="443.19"/>
    <n v="9973"/>
    <n v="443.19"/>
    <n v="470"/>
    <n v="1500.2877097305202"/>
    <n v="74795.037528192217"/>
    <n v="1500.0762860670759"/>
  </r>
  <r>
    <x v="0"/>
    <x v="2"/>
    <x v="77"/>
    <n v="0.20799999999999999"/>
    <n v="0.14499999999999999"/>
    <n v="13.038609330642563"/>
    <n v="10562.046507010104"/>
    <n v="54791.232911172803"/>
    <n v="1500.3002351950142"/>
    <n v="0"/>
    <n v="0"/>
    <n v="7161.5692935813886"/>
    <n v="2.6864583265607682"/>
    <n v="70.77"/>
    <n v="70.77"/>
    <n v="1.9694144311808149E-2"/>
    <n v="100"/>
    <n v="443.69"/>
    <n v="9939.64"/>
    <n v="443.69"/>
    <n v="470"/>
    <n v="1500.3002351950142"/>
    <n v="74680.002927654394"/>
    <n v="1500.0133980850972"/>
  </r>
  <r>
    <x v="0"/>
    <x v="2"/>
    <x v="78"/>
    <n v="0.21099999999999999"/>
    <n v="0.126"/>
    <n v="12.534892159646621"/>
    <n v="10495.87283949948"/>
    <n v="54803.593140072"/>
    <n v="1508.0442171540217"/>
    <n v="0"/>
    <n v="0.02"/>
    <n v="7217.4124943073375"/>
    <n v="2.1962351713899593"/>
    <n v="70.900000000000006"/>
    <n v="70.900000000000006"/>
    <n v="1.9789728474015469E-2"/>
    <n v="100"/>
    <n v="443.67"/>
    <n v="142234.59"/>
    <n v="443.67"/>
    <n v="470"/>
    <n v="1508.0442171540217"/>
    <n v="74703.686421105129"/>
    <n v="1499.6944961283125"/>
  </r>
  <r>
    <x v="0"/>
    <x v="2"/>
    <x v="79"/>
    <n v="0.21"/>
    <n v="0.14499999999999999"/>
    <n v="13.80252218014825"/>
    <n v="11103.193055088695"/>
    <n v="54594.824969639143"/>
    <n v="1530.6838609323495"/>
    <n v="0"/>
    <n v="0"/>
    <n v="7249.3220423235807"/>
    <n v="3655.290137297442"/>
    <n v="71.069999999999993"/>
    <n v="71.069999999999993"/>
    <n v="2.0111357628303499E-2"/>
    <n v="100"/>
    <n v="443.06"/>
    <n v="613.52"/>
    <n v="443.06"/>
    <n v="613.52"/>
    <n v="1530.6838609323495"/>
    <n v="74609.967871703673"/>
    <n v="1500.4513860274983"/>
  </r>
  <r>
    <x v="0"/>
    <x v="2"/>
    <x v="80"/>
    <n v="0.21099999999999999"/>
    <n v="0.14499999999999999"/>
    <n v="15.123736249167914"/>
    <n v="11103.590677995966"/>
    <n v="54774.079567140878"/>
    <n v="1510.8708348694483"/>
    <n v="0"/>
    <n v="0"/>
    <n v="7182.8756295650228"/>
    <n v="8841.3511917993146"/>
    <n v="71.02"/>
    <n v="71.02"/>
    <n v="1.9743639574420799E-2"/>
    <n v="100"/>
    <n v="436.63"/>
    <n v="401.71"/>
    <n v="436.63"/>
    <n v="401.71"/>
    <n v="1510.8708348694483"/>
    <n v="75024.337406748789"/>
    <n v="1500.0961544717211"/>
  </r>
  <r>
    <x v="0"/>
    <x v="2"/>
    <x v="81"/>
    <n v="0.20699999999999999"/>
    <n v="0.14699999999999999"/>
    <n v="14.784463593233468"/>
    <n v="10819.467259064886"/>
    <n v="54998.343478920891"/>
    <n v="1531.5706177181371"/>
    <n v="0"/>
    <n v="0"/>
    <n v="4.8149070226840056"/>
    <n v="8802.7414088252517"/>
    <n v="70.98"/>
    <n v="70.98"/>
    <n v="2.0022424426541865E-2"/>
    <n v="100"/>
    <n v="442.86"/>
    <n v="403.9"/>
    <n v="470"/>
    <n v="403.9"/>
    <n v="1531.5706177181371"/>
    <n v="74992.611906878898"/>
    <n v="1500.153658907253"/>
  </r>
  <r>
    <x v="0"/>
    <x v="2"/>
    <x v="82"/>
    <n v="0.20899999999999999"/>
    <n v="0.14399999999999999"/>
    <n v="14.874783719107146"/>
    <n v="10653.451594758417"/>
    <n v="55001.643438801177"/>
    <n v="1501.2276113220255"/>
    <n v="0"/>
    <n v="0"/>
    <n v="5.0904349878709567"/>
    <n v="8767.2308191197517"/>
    <n v="71"/>
    <n v="71"/>
    <n v="1.9624485298025376E-2"/>
    <n v="100"/>
    <n v="439.75"/>
    <n v="406.03"/>
    <n v="470"/>
    <n v="406.03"/>
    <n v="1501.2276113220255"/>
    <n v="74997.966630161347"/>
    <n v="1499.7141254750661"/>
  </r>
  <r>
    <x v="0"/>
    <x v="2"/>
    <x v="83"/>
    <n v="0.21"/>
    <n v="0.14499999999999999"/>
    <n v="16.318004152826102"/>
    <n v="10765.110888299139"/>
    <n v="54997.910801418286"/>
    <n v="1553.3319326449732"/>
    <n v="0"/>
    <n v="0"/>
    <n v="5.1914496850338683"/>
    <n v="8765.2995146328503"/>
    <n v="70.959999999999994"/>
    <n v="70.959999999999994"/>
    <n v="2.0265154953039231E-2"/>
    <n v="100"/>
    <n v="450.72"/>
    <n v="407.69"/>
    <n v="470"/>
    <n v="407.69"/>
    <n v="1553.3319326449732"/>
    <n v="75068.24087005551"/>
    <n v="1582.1442982066762"/>
  </r>
  <r>
    <x v="0"/>
    <x v="2"/>
    <x v="84"/>
    <n v="0.21099999999999999"/>
    <n v="0.14599999999999999"/>
    <n v="17.787914144422015"/>
    <n v="10831.992540580544"/>
    <n v="55000.569914013715"/>
    <n v="1601.4690553875621"/>
    <n v="0"/>
    <n v="0"/>
    <n v="5.7184379228198798"/>
    <n v="8706.0930038547449"/>
    <n v="70.989999999999995"/>
    <n v="70.989999999999995"/>
    <n v="2.0858400668260259E-2"/>
    <n v="100"/>
    <n v="481.71"/>
    <n v="411.63"/>
    <n v="470"/>
    <n v="411.63"/>
    <n v="1601.4690553875621"/>
    <n v="75078.084788124572"/>
    <n v="1700.0479583846125"/>
  </r>
  <r>
    <x v="0"/>
    <x v="2"/>
    <x v="85"/>
    <n v="0.20399999999999999"/>
    <n v="0.15"/>
    <n v="13.509103430219197"/>
    <n v="10646.90993667592"/>
    <n v="55001.960636602184"/>
    <n v="1600.1319535180646"/>
    <n v="0"/>
    <n v="0"/>
    <n v="4.6477727979359571"/>
    <n v="8420.659046519886"/>
    <n v="70.97"/>
    <n v="70.97"/>
    <n v="2.0915830551208391E-2"/>
    <n v="100"/>
    <n v="417.01"/>
    <n v="415.44"/>
    <n v="470"/>
    <n v="415.44"/>
    <n v="1600.1319535180646"/>
    <n v="74803.662896859823"/>
    <n v="1699.7276618105102"/>
  </r>
  <r>
    <x v="0"/>
    <x v="2"/>
    <x v="86"/>
    <n v="0.20200000000000001"/>
    <n v="0.14599999999999999"/>
    <n v="11.872934490338867"/>
    <n v="10648.312093381332"/>
    <n v="54996.624081041809"/>
    <n v="1600.017924682702"/>
    <n v="0"/>
    <n v="0"/>
    <n v="3.9932539845240935"/>
    <n v="8146.8812741260417"/>
    <n v="70.92"/>
    <n v="70.92"/>
    <n v="2.0914589280382208E-2"/>
    <n v="100"/>
    <n v="324.11"/>
    <n v="419.43"/>
    <n v="470"/>
    <n v="419.43"/>
    <n v="1600.017924682702"/>
    <n v="74802.365100190844"/>
    <n v="1700.1137786801701"/>
  </r>
  <r>
    <x v="0"/>
    <x v="2"/>
    <x v="87"/>
    <n v="0.20599999999999999"/>
    <n v="0.14799999999999999"/>
    <n v="12.12758550372577"/>
    <n v="10619.144689831281"/>
    <n v="55000.667459121272"/>
    <n v="1600.0461614689509"/>
    <n v="0"/>
    <n v="0"/>
    <n v="4.2969529264755835"/>
    <n v="7978.5660135241378"/>
    <n v="70.86"/>
    <n v="70.86"/>
    <n v="2.0920416488560786E-2"/>
    <n v="100"/>
    <n v="339.41"/>
    <n v="432.74"/>
    <n v="470"/>
    <n v="432.74"/>
    <n v="1600.0461614689509"/>
    <n v="74782.163542028109"/>
    <n v="1700.3559309398854"/>
  </r>
  <r>
    <x v="0"/>
    <x v="2"/>
    <x v="88"/>
    <n v="0.255"/>
    <n v="0.14699999999999999"/>
    <n v="12.407760393776718"/>
    <n v="11231.984248270515"/>
    <n v="56094.780385257633"/>
    <n v="1654.3730995660023"/>
    <n v="0"/>
    <n v="160.24"/>
    <n v="4.3254190252358349"/>
    <n v="8313.1501175127942"/>
    <n v="70.930000000000007"/>
    <n v="70.930000000000007"/>
    <n v="2.1170428631533535E-2"/>
    <n v="100"/>
    <n v="354.53"/>
    <n v="415.67"/>
    <n v="470"/>
    <n v="415.67"/>
    <n v="1654.3730995660023"/>
    <n v="76445.367507373347"/>
    <n v="1700.1026840898248"/>
  </r>
  <r>
    <x v="0"/>
    <x v="2"/>
    <x v="89"/>
    <n v="0.218"/>
    <n v="0.14799999999999999"/>
    <n v="12.441787426542856"/>
    <n v="12045.69858484101"/>
    <n v="56989.714209424877"/>
    <n v="1700.1063544162853"/>
    <n v="0"/>
    <n v="180.97"/>
    <n v="4.4672800966801534"/>
    <n v="8291.4408918773861"/>
    <n v="70.98"/>
    <n v="70.98"/>
    <n v="2.1387373604615147E-2"/>
    <n v="100"/>
    <n v="366.96"/>
    <n v="416.05"/>
    <n v="470"/>
    <n v="416.05"/>
    <n v="1700.1063544162853"/>
    <n v="77791.206827940667"/>
    <n v="1699.9165725231501"/>
  </r>
  <r>
    <x v="0"/>
    <x v="2"/>
    <x v="90"/>
    <n v="0.218"/>
    <n v="0.14599999999999999"/>
    <n v="14.361153143962833"/>
    <n v="12031.235356984082"/>
    <n v="56942.208142674361"/>
    <n v="1724.2188974839792"/>
    <n v="0"/>
    <n v="177.6"/>
    <n v="4.9811717600230123"/>
    <n v="8275.2895724675782"/>
    <n v="70.91"/>
    <n v="70.91"/>
    <n v="2.1699645665294792E-2"/>
    <n v="100"/>
    <n v="440.32"/>
    <n v="416.67"/>
    <n v="470"/>
    <n v="416.67"/>
    <n v="1724.2188974839792"/>
    <n v="77758.239075511796"/>
    <n v="1700.1504336588089"/>
  </r>
  <r>
    <x v="0"/>
    <x v="3"/>
    <x v="91"/>
    <n v="0.223"/>
    <n v="0.14799999999999999"/>
    <n v="14.312413913851229"/>
    <n v="12031.78678272467"/>
    <n v="57153.12443344466"/>
    <n v="1752.0150780131801"/>
    <n v="0"/>
    <n v="181.55"/>
    <n v="4.7983344835510362"/>
    <n v="8322.5736135658826"/>
    <n v="70.900000000000006"/>
    <n v="70.900000000000006"/>
    <n v="2.1985660910465079E-2"/>
    <n v="100"/>
    <n v="405.98"/>
    <n v="417.33"/>
    <n v="470"/>
    <n v="417.33"/>
    <n v="1752.0150780131801"/>
    <n v="77988.885913645034"/>
    <n v="1700.1025205952355"/>
  </r>
  <r>
    <x v="0"/>
    <x v="3"/>
    <x v="92"/>
    <n v="0.219"/>
    <n v="0.14699999999999999"/>
    <n v="13.157188762318004"/>
    <n v="12034.387304280879"/>
    <n v="57002.027013033483"/>
    <n v="1706.4269719649983"/>
    <n v="0"/>
    <n v="158.94999999999999"/>
    <n v="4.2654028618856898"/>
    <n v="8367.3439932935034"/>
    <n v="70.91"/>
    <n v="70.91"/>
    <n v="2.1464969614251126E-2"/>
    <n v="100"/>
    <n v="360.38"/>
    <n v="420.06"/>
    <n v="470"/>
    <n v="420.06"/>
    <n v="1706.4269719649983"/>
    <n v="77797.50076986468"/>
    <n v="1700.7236688999069"/>
  </r>
  <r>
    <x v="0"/>
    <x v="3"/>
    <x v="93"/>
    <n v="0.219"/>
    <n v="0.14899999999999999"/>
    <n v="13.416806064820141"/>
    <n v="12029.117388098544"/>
    <n v="56994.347523421238"/>
    <n v="1767.8374807025557"/>
    <n v="0"/>
    <n v="150.85"/>
    <n v="4.6742649523439219"/>
    <n v="8413.5202997592824"/>
    <n v="70.87"/>
    <n v="70.87"/>
    <n v="2.2231274136162094E-2"/>
    <n v="100"/>
    <n v="404.42"/>
    <n v="418.81"/>
    <n v="470"/>
    <n v="418.81"/>
    <n v="1767.8374807025557"/>
    <n v="77760.089965735606"/>
    <n v="1760.2051768147392"/>
  </r>
  <r>
    <x v="0"/>
    <x v="3"/>
    <x v="94"/>
    <n v="0.216"/>
    <n v="0.14699999999999999"/>
    <n v="13.739822351957343"/>
    <n v="12030.049583758024"/>
    <n v="56977.414165510061"/>
    <n v="1906.6068920000489"/>
    <n v="0"/>
    <n v="156.63"/>
    <n v="4.7660867281046118"/>
    <n v="8368.0129809621139"/>
    <n v="70.88"/>
    <n v="70.88"/>
    <n v="2.3953679379535953E-2"/>
    <n v="100"/>
    <n v="423.81"/>
    <n v="419.28"/>
    <n v="470"/>
    <n v="419.28"/>
    <n v="1906.6068920000489"/>
    <n v="77696.08762903366"/>
    <n v="1899.4877224881809"/>
  </r>
  <r>
    <x v="0"/>
    <x v="3"/>
    <x v="95"/>
    <n v="0.218"/>
    <n v="0.14599999999999999"/>
    <n v="14.505230585292839"/>
    <n v="12028.199603682338"/>
    <n v="56967.880218272898"/>
    <n v="2027.2158294614201"/>
    <n v="0"/>
    <n v="164"/>
    <n v="4.8807010433890605"/>
    <n v="8455.3053855287126"/>
    <n v="70.88"/>
    <n v="70.88"/>
    <n v="2.5443702274582543E-2"/>
    <n v="100"/>
    <n v="439.49"/>
    <n v="418.54"/>
    <n v="470"/>
    <n v="418.54"/>
    <n v="2027.2158294614201"/>
    <n v="77705.301868277238"/>
    <n v="1969.259938183797"/>
  </r>
  <r>
    <x v="0"/>
    <x v="3"/>
    <x v="96"/>
    <n v="0.217"/>
    <n v="0.14699999999999999"/>
    <n v="14.282184092556744"/>
    <n v="12029.912039572127"/>
    <n v="56947.415130551701"/>
    <n v="2105.8380021062849"/>
    <n v="0"/>
    <n v="161.62"/>
    <n v="5.0715550522602406"/>
    <n v="8766.4330224507721"/>
    <n v="70.900000000000006"/>
    <n v="70.900000000000006"/>
    <n v="2.6496103659305676E-2"/>
    <n v="100"/>
    <n v="455.73"/>
    <n v="413.15"/>
    <n v="470"/>
    <n v="413.15"/>
    <n v="2105.8380021062849"/>
    <n v="77477.077333448993"/>
    <n v="2000.1933318435276"/>
  </r>
  <r>
    <x v="0"/>
    <x v="3"/>
    <x v="97"/>
    <n v="0.219"/>
    <n v="0.14699999999999999"/>
    <n v="15.27144814662682"/>
    <n v="12024.839225011929"/>
    <n v="56977.648502558986"/>
    <n v="2056.8120320496832"/>
    <n v="0"/>
    <n v="161.47"/>
    <n v="5.1803170095955968"/>
    <n v="8686.1441232759371"/>
    <n v="70.88"/>
    <n v="70.88"/>
    <n v="2.5886745851409158E-2"/>
    <n v="100"/>
    <n v="466.73"/>
    <n v="414.95"/>
    <n v="470"/>
    <n v="414.95"/>
    <n v="2056.8120320496832"/>
    <n v="77454.42967665683"/>
    <n v="1999.8224667318159"/>
  </r>
  <r>
    <x v="0"/>
    <x v="3"/>
    <x v="98"/>
    <n v="0.73399999999999999"/>
    <n v="0.28799999999999998"/>
    <n v="15.625463103850958"/>
    <n v="12020.690227733559"/>
    <n v="57000.988693290259"/>
    <n v="2025.0565469332821"/>
    <n v="0"/>
    <n v="159.77000000000001"/>
    <n v="5.3410367118576021"/>
    <n v="8686.4893594671667"/>
    <n v="70.87"/>
    <n v="70.87"/>
    <n v="2.5433183438603756E-2"/>
    <n v="100"/>
    <n v="477.8"/>
    <n v="415.28"/>
    <n v="470"/>
    <n v="415.28"/>
    <n v="2025.0565469332821"/>
    <n v="77622.673951466"/>
    <n v="1999.9400174778257"/>
  </r>
  <r>
    <x v="0"/>
    <x v="3"/>
    <x v="99"/>
    <n v="0.215"/>
    <n v="0.14699999999999999"/>
    <n v="16.058336696055594"/>
    <n v="11327.36895154732"/>
    <n v="56316.197828114156"/>
    <n v="1936.8283763411639"/>
    <n v="0"/>
    <n v="83.84"/>
    <n v="5.3309009581452687"/>
    <n v="8696.324691105352"/>
    <n v="70.94"/>
    <n v="70.94"/>
    <n v="2.4606544845733689E-2"/>
    <n v="100"/>
    <n v="483.79"/>
    <n v="415.86"/>
    <n v="470"/>
    <n v="415.86"/>
    <n v="1936.8283763411639"/>
    <n v="76743.046620185632"/>
    <n v="1968.8728501732196"/>
  </r>
  <r>
    <x v="0"/>
    <x v="3"/>
    <x v="100"/>
    <n v="0.20699999999999999"/>
    <n v="0.15"/>
    <n v="12.639800828831795"/>
    <n v="10598.145545085878"/>
    <n v="55399.915366390531"/>
    <n v="1800.097835246926"/>
    <n v="0"/>
    <n v="0"/>
    <n v="2508.9610879388142"/>
    <n v="8583.4928408006599"/>
    <n v="70.95"/>
    <n v="70.95"/>
    <n v="2.3320652055663246E-2"/>
    <n v="100"/>
    <n v="694.18"/>
    <n v="417.4"/>
    <n v="694.18"/>
    <n v="417.4"/>
    <n v="1800.097835246926"/>
    <n v="75288.811128339701"/>
    <n v="1900.189888884672"/>
  </r>
  <r>
    <x v="0"/>
    <x v="3"/>
    <x v="101"/>
    <n v="0.20599999999999999"/>
    <n v="0.14899999999999999"/>
    <n v="12.341273660547282"/>
    <n v="10613.611410126432"/>
    <n v="55399.403381983"/>
    <n v="1799.9113262105038"/>
    <n v="0"/>
    <n v="0"/>
    <n v="4807.2131655353542"/>
    <n v="8473.4097740284524"/>
    <n v="70.81"/>
    <n v="70.81"/>
    <n v="2.3315159367514573E-2"/>
    <n v="100"/>
    <n v="453.88"/>
    <n v="415.94"/>
    <n v="453.88"/>
    <n v="415.94"/>
    <n v="1799.9113262105038"/>
    <n v="75299.087683249483"/>
    <n v="1900.098384436264"/>
  </r>
  <r>
    <x v="0"/>
    <x v="3"/>
    <x v="102"/>
    <n v="0.20599999999999999"/>
    <n v="0.14599999999999999"/>
    <n v="12.299237394895428"/>
    <n v="10391.869171799101"/>
    <n v="55399.203260539558"/>
    <n v="1800.0003782400731"/>
    <n v="0"/>
    <n v="0"/>
    <n v="4.5006640606005934"/>
    <n v="8447.3010414859473"/>
    <n v="70.83"/>
    <n v="70.83"/>
    <n v="2.3317517644901309E-2"/>
    <n v="100"/>
    <n v="415.69"/>
    <n v="418.32"/>
    <n v="470"/>
    <n v="418.32"/>
    <n v="1800.0003782400731"/>
    <n v="75295.354457624911"/>
    <n v="1899.8429751373017"/>
  </r>
  <r>
    <x v="0"/>
    <x v="3"/>
    <x v="103"/>
    <n v="0.20799999999999999"/>
    <n v="0.14799999999999999"/>
    <n v="13.277044688720492"/>
    <n v="10283.50772711008"/>
    <n v="55164.44706638185"/>
    <n v="1743.2906731334847"/>
    <n v="0"/>
    <n v="0.72"/>
    <n v="4.5391295884401748"/>
    <n v="8476.0780179237518"/>
    <n v="70.8"/>
    <n v="70.8"/>
    <n v="2.2703242474011207E-2"/>
    <n v="100"/>
    <n v="422.51"/>
    <n v="420.54"/>
    <n v="470"/>
    <n v="420.54"/>
    <n v="1743.2906731334847"/>
    <n v="74946.876436719293"/>
    <n v="1839.1013868915627"/>
  </r>
  <r>
    <x v="0"/>
    <x v="3"/>
    <x v="104"/>
    <n v="0.21"/>
    <n v="0.14599999999999999"/>
    <n v="15.158659216929111"/>
    <n v="10526.478930376041"/>
    <n v="55004.022312521687"/>
    <n v="1706.2550569808293"/>
    <n v="0"/>
    <n v="0.21"/>
    <n v="4.9402725388820103"/>
    <n v="8437.2865048685817"/>
    <n v="71"/>
    <n v="71"/>
    <n v="2.2302615214413783E-2"/>
    <n v="100"/>
    <n v="456.86"/>
    <n v="419.92"/>
    <n v="470"/>
    <n v="419.92"/>
    <n v="1706.2550569808293"/>
    <n v="74705.027693442054"/>
    <n v="1799.6799642548306"/>
  </r>
  <r>
    <x v="0"/>
    <x v="3"/>
    <x v="105"/>
    <n v="0.21299999999999999"/>
    <n v="0.14899999999999999"/>
    <n v="16.546676844213671"/>
    <n v="10349.211797498479"/>
    <n v="54980.359770775503"/>
    <n v="1702.5026276037147"/>
    <n v="0"/>
    <n v="0"/>
    <n v="4.9693821019219655"/>
    <n v="8443.0702738712262"/>
    <n v="71.010000000000005"/>
    <n v="71.010000000000005"/>
    <n v="2.2253265066514261E-2"/>
    <n v="100"/>
    <n v="467.16"/>
    <n v="419.93"/>
    <n v="470"/>
    <n v="419.93"/>
    <n v="1702.5026276037147"/>
    <n v="74705.325045541293"/>
    <n v="1800.4201794848684"/>
  </r>
  <r>
    <x v="0"/>
    <x v="3"/>
    <x v="106"/>
    <n v="0.20499999999999999"/>
    <n v="0.14299999999999999"/>
    <n v="15.278567254584669"/>
    <n v="10312.343666643173"/>
    <n v="55003.558227793197"/>
    <n v="1700.0223459830145"/>
    <n v="0"/>
    <n v="0"/>
    <n v="4.7327535276525472"/>
    <n v="8375.0410955933385"/>
    <n v="71.010000000000005"/>
    <n v="71.010000000000005"/>
    <n v="2.2222395728636421E-2"/>
    <n v="100"/>
    <n v="469.39"/>
    <n v="418.97"/>
    <n v="470"/>
    <n v="418.97"/>
    <n v="1700.0223459830145"/>
    <n v="74700.406006028803"/>
    <n v="1800.0022641882806"/>
  </r>
  <r>
    <x v="0"/>
    <x v="3"/>
    <x v="107"/>
    <n v="0.20699999999999999"/>
    <n v="0.14399999999999999"/>
    <n v="13.839945754104816"/>
    <n v="10546.717846628861"/>
    <n v="54997.349442661347"/>
    <n v="1630.9319089086084"/>
    <n v="0"/>
    <n v="0"/>
    <n v="3.4438151130239474"/>
    <n v="8352.6055710823639"/>
    <n v="70.98"/>
    <n v="70.98"/>
    <n v="2.1338892829245594E-2"/>
    <n v="100"/>
    <n v="383.28"/>
    <n v="420.16"/>
    <n v="470"/>
    <n v="420.16"/>
    <n v="1630.9319089086084"/>
    <n v="74733.518986380979"/>
    <n v="1696.496476903382"/>
  </r>
  <r>
    <x v="0"/>
    <x v="3"/>
    <x v="108"/>
    <n v="0.20899999999999999"/>
    <n v="0.14799999999999999"/>
    <n v="14.536746348712612"/>
    <n v="10541.894903983781"/>
    <n v="54994.653663905272"/>
    <n v="1600.0785357695663"/>
    <n v="0"/>
    <n v="0"/>
    <n v="2.8025166129668828"/>
    <n v="8373.1194164479966"/>
    <n v="70.930000000000007"/>
    <n v="70.930000000000007"/>
    <n v="2.0903464110216086E-2"/>
    <n v="100"/>
    <n v="195.81"/>
    <n v="421.13"/>
    <n v="470"/>
    <n v="421.13"/>
    <n v="1600.0785357695663"/>
    <n v="74895.878453547877"/>
    <n v="1650.21588435494"/>
  </r>
  <r>
    <x v="0"/>
    <x v="3"/>
    <x v="109"/>
    <n v="0.20899999999999999"/>
    <n v="0.14899999999999999"/>
    <n v="15.023482110912315"/>
    <n v="10428.406110394257"/>
    <n v="54995.519428239939"/>
    <n v="1599.8469426342383"/>
    <n v="0"/>
    <n v="0"/>
    <n v="3.2114493179288197"/>
    <n v="8368.8196957950204"/>
    <n v="70.95"/>
    <n v="70.95"/>
    <n v="2.0896738726199241E-2"/>
    <n v="100"/>
    <n v="322.77999999999997"/>
    <n v="422.23"/>
    <n v="470"/>
    <n v="422.23"/>
    <n v="1599.8469426342383"/>
    <n v="74909.575224453511"/>
    <n v="1650.0718858601067"/>
  </r>
  <r>
    <x v="0"/>
    <x v="3"/>
    <x v="110"/>
    <n v="0.20599999999999999"/>
    <n v="0.14299999999999999"/>
    <n v="13.254574874967936"/>
    <n v="10191.85673197866"/>
    <n v="55005.259615176095"/>
    <n v="1600.0234629983793"/>
    <n v="0"/>
    <n v="0"/>
    <n v="3.2811028894494592"/>
    <n v="8349.9976687196395"/>
    <n v="70.97"/>
    <n v="70.97"/>
    <n v="2.0903663846011632E-2"/>
    <n v="100"/>
    <n v="282.52"/>
    <n v="418.76"/>
    <n v="470"/>
    <n v="418.76"/>
    <n v="1600.0234629983793"/>
    <n v="74892.725537820967"/>
    <n v="1650.0027984682674"/>
  </r>
  <r>
    <x v="0"/>
    <x v="3"/>
    <x v="111"/>
    <n v="0.20399999999999999"/>
    <n v="0.14099999999999999"/>
    <n v="12.946653262184032"/>
    <n v="10550.00200191924"/>
    <n v="54889.768067422803"/>
    <n v="1600.1263797926788"/>
    <n v="0"/>
    <n v="0"/>
    <n v="5411.7062290250469"/>
    <n v="3513.165628467777"/>
    <n v="70.86"/>
    <n v="70.86"/>
    <n v="2.0929229503784386E-2"/>
    <n v="100"/>
    <n v="543.36"/>
    <n v="425.48"/>
    <n v="543.36"/>
    <n v="425.48"/>
    <n v="1600.1263797926788"/>
    <n v="74804.37828547883"/>
    <n v="1649.7682708168427"/>
  </r>
  <r>
    <x v="0"/>
    <x v="3"/>
    <x v="112"/>
    <n v="0.20899999999999999"/>
    <n v="0.14499999999999999"/>
    <n v="12.818175456161551"/>
    <n v="10635.517508951823"/>
    <n v="54798.956635474497"/>
    <n v="1600.0415446528291"/>
    <n v="0"/>
    <n v="0"/>
    <n v="7325.3312234342484"/>
    <n v="2537.7283051335007"/>
    <n v="70.92"/>
    <n v="70.92"/>
    <n v="2.0954803285921017E-2"/>
    <n v="100"/>
    <n v="446.24"/>
    <n v="638.33000000000004"/>
    <n v="446.24"/>
    <n v="638.33000000000004"/>
    <n v="1600.0415446528291"/>
    <n v="74706.634563671061"/>
    <n v="1650.1568994038971"/>
  </r>
  <r>
    <x v="0"/>
    <x v="3"/>
    <x v="113"/>
    <n v="0.21"/>
    <n v="0.14499999999999999"/>
    <n v="13.283348218506198"/>
    <n v="10521.836214000694"/>
    <n v="54797.1535934247"/>
    <n v="1600.0142145414968"/>
    <n v="0"/>
    <n v="0"/>
    <n v="4164.7521846538448"/>
    <n v="8201.7900736250867"/>
    <n v="70.94"/>
    <n v="70.94"/>
    <n v="2.0959382780915348E-2"/>
    <n v="100"/>
    <n v="445.19"/>
    <n v="424.27"/>
    <n v="445.19"/>
    <n v="424.27"/>
    <n v="1600.0142145414968"/>
    <n v="74688.92640202117"/>
    <n v="1649.8776203184636"/>
  </r>
  <r>
    <x v="0"/>
    <x v="3"/>
    <x v="114"/>
    <n v="0.20599999999999999"/>
    <n v="0.14499999999999999"/>
    <n v="12.734726175841647"/>
    <n v="10731.667000997571"/>
    <n v="54803.775082950211"/>
    <n v="1600.0139647251528"/>
    <n v="0"/>
    <n v="0"/>
    <n v="3.1028541078342489"/>
    <n v="8198.6603351622143"/>
    <n v="70.959999999999994"/>
    <n v="70.959999999999994"/>
    <n v="2.0956247880244482E-2"/>
    <n v="100"/>
    <n v="288.13"/>
    <n v="427.4"/>
    <n v="470"/>
    <n v="427.4"/>
    <n v="1600.0139647251528"/>
    <n v="74700.235291247402"/>
    <n v="1649.9765342908299"/>
  </r>
  <r>
    <x v="0"/>
    <x v="3"/>
    <x v="115"/>
    <n v="0.21"/>
    <n v="0.154"/>
    <n v="13.439887193736723"/>
    <n v="10731.463998660867"/>
    <n v="54801.953135843163"/>
    <n v="1599.9951036335444"/>
    <n v="0"/>
    <n v="0"/>
    <n v="3.411416050711082"/>
    <n v="8184.6718319661923"/>
    <n v="70.959999999999994"/>
    <n v="70.959999999999994"/>
    <n v="2.0956540377795929E-2"/>
    <n v="100"/>
    <n v="340.1"/>
    <n v="429.38"/>
    <n v="470"/>
    <n v="429.38"/>
    <n v="1599.9951036335444"/>
    <n v="74698.426336962177"/>
    <n v="1649.8198329441088"/>
  </r>
  <r>
    <x v="0"/>
    <x v="3"/>
    <x v="116"/>
    <n v="0.20899999999999999"/>
    <n v="0.14799999999999999"/>
    <n v="13.993672163100976"/>
    <n v="10758.773036302917"/>
    <n v="54794.276991347157"/>
    <n v="1599.9946562682978"/>
    <n v="0"/>
    <n v="0"/>
    <n v="3.5806102259633934"/>
    <n v="8163.2155495722373"/>
    <n v="70.989999999999995"/>
    <n v="70.989999999999995"/>
    <n v="2.0954234069559211E-2"/>
    <n v="100"/>
    <n v="364.11"/>
    <n v="430.12"/>
    <n v="470"/>
    <n v="430.12"/>
    <n v="1599.9946562682978"/>
    <n v="74706.348835444122"/>
    <n v="1650.279183360622"/>
  </r>
  <r>
    <x v="0"/>
    <x v="3"/>
    <x v="117"/>
    <n v="0.21"/>
    <n v="0.15"/>
    <n v="15.356107606563528"/>
    <n v="10670.490273003774"/>
    <n v="54800.817035153537"/>
    <n v="1599.928763882639"/>
    <n v="0"/>
    <n v="0"/>
    <n v="2.862371800498313"/>
    <n v="8149.1021859819566"/>
    <n v="70.95"/>
    <n v="70.95"/>
    <n v="2.0951353858754358E-2"/>
    <n v="100"/>
    <n v="250.5"/>
    <n v="431.42"/>
    <n v="470"/>
    <n v="431.42"/>
    <n v="1599.928763882639"/>
    <n v="74714.061675919496"/>
    <n v="1649.9181732453048"/>
  </r>
  <r>
    <x v="0"/>
    <x v="3"/>
    <x v="118"/>
    <n v="0.21199999999999999"/>
    <n v="0.14799999999999999"/>
    <n v="17.30097740379826"/>
    <n v="10576.637256842037"/>
    <n v="54803.821947107041"/>
    <n v="1600.0090905532995"/>
    <n v="0"/>
    <n v="0"/>
    <n v="4.4626973493893942"/>
    <n v="8267.6289936730136"/>
    <n v="70.98"/>
    <n v="70.98"/>
    <n v="2.0957037063402659E-2"/>
    <n v="100"/>
    <n v="446.58"/>
    <n v="426.82"/>
    <n v="470"/>
    <n v="426.82"/>
    <n v="1600.0090905532995"/>
    <n v="74697.147033310204"/>
    <n v="1649.9570784347079"/>
  </r>
  <r>
    <x v="0"/>
    <x v="3"/>
    <x v="119"/>
    <n v="0.214"/>
    <n v="0.154"/>
    <n v="18.838017713188048"/>
    <n v="10811.445971899941"/>
    <n v="54792.852907052395"/>
    <n v="1600.0817041761093"/>
    <n v="0"/>
    <n v="0"/>
    <n v="1325.6946635757529"/>
    <n v="8262.9812741938113"/>
    <n v="70.98"/>
    <n v="70.98"/>
    <n v="2.0953807133086193E-2"/>
    <n v="100"/>
    <n v="826.9"/>
    <n v="427.35"/>
    <n v="826.9"/>
    <n v="427.35"/>
    <n v="1600.0817041761093"/>
    <n v="74712.330862899034"/>
    <n v="1650.0072083324296"/>
  </r>
  <r>
    <x v="0"/>
    <x v="3"/>
    <x v="120"/>
    <n v="0.21099999999999999"/>
    <n v="0.14699999999999999"/>
    <n v="18.995516974921031"/>
    <n v="10693.601067780621"/>
    <n v="54807.869919977449"/>
    <n v="1600.2485375281922"/>
    <n v="0"/>
    <n v="0.02"/>
    <n v="6877.5086436963265"/>
    <n v="8261.8860024234473"/>
    <n v="70.989999999999995"/>
    <n v="70.989999999999995"/>
    <n v="2.0956695118045255E-2"/>
    <n v="100"/>
    <n v="442.48"/>
    <n v="429.19"/>
    <n v="442.48"/>
    <n v="429.19"/>
    <n v="1600.2485375281922"/>
    <n v="74709.851356479878"/>
    <n v="1649.9242910772955"/>
  </r>
  <r>
    <x v="0"/>
    <x v="4"/>
    <x v="121"/>
    <n v="0.215"/>
    <n v="0.157"/>
    <n v="18.018691328976569"/>
    <n v="11069.28998687977"/>
    <n v="54802.273985079803"/>
    <n v="1599.9202928298221"/>
    <n v="0"/>
    <n v="0"/>
    <n v="7327.6644254071598"/>
    <n v="8292.246323150699"/>
    <n v="71.040000000000006"/>
    <n v="71.040000000000006"/>
    <n v="2.0952554175212267E-2"/>
    <n v="100"/>
    <n v="437.77"/>
    <n v="427.82"/>
    <n v="437.77"/>
    <n v="427.82"/>
    <n v="1599.9202928298221"/>
    <n v="74709.140473195701"/>
    <n v="1650.0603884631439"/>
  </r>
  <r>
    <x v="0"/>
    <x v="4"/>
    <x v="122"/>
    <n v="0.20899999999999999"/>
    <n v="0.152"/>
    <n v="18.328428899803399"/>
    <n v="10992.516093289163"/>
    <n v="54804.580025264571"/>
    <n v="1599.9037758948321"/>
    <n v="0"/>
    <n v="0"/>
    <n v="7346.7611471119235"/>
    <n v="8348.9099912305901"/>
    <n v="71.040000000000006"/>
    <n v="71.040000000000006"/>
    <n v="2.0958612030781518E-2"/>
    <n v="100"/>
    <n v="435.78"/>
    <n v="425.77"/>
    <n v="435.78"/>
    <n v="425.77"/>
    <n v="1599.9037758948321"/>
    <n v="74686.170985860517"/>
    <n v="1650.1710173734602"/>
  </r>
  <r>
    <x v="0"/>
    <x v="4"/>
    <x v="123"/>
    <n v="0.21299999999999999"/>
    <n v="0.15"/>
    <n v="19.186723600568911"/>
    <n v="10948.282882573953"/>
    <n v="54792.934360903892"/>
    <n v="1600.0120806406142"/>
    <n v="0"/>
    <n v="0"/>
    <n v="7393.3296288113725"/>
    <n v="8369.2503015755119"/>
    <n v="71.03"/>
    <n v="71.03"/>
    <n v="2.0957874838761222E-2"/>
    <n v="100"/>
    <n v="433.52"/>
    <n v="425.54"/>
    <n v="433.52"/>
    <n v="425.54"/>
    <n v="1600.0120806406142"/>
    <n v="74694.344416854612"/>
    <n v="1649.8504478565774"/>
  </r>
  <r>
    <x v="0"/>
    <x v="4"/>
    <x v="124"/>
    <n v="0.21299999999999999"/>
    <n v="0.14799999999999999"/>
    <n v="20.459677600264964"/>
    <n v="10760.786446586571"/>
    <n v="54802.070789599238"/>
    <n v="1600.062931524061"/>
    <n v="0"/>
    <n v="0"/>
    <n v="7385.598874072909"/>
    <n v="8359.1341807718163"/>
    <n v="70.959999999999994"/>
    <n v="70.959999999999994"/>
    <n v="2.0957445079252072E-2"/>
    <n v="100"/>
    <n v="435.24"/>
    <n v="425.31"/>
    <n v="435.24"/>
    <n v="425.31"/>
    <n v="1600.062931524061"/>
    <n v="74698.094172883415"/>
    <n v="1650.092615788054"/>
  </r>
  <r>
    <x v="0"/>
    <x v="4"/>
    <x v="125"/>
    <n v="0.21099999999999999"/>
    <n v="0.152"/>
    <n v="18.931347732490998"/>
    <n v="10499.763692205934"/>
    <n v="54800.290778430775"/>
    <n v="1600.0498395889356"/>
    <n v="0"/>
    <n v="0"/>
    <n v="5836.0830317446953"/>
    <n v="8214.9908815763793"/>
    <n v="70.97"/>
    <n v="70.97"/>
    <n v="2.0955311751725852E-2"/>
    <n v="100"/>
    <n v="436.52"/>
    <n v="424.02"/>
    <n v="436.52"/>
    <n v="424.02"/>
    <n v="1600.0498395889356"/>
    <n v="74705.31663124566"/>
    <n v="1650.0179276476297"/>
  </r>
  <r>
    <x v="0"/>
    <x v="4"/>
    <x v="126"/>
    <n v="0.21099999999999999"/>
    <n v="0.13800000000000001"/>
    <n v="20.073440403511423"/>
    <n v="10463.530606864808"/>
    <n v="54796.322424206279"/>
    <n v="1599.8186060569917"/>
    <n v="0"/>
    <n v="0"/>
    <n v="4.171058085624912"/>
    <n v="8180.7532871730782"/>
    <n v="70.97"/>
    <n v="70.97"/>
    <n v="2.0951165865598965E-2"/>
    <n v="100"/>
    <n v="369.93"/>
    <n v="423.13"/>
    <n v="470"/>
    <n v="423.13"/>
    <n v="1599.8186060569917"/>
    <n v="74709.26384672102"/>
    <n v="1650.1433728950708"/>
  </r>
  <r>
    <x v="0"/>
    <x v="4"/>
    <x v="127"/>
    <n v="0.21199999999999999"/>
    <n v="0.14199999999999999"/>
    <n v="19.541874575168205"/>
    <n v="10601.795207863464"/>
    <n v="54799.085143238211"/>
    <n v="1599.9191709858605"/>
    <n v="0"/>
    <n v="0.02"/>
    <n v="1419.4210666075587"/>
    <n v="8106.1968451135281"/>
    <n v="71.03"/>
    <n v="71.03"/>
    <n v="2.0951091518434162E-2"/>
    <n v="100"/>
    <n v="813.23"/>
    <n v="426.76"/>
    <n v="813.23"/>
    <n v="426.76"/>
    <n v="1599.9191709858605"/>
    <n v="74714.41140050313"/>
    <n v="1650.0667737316207"/>
  </r>
  <r>
    <x v="0"/>
    <x v="4"/>
    <x v="128"/>
    <n v="0.20899999999999999"/>
    <n v="0.14299999999999999"/>
    <n v="18.249146988952763"/>
    <n v="10770.841450330949"/>
    <n v="54807.581632763715"/>
    <n v="1600.1264312129977"/>
    <n v="0"/>
    <n v="0"/>
    <n v="7193.4028306758546"/>
    <n v="8108.2473085232696"/>
    <n v="71.03"/>
    <n v="71.03"/>
    <n v="2.0960920960289852E-2"/>
    <n v="100"/>
    <n v="436.82"/>
    <n v="422.39"/>
    <n v="436.82"/>
    <n v="422.39"/>
    <n v="1600.1264312129977"/>
    <n v="74688.368483258149"/>
    <n v="1650.1871672503903"/>
  </r>
  <r>
    <x v="0"/>
    <x v="4"/>
    <x v="129"/>
    <n v="0.20799999999999999"/>
    <n v="0.14399999999999999"/>
    <n v="15.349128768809711"/>
    <n v="11126.001997853053"/>
    <n v="54798.092353942571"/>
    <n v="1599.919553546257"/>
    <n v="0"/>
    <n v="0"/>
    <n v="6864.051118743494"/>
    <n v="8208.2435537387228"/>
    <n v="71.02"/>
    <n v="71.02"/>
    <n v="2.0956992202036024E-2"/>
    <n v="100"/>
    <n v="441.19"/>
    <n v="422.62"/>
    <n v="441.19"/>
    <n v="422.62"/>
    <n v="1599.919553546257"/>
    <n v="74693.17967665683"/>
    <n v="1649.8154498490087"/>
  </r>
  <r>
    <x v="0"/>
    <x v="4"/>
    <x v="130"/>
    <n v="0.21099999999999999"/>
    <n v="0.14299999999999999"/>
    <n v="15.878547747212926"/>
    <n v="11018.586975732998"/>
    <n v="54800.948603400415"/>
    <n v="1600.1152503856099"/>
    <n v="0"/>
    <n v="0"/>
    <n v="3838.4180099399946"/>
    <n v="8292.0998153951241"/>
    <n v="71.02"/>
    <n v="71.02"/>
    <n v="2.0964684004860033E-2"/>
    <n v="100"/>
    <n v="441.27"/>
    <n v="418.19"/>
    <n v="441.27"/>
    <n v="418.19"/>
    <n v="1600.1152503856099"/>
    <n v="74674.528663905279"/>
    <n v="1649.7913217749715"/>
  </r>
  <r>
    <x v="0"/>
    <x v="4"/>
    <x v="131"/>
    <n v="0.158"/>
    <n v="0.14099999999999999"/>
    <n v="14.775116458524854"/>
    <n v="10820.935696646207"/>
    <n v="54802.790615783313"/>
    <n v="1599.9893463367723"/>
    <n v="0"/>
    <n v="174.4"/>
    <n v="3.9966649971100954"/>
    <n v="8384.9539612790595"/>
    <n v="71.010000000000005"/>
    <n v="71.010000000000005"/>
    <n v="2.0955740915593837E-2"/>
    <n v="100"/>
    <n v="353.65"/>
    <n v="417.83"/>
    <n v="470"/>
    <n v="417.83"/>
    <n v="1599.9893463367723"/>
    <n v="74700.340800659265"/>
    <n v="1650.5433213222698"/>
  </r>
  <r>
    <x v="0"/>
    <x v="4"/>
    <x v="132"/>
    <n v="0.215"/>
    <n v="0.14199999999999999"/>
    <n v="16.07001890596791"/>
    <n v="10739.552992577854"/>
    <n v="54789.181660955939"/>
    <n v="1600.0082958679411"/>
    <n v="0"/>
    <n v="395.17"/>
    <n v="4.0786193439647773"/>
    <n v="8313.3552796723197"/>
    <n v="70.959999999999994"/>
    <n v="70.959999999999994"/>
    <n v="2.0956491460582202E-2"/>
    <n v="100"/>
    <n v="377.3"/>
    <n v="420.92"/>
    <n v="470"/>
    <n v="420.92"/>
    <n v="1600.0082958679411"/>
    <n v="74698.875417461837"/>
    <n v="1650.178472472594"/>
  </r>
  <r>
    <x v="0"/>
    <x v="4"/>
    <x v="133"/>
    <n v="0.22"/>
    <n v="0.14199999999999999"/>
    <n v="17.715869530301223"/>
    <n v="10626.125645845985"/>
    <n v="54805.588301309857"/>
    <n v="1600.0481361955674"/>
    <n v="0"/>
    <n v="392.84"/>
    <n v="4.3201329406973885"/>
    <n v="8449.8507621389235"/>
    <n v="70.989999999999995"/>
    <n v="70.989999999999995"/>
    <n v="2.0958187284470232E-2"/>
    <n v="100"/>
    <n v="397.88"/>
    <n v="421.16"/>
    <n v="470"/>
    <n v="421.16"/>
    <n v="1600.0481361955674"/>
    <n v="74694.932062153021"/>
    <n v="1649.8450160241639"/>
  </r>
  <r>
    <x v="0"/>
    <x v="4"/>
    <x v="134"/>
    <n v="0.21"/>
    <n v="0.14099999999999999"/>
    <n v="18.62613142835523"/>
    <n v="10647.187702631636"/>
    <n v="54800.649863376129"/>
    <n v="1600.0198621359409"/>
    <n v="0"/>
    <n v="391.42"/>
    <n v="4.3687770474213519"/>
    <n v="8258.7988335465816"/>
    <n v="70.98"/>
    <n v="70.98"/>
    <n v="2.0942084255725999E-2"/>
    <n v="100"/>
    <n v="402.08"/>
    <n v="428.4"/>
    <n v="470"/>
    <n v="428.4"/>
    <n v="1600.0198621359409"/>
    <n v="74751.676342383755"/>
    <n v="1650.4545342725321"/>
  </r>
  <r>
    <x v="0"/>
    <x v="4"/>
    <x v="135"/>
    <n v="0.217"/>
    <n v="0.14599999999999999"/>
    <n v="20.797007111358113"/>
    <n v="10445.950232585878"/>
    <n v="54800.661977901633"/>
    <n v="1600.1358854358682"/>
    <n v="0"/>
    <n v="393.14"/>
    <n v="855.6858889829939"/>
    <n v="6675.0253513185289"/>
    <n v="70.95"/>
    <n v="70.95"/>
    <n v="2.0959767506313974E-2"/>
    <n v="100"/>
    <n v="1388.9"/>
    <n v="478.74"/>
    <n v="1388.9"/>
    <n v="478.74"/>
    <n v="1600.1358854358682"/>
    <n v="74693.183086832054"/>
    <n v="1650.0246779410727"/>
  </r>
  <r>
    <x v="0"/>
    <x v="4"/>
    <x v="136"/>
    <n v="0.21299999999999999"/>
    <n v="0.14199999999999999"/>
    <n v="20.082643324926774"/>
    <n v="10619.34654211485"/>
    <n v="54800.751184615721"/>
    <n v="1600.1721258328903"/>
    <n v="0"/>
    <n v="398.39"/>
    <n v="7447.7455522694754"/>
    <n v="4953.9900512653949"/>
    <n v="70.989999999999995"/>
    <n v="70.989999999999995"/>
    <n v="2.0959732764013923E-2"/>
    <n v="100"/>
    <n v="438.81"/>
    <n v="524.83000000000004"/>
    <n v="438.81"/>
    <n v="524.83000000000004"/>
    <n v="1600.1721258328903"/>
    <n v="74694.784497527755"/>
    <n v="1650.2788603529179"/>
  </r>
  <r>
    <x v="0"/>
    <x v="4"/>
    <x v="137"/>
    <n v="0.216"/>
    <n v="0.14199999999999999"/>
    <n v="19.910346144359199"/>
    <n v="10595.641585975452"/>
    <n v="54796.100288428177"/>
    <n v="1600.0473068629101"/>
    <n v="0"/>
    <n v="398.24"/>
    <n v="4084.2355713955153"/>
    <n v="5.7177221647655694"/>
    <n v="70.989999999999995"/>
    <n v="70.989999999999995"/>
    <n v="2.0953561798203266E-2"/>
    <n v="100"/>
    <n v="438.33"/>
    <n v="55391.74"/>
    <n v="438.33"/>
    <n v="470"/>
    <n v="1600.0473068629101"/>
    <n v="74711.741883891402"/>
    <n v="1649.8486787265244"/>
  </r>
  <r>
    <x v="0"/>
    <x v="4"/>
    <x v="138"/>
    <n v="0.21099999999999999"/>
    <n v="0.14299999999999999"/>
    <n v="15.93778199309032"/>
    <n v="10601.468863853226"/>
    <n v="54803.991940818007"/>
    <n v="1600.1671987158982"/>
    <n v="0"/>
    <n v="411.41"/>
    <n v="3.2411874374066643"/>
    <n v="2.9514517729566765"/>
    <n v="71.48"/>
    <n v="71.48"/>
    <n v="2.0960075430218276E-2"/>
    <n v="100"/>
    <n v="280.54000000000002"/>
    <n v="9840.2900000000009"/>
    <n v="470"/>
    <n v="470"/>
    <n v="1600.1671987158982"/>
    <n v="74693.428147770639"/>
    <n v="1650.1520098144192"/>
  </r>
  <r>
    <x v="0"/>
    <x v="4"/>
    <x v="139"/>
    <n v="0.21199999999999999"/>
    <n v="0.14199999999999999"/>
    <n v="18.233904586410787"/>
    <n v="10696.696362931558"/>
    <n v="54794.151140158741"/>
    <n v="1599.9006410343295"/>
    <n v="0"/>
    <n v="407.1"/>
    <n v="3.39694246127599"/>
    <n v="2.4832052831574942"/>
    <n v="70.98"/>
    <n v="70.98"/>
    <n v="2.0956627051341378E-2"/>
    <n v="100"/>
    <n v="201.22"/>
    <n v="44661.94"/>
    <n v="470"/>
    <n v="470"/>
    <n v="1599.9006410343295"/>
    <n v="74693.139556948299"/>
    <n v="1650.2833190113204"/>
  </r>
  <r>
    <x v="0"/>
    <x v="4"/>
    <x v="140"/>
    <n v="0.21099999999999999"/>
    <n v="0.14299999999999999"/>
    <n v="20.084547938943157"/>
    <n v="10468.958874587959"/>
    <n v="54799.707844487333"/>
    <n v="1599.983116176375"/>
    <n v="0"/>
    <n v="399.38"/>
    <n v="2898.610681249399"/>
    <n v="1141.4144717442491"/>
    <n v="70.959999999999994"/>
    <n v="70.959999999999994"/>
    <n v="2.0955108282533615E-2"/>
    <n v="100"/>
    <n v="630.55999999999995"/>
    <n v="1255.53"/>
    <n v="630.55999999999995"/>
    <n v="1255.53"/>
    <n v="1599.983116176375"/>
    <n v="74702.867442314368"/>
    <n v="1650.0243969506312"/>
  </r>
  <r>
    <x v="0"/>
    <x v="4"/>
    <x v="141"/>
    <n v="0.215"/>
    <n v="0.14699999999999999"/>
    <n v="21.112501738718365"/>
    <n v="10541.991860171973"/>
    <n v="54803.413742626646"/>
    <n v="1600.1056058143761"/>
    <n v="0"/>
    <n v="394.04"/>
    <n v="5183.7622471127061"/>
    <n v="7648.0544869014575"/>
    <n v="70.98"/>
    <n v="70.98"/>
    <n v="2.0959694054055115E-2"/>
    <n v="100"/>
    <n v="440.89"/>
    <n v="422"/>
    <n v="440.89"/>
    <n v="422"/>
    <n v="1600.1056058143761"/>
    <n v="74691.932891655102"/>
    <n v="1650.0977547703146"/>
  </r>
  <r>
    <x v="0"/>
    <x v="4"/>
    <x v="142"/>
    <n v="0.21299999999999999"/>
    <n v="0.14599999999999999"/>
    <n v="21.472273868293417"/>
    <n v="10451.519788097459"/>
    <n v="54795.681343793374"/>
    <n v="1600.0771022693389"/>
    <n v="0"/>
    <n v="391.81"/>
    <n v="4.0535562336238034"/>
    <n v="7842.4199442390254"/>
    <n v="70.959999999999994"/>
    <n v="70.959999999999994"/>
    <n v="2.0954308185614653E-2"/>
    <n v="100"/>
    <n v="371.05"/>
    <n v="423.95"/>
    <n v="470"/>
    <n v="423.95"/>
    <n v="1600.0771022693389"/>
    <n v="74709.784795714775"/>
    <n v="1650.5077081345421"/>
  </r>
  <r>
    <x v="0"/>
    <x v="4"/>
    <x v="143"/>
    <n v="0.215"/>
    <n v="0.14299999999999999"/>
    <n v="20.867010728093504"/>
    <n v="10630.945177638139"/>
    <n v="54803.150381137231"/>
    <n v="1599.9763977347277"/>
    <n v="0"/>
    <n v="394.03"/>
    <n v="4.2407325667527545"/>
    <n v="7104.7825162489944"/>
    <n v="70.989999999999995"/>
    <n v="70.989999999999995"/>
    <n v="2.0953177165673333E-2"/>
    <n v="100"/>
    <n v="397.18"/>
    <n v="449.13"/>
    <n v="470"/>
    <n v="449.13"/>
    <n v="1599.9763977347277"/>
    <n v="74709.374474106517"/>
    <n v="1650.2336695166118"/>
  </r>
  <r>
    <x v="0"/>
    <x v="4"/>
    <x v="144"/>
    <n v="0.214"/>
    <n v="0.14299999999999999"/>
    <n v="19.116687557583138"/>
    <n v="10943.626579713524"/>
    <n v="54802.12296690666"/>
    <n v="1600.1374917490296"/>
    <n v="0"/>
    <n v="402.75"/>
    <n v="4.2024086047840319"/>
    <n v="7780.4222850071565"/>
    <n v="70.989999999999995"/>
    <n v="70.989999999999995"/>
    <n v="2.0963321239160372E-2"/>
    <n v="100"/>
    <n v="406.83"/>
    <n v="425.61"/>
    <n v="470"/>
    <n v="425.61"/>
    <n v="1600.1374917490296"/>
    <n v="74680.513196131156"/>
    <n v="1649.8293814516828"/>
  </r>
  <r>
    <x v="0"/>
    <x v="4"/>
    <x v="145"/>
    <n v="0.221"/>
    <n v="0.14799999999999999"/>
    <n v="18.720885871765432"/>
    <n v="10772.078819640225"/>
    <n v="54784.614894170714"/>
    <n v="1599.9775810797623"/>
    <n v="0"/>
    <n v="403.55"/>
    <n v="4.4257367085781798"/>
    <n v="7437.0155453705102"/>
    <n v="70.97"/>
    <n v="70.97"/>
    <n v="2.0956620845848078E-2"/>
    <n v="100"/>
    <n v="421.45"/>
    <n v="433.27"/>
    <n v="470"/>
    <n v="433.27"/>
    <n v="1599.9775810797623"/>
    <n v="74697.713800095415"/>
    <n v="1649.4030776119828"/>
  </r>
  <r>
    <x v="0"/>
    <x v="4"/>
    <x v="146"/>
    <n v="0.20200000000000001"/>
    <n v="0.14299999999999999"/>
    <n v="18.902716465247828"/>
    <n v="10851.65109881918"/>
    <n v="54801.370052806211"/>
    <n v="1599.968050700604"/>
    <n v="0"/>
    <n v="401.93"/>
    <n v="3.715608023008814"/>
    <n v="7708.1027305121215"/>
    <n v="70.989999999999995"/>
    <n v="70.989999999999995"/>
    <n v="2.0956431044145268E-2"/>
    <n v="100"/>
    <n v="367.33"/>
    <n v="432.64"/>
    <n v="470"/>
    <n v="432.64"/>
    <n v="1599.968050700604"/>
    <n v="74696.73213588653"/>
    <n v="1650.6214440350398"/>
  </r>
  <r>
    <x v="0"/>
    <x v="4"/>
    <x v="147"/>
    <n v="0.215"/>
    <n v="0.14699999999999999"/>
    <n v="18.547544812924492"/>
    <n v="10769.16141066859"/>
    <n v="54797.824053391741"/>
    <n v="1600.0869120294069"/>
    <n v="0"/>
    <n v="402.94"/>
    <n v="3.2475411675193091"/>
    <n v="7754.7487316886063"/>
    <n v="70.959999999999994"/>
    <n v="70.959999999999994"/>
    <n v="2.0954650325895784E-2"/>
    <n v="100"/>
    <n v="316.18"/>
    <n v="434.11"/>
    <n v="470"/>
    <n v="434.11"/>
    <n v="1600.0869120294069"/>
    <n v="74709.272862812286"/>
    <n v="1650.2409989875196"/>
  </r>
  <r>
    <x v="0"/>
    <x v="4"/>
    <x v="148"/>
    <n v="0.214"/>
    <n v="0.14499999999999999"/>
    <n v="18.798242469697591"/>
    <n v="10476.352540417896"/>
    <n v="54799.472680647123"/>
    <n v="1599.8857545554845"/>
    <n v="0"/>
    <n v="402.04"/>
    <n v="3.1734613571432178"/>
    <n v="7766.6753549780979"/>
    <n v="71.11"/>
    <n v="71.11"/>
    <n v="2.0955630611433407E-2"/>
    <n v="100"/>
    <n v="166466.42000000001"/>
    <n v="435.19"/>
    <n v="470"/>
    <n v="435.19"/>
    <n v="1599.8857545554845"/>
    <n v="74696.208497788"/>
    <n v="1650.1341258782963"/>
  </r>
  <r>
    <x v="0"/>
    <x v="4"/>
    <x v="149"/>
    <n v="0.21199999999999999"/>
    <n v="0.155"/>
    <n v="19.960092712656479"/>
    <n v="10628.145688757808"/>
    <n v="54797.586197735945"/>
    <n v="1600.0642654027151"/>
    <n v="0"/>
    <n v="384.37"/>
    <n v="2074.7366183750464"/>
    <n v="7850.6130881061326"/>
    <n v="70.97"/>
    <n v="70.97"/>
    <n v="2.0959347976803374E-2"/>
    <n v="100"/>
    <n v="454.81"/>
    <n v="430.21"/>
    <n v="454.81"/>
    <n v="430.21"/>
    <n v="1600.0642654027151"/>
    <n v="74691.174851448653"/>
    <n v="1650.1439325887245"/>
  </r>
  <r>
    <x v="0"/>
    <x v="4"/>
    <x v="150"/>
    <n v="0.214"/>
    <n v="0.15"/>
    <n v="20.300182265758849"/>
    <n v="10516.182340686806"/>
    <n v="54802.313023182687"/>
    <n v="1600.0270741957083"/>
    <n v="0"/>
    <n v="353.84"/>
    <n v="3.3993038850551618"/>
    <n v="7844.0499819054685"/>
    <n v="70.98"/>
    <n v="70.98"/>
    <n v="2.0956615049474686E-2"/>
    <n v="100"/>
    <n v="197961.03"/>
    <n v="429.39"/>
    <n v="470"/>
    <n v="429.39"/>
    <n v="1600.0270741957083"/>
    <n v="74699.558162734218"/>
    <n v="1649.9415259483703"/>
  </r>
  <r>
    <x v="0"/>
    <x v="4"/>
    <x v="151"/>
    <n v="0.21299999999999999"/>
    <n v="0.15"/>
    <n v="21.119701155186693"/>
    <n v="10509.316179898942"/>
    <n v="54800.308314538517"/>
    <n v="1599.8984998481958"/>
    <n v="0"/>
    <n v="386.13"/>
    <n v="4.006728529305982"/>
    <n v="7850.0815351752253"/>
    <n v="70.989999999999995"/>
    <n v="70.989999999999995"/>
    <n v="2.0952073880026421E-2"/>
    <n v="100"/>
    <n v="393.54"/>
    <n v="429.55"/>
    <n v="470"/>
    <n v="429.55"/>
    <n v="1599.8984998481958"/>
    <n v="74710.424748438585"/>
    <n v="1649.486399706828"/>
  </r>
  <r>
    <x v="0"/>
    <x v="5"/>
    <x v="152"/>
    <n v="0.21299999999999999"/>
    <n v="0.14899999999999999"/>
    <n v="20.947545425499751"/>
    <n v="10466.418586810374"/>
    <n v="54850.828889443095"/>
    <n v="1599.9504054835238"/>
    <n v="0"/>
    <n v="396.29"/>
    <n v="4.1516370406008525"/>
    <n v="7858.6890803912211"/>
    <n v="70.98"/>
    <n v="70.98"/>
    <n v="2.0956337363941428E-2"/>
    <n v="100"/>
    <n v="415.44"/>
    <n v="427.9"/>
    <n v="470"/>
    <n v="427.9"/>
    <n v="1599.9504054835238"/>
    <n v="74696.524185678354"/>
    <n v="1650.3286874044445"/>
  </r>
  <r>
    <x v="0"/>
    <x v="5"/>
    <x v="153"/>
    <n v="0.215"/>
    <n v="0.14799999999999999"/>
    <n v="20.083964198931152"/>
    <n v="10459.044374295194"/>
    <n v="54853.512396447783"/>
    <n v="1600.0060001667136"/>
    <n v="0"/>
    <n v="397.39"/>
    <n v="4.7797657394475364"/>
    <n v="7886.9910184713308"/>
    <n v="70.97"/>
    <n v="70.97"/>
    <n v="2.0952792276831118E-2"/>
    <n v="100"/>
    <n v="440.13"/>
    <n v="427.78"/>
    <n v="470"/>
    <n v="427.78"/>
    <n v="1600.0060001667136"/>
    <n v="74712.526083232122"/>
    <n v="1649.8975511560168"/>
  </r>
  <r>
    <x v="0"/>
    <x v="5"/>
    <x v="154"/>
    <n v="0.215"/>
    <n v="0.14799999999999999"/>
    <n v="18.869155931439689"/>
    <n v="10829.996626420454"/>
    <n v="54857.564283700558"/>
    <n v="1599.8854030844736"/>
    <n v="0"/>
    <n v="393.92"/>
    <n v="4.8244874298696629"/>
    <n v="7929.0137521821871"/>
    <n v="71.03"/>
    <n v="71.03"/>
    <n v="2.0953730122520248E-2"/>
    <n v="100"/>
    <n v="445.35"/>
    <n v="427.72"/>
    <n v="470"/>
    <n v="427.72"/>
    <n v="1599.8854030844736"/>
    <n v="74703.139269604435"/>
    <n v="1650.1111411651252"/>
  </r>
  <r>
    <x v="0"/>
    <x v="5"/>
    <x v="155"/>
    <n v="0.21199999999999999"/>
    <n v="0.14599999999999999"/>
    <n v="19.985517025324803"/>
    <n v="10467.41925366499"/>
    <n v="54843.149139594898"/>
    <n v="1599.9854242455867"/>
    <n v="0"/>
    <n v="390.61"/>
    <n v="4.1502655007457001"/>
    <n v="7927.7190905431344"/>
    <n v="70.989999999999995"/>
    <n v="70.989999999999995"/>
    <n v="2.0957224228414981E-2"/>
    <n v="100"/>
    <n v="413.23"/>
    <n v="426.41"/>
    <n v="470"/>
    <n v="426.41"/>
    <n v="1599.9854242455867"/>
    <n v="74695.271442357742"/>
    <n v="1650.0215605312881"/>
  </r>
  <r>
    <x v="0"/>
    <x v="5"/>
    <x v="156"/>
    <n v="0.217"/>
    <n v="0.15"/>
    <n v="21.296147725716139"/>
    <n v="10499.958719395168"/>
    <n v="54854.620950078061"/>
    <n v="1599.998593777108"/>
    <n v="0"/>
    <n v="384.08"/>
    <n v="3.6692715180904649"/>
    <n v="7924.5600863793588"/>
    <n v="71"/>
    <n v="71"/>
    <n v="2.095950872401324E-2"/>
    <n v="100"/>
    <n v="372.29"/>
    <n v="427.83"/>
    <n v="470"/>
    <n v="427.83"/>
    <n v="1599.998593777108"/>
    <n v="74687.919559984381"/>
    <n v="1649.6804689702517"/>
  </r>
  <r>
    <x v="0"/>
    <x v="5"/>
    <x v="157"/>
    <n v="0.20300000000000001"/>
    <n v="0.161"/>
    <n v="22.642872718371592"/>
    <n v="10562.275314722849"/>
    <n v="54851.934458492367"/>
    <n v="1599.8980454518346"/>
    <n v="0"/>
    <n v="377.15"/>
    <n v="3.6372685382798018"/>
    <n v="7944.1833901018172"/>
    <n v="70.95"/>
    <n v="70.95"/>
    <n v="2.0952590490252217E-2"/>
    <n v="100"/>
    <n v="395.34"/>
    <n v="427.42"/>
    <n v="470"/>
    <n v="427.42"/>
    <n v="1599.8980454518346"/>
    <n v="74708.08433271166"/>
    <n v="1649.9223870853846"/>
  </r>
  <r>
    <x v="0"/>
    <x v="5"/>
    <x v="158"/>
    <n v="0.21099999999999999"/>
    <n v="0.157"/>
    <n v="21.868832418109541"/>
    <n v="10525.574714824774"/>
    <n v="54851.333194179395"/>
    <n v="1600.0637669559983"/>
    <n v="0"/>
    <n v="380.97"/>
    <n v="3.6882919731303159"/>
    <n v="7967.5438768650238"/>
    <n v="71.02"/>
    <n v="71.02"/>
    <n v="2.0958854180940008E-2"/>
    <n v="100"/>
    <n v="401.17"/>
    <n v="426.59"/>
    <n v="470"/>
    <n v="426.59"/>
    <n v="1600.0637669559983"/>
    <n v="74692.657507807075"/>
    <n v="1650.4361147010268"/>
  </r>
  <r>
    <x v="0"/>
    <x v="5"/>
    <x v="159"/>
    <n v="0.21299999999999999"/>
    <n v="0.158"/>
    <n v="20.926733467001455"/>
    <n v="10648.41748961767"/>
    <n v="54847.894273724851"/>
    <n v="1599.9820851439158"/>
    <n v="0"/>
    <n v="379.39"/>
    <n v="7486.0953533466045"/>
    <n v="7880.9610943870348"/>
    <n v="70.92"/>
    <n v="70.92"/>
    <n v="2.0955203169223686E-2"/>
    <n v="100"/>
    <n v="428.88"/>
    <n v="428.41"/>
    <n v="428.88"/>
    <n v="428.41"/>
    <n v="1599.9820851439158"/>
    <n v="74702.560222935455"/>
    <n v="1649.9366831200391"/>
  </r>
  <r>
    <x v="0"/>
    <x v="5"/>
    <x v="160"/>
    <n v="0.218"/>
    <n v="0.157"/>
    <n v="20.791610623795815"/>
    <n v="10463.127285874609"/>
    <n v="54843.434504575816"/>
    <n v="1600.0798511809562"/>
    <n v="0"/>
    <n v="383.43"/>
    <n v="7438.5721599041453"/>
    <n v="7904.4833865777891"/>
    <n v="70.94"/>
    <n v="70.94"/>
    <n v="2.0960284097692839E-2"/>
    <n v="100"/>
    <n v="428.27"/>
    <n v="430.48"/>
    <n v="428.27"/>
    <n v="430.48"/>
    <n v="1600.0798511809562"/>
    <n v="74688.671734038857"/>
    <n v="1649.9811068871716"/>
  </r>
  <r>
    <x v="0"/>
    <x v="5"/>
    <x v="161"/>
    <n v="0.214"/>
    <n v="0.155"/>
    <n v="22.6886915952112"/>
    <n v="10427.705512529275"/>
    <n v="54853.269975819741"/>
    <n v="1599.9474378449479"/>
    <n v="0"/>
    <n v="357.62"/>
    <n v="7588.1380670297331"/>
    <n v="7974.3061418394354"/>
    <n v="71"/>
    <n v="71"/>
    <n v="2.0955516031479802E-2"/>
    <n v="100"/>
    <n v="428.19"/>
    <n v="428.95"/>
    <n v="428.19"/>
    <n v="428.95"/>
    <n v="1599.9474378449479"/>
    <n v="74699.799520732122"/>
    <n v="1649.9040819600918"/>
  </r>
  <r>
    <x v="0"/>
    <x v="5"/>
    <x v="162"/>
    <n v="0.216"/>
    <n v="0.159"/>
    <n v="23.951739469391864"/>
    <n v="10448.20764456649"/>
    <n v="54855.611925854442"/>
    <n v="1600.0137045739179"/>
    <n v="0"/>
    <n v="251.13"/>
    <n v="4559.8189038527171"/>
    <n v="8002.2450351860689"/>
    <n v="71.06"/>
    <n v="71.06"/>
    <n v="2.0955691253304851E-2"/>
    <n v="100"/>
    <n v="426.75"/>
    <n v="427.99"/>
    <n v="426.75"/>
    <n v="427.99"/>
    <n v="1600.0137045739179"/>
    <n v="74701.98890202117"/>
    <n v="1650.2385303039341"/>
  </r>
  <r>
    <x v="0"/>
    <x v="5"/>
    <x v="163"/>
    <n v="0.215"/>
    <n v="0.157"/>
    <n v="23.565423602779894"/>
    <n v="10881.248179026066"/>
    <n v="54813.92225993234"/>
    <n v="1599.9071764128644"/>
    <n v="0"/>
    <n v="0"/>
    <n v="4.7803581019063364"/>
    <n v="8051.317764695199"/>
    <n v="71.03"/>
    <n v="71.03"/>
    <n v="2.0955816866056839E-2"/>
    <n v="100"/>
    <n v="416.23"/>
    <n v="426.55"/>
    <n v="470"/>
    <n v="426.55"/>
    <n v="1599.9071764128644"/>
    <n v="74697.044278062109"/>
    <n v="1649.6420209727132"/>
  </r>
  <r>
    <x v="0"/>
    <x v="5"/>
    <x v="164"/>
    <n v="0.217"/>
    <n v="0.17"/>
    <n v="23.169228222203039"/>
    <n v="10931.828008435979"/>
    <n v="54852.043947345592"/>
    <n v="1600.0241882197151"/>
    <n v="0"/>
    <n v="0"/>
    <n v="4.6532467394384716"/>
    <n v="8056.0148276885629"/>
    <n v="71.02"/>
    <n v="71.02"/>
    <n v="2.0955112039707721E-2"/>
    <n v="100"/>
    <n v="433.59"/>
    <n v="426.08"/>
    <n v="470"/>
    <n v="426.08"/>
    <n v="1600.0241882197151"/>
    <n v="74705.225109515959"/>
    <n v="1649.6130410908495"/>
  </r>
  <r>
    <x v="0"/>
    <x v="5"/>
    <x v="165"/>
    <n v="0.217"/>
    <n v="0.155"/>
    <n v="21.816326234011417"/>
    <n v="11078.441535690275"/>
    <n v="54850.122183488027"/>
    <n v="1600.0491330042885"/>
    <n v="0"/>
    <n v="0"/>
    <n v="3011.0681735625458"/>
    <n v="8056.2430481761794"/>
    <n v="71.180000000000007"/>
    <n v="71.180000000000007"/>
    <n v="2.0954914455960566E-2"/>
    <n v="100"/>
    <n v="612.42999999999995"/>
    <n v="426.31"/>
    <n v="612.42999999999995"/>
    <n v="426.31"/>
    <n v="1600.0491330042885"/>
    <n v="74706.541767869538"/>
    <n v="1650.2067345877972"/>
  </r>
  <r>
    <x v="0"/>
    <x v="5"/>
    <x v="166"/>
    <n v="0.214"/>
    <n v="0.153"/>
    <n v="22.006266821970861"/>
    <n v="10802.646075045541"/>
    <n v="54855.983989128486"/>
    <n v="1599.8575345082377"/>
    <n v="0"/>
    <n v="0"/>
    <n v="7137.4380641834014"/>
    <n v="8000.619110467449"/>
    <n v="71.02"/>
    <n v="71.02"/>
    <n v="2.0954213703494189E-2"/>
    <n v="100"/>
    <n v="429.36"/>
    <n v="427.89"/>
    <n v="429.36"/>
    <n v="427.89"/>
    <n v="1599.8575345082377"/>
    <n v="74700.407838224768"/>
    <n v="1649.750518776983"/>
  </r>
  <r>
    <x v="0"/>
    <x v="5"/>
    <x v="167"/>
    <n v="0.21199999999999999"/>
    <n v="0.156"/>
    <n v="21.3781404343022"/>
    <n v="10675.327691951121"/>
    <n v="54850.409586983864"/>
    <n v="1600.1827192657281"/>
    <n v="0"/>
    <n v="0"/>
    <n v="118.68700204616948"/>
    <n v="7941.5382780648206"/>
    <n v="70.959999999999994"/>
    <n v="70.959999999999994"/>
    <n v="2.0961361527921919E-2"/>
    <n v="100"/>
    <n v="429.91"/>
    <n v="432.09"/>
    <n v="429.91"/>
    <n v="432.09"/>
    <n v="1600.1827192657281"/>
    <n v="74690.313362031578"/>
    <n v="1649.3231226585542"/>
  </r>
  <r>
    <x v="0"/>
    <x v="5"/>
    <x v="168"/>
    <n v="0.21299999999999999"/>
    <n v="0.158"/>
    <n v="21.613817818540404"/>
    <n v="10440.100798056905"/>
    <n v="54853.467912365544"/>
    <n v="1599.9131385437902"/>
    <n v="0"/>
    <n v="0"/>
    <n v="5.0962193313363029"/>
    <n v="7946.9191143980961"/>
    <n v="71.03"/>
    <n v="71.03"/>
    <n v="2.0957113466092827E-2"/>
    <n v="100"/>
    <n v="419.39"/>
    <n v="433.48"/>
    <n v="470"/>
    <n v="433.48"/>
    <n v="1599.9131385437902"/>
    <n v="74692.286655317483"/>
    <n v="1649.9606266061437"/>
  </r>
  <r>
    <x v="0"/>
    <x v="5"/>
    <x v="169"/>
    <n v="0.214"/>
    <n v="0.159"/>
    <n v="21.554251079837289"/>
    <n v="10727.76392262318"/>
    <n v="54838.066164989592"/>
    <n v="1600.3225522064483"/>
    <n v="0"/>
    <n v="0"/>
    <n v="4.2937384834726346"/>
    <n v="7984.4959599046879"/>
    <n v="70.97"/>
    <n v="70.97"/>
    <n v="2.0956077125681784E-2"/>
    <n v="100"/>
    <n v="404.24"/>
    <n v="434.43"/>
    <n v="470"/>
    <n v="434.43"/>
    <n v="1600.3225522064483"/>
    <n v="74716.100911910151"/>
    <n v="1649.4584725437519"/>
  </r>
  <r>
    <x v="0"/>
    <x v="5"/>
    <x v="170"/>
    <n v="0.215"/>
    <n v="0.154"/>
    <n v="22.581414732668136"/>
    <n v="10841.359491564021"/>
    <n v="54787.077574709401"/>
    <n v="1600.1509993670302"/>
    <n v="0"/>
    <n v="0"/>
    <n v="3266.1481731091831"/>
    <n v="8026.2781715578367"/>
    <n v="70.92"/>
    <n v="70.92"/>
    <n v="2.0958840635484317E-2"/>
    <n v="100"/>
    <n v="595.65"/>
    <n v="432.15"/>
    <n v="595.65"/>
    <n v="432.15"/>
    <n v="1600.1509993670302"/>
    <n v="74697.448343164462"/>
    <n v="1649.8567008892751"/>
  </r>
  <r>
    <x v="0"/>
    <x v="5"/>
    <x v="171"/>
    <n v="0.219"/>
    <n v="0.16"/>
    <n v="22.644202771739444"/>
    <n v="10894.569594818053"/>
    <n v="54802.344655404231"/>
    <n v="1600.4739222741639"/>
    <n v="0"/>
    <n v="0"/>
    <n v="6883.3407932045884"/>
    <n v="8028.9696533711394"/>
    <n v="70.97"/>
    <n v="70.97"/>
    <n v="2.0960808667061352E-2"/>
    <n v="100"/>
    <n v="431.63"/>
    <n v="433.87"/>
    <n v="431.63"/>
    <n v="433.87"/>
    <n v="1600.4739222741639"/>
    <n v="74705.164875737333"/>
    <n v="1650.3778753022532"/>
  </r>
  <r>
    <x v="0"/>
    <x v="5"/>
    <x v="172"/>
    <n v="0.215"/>
    <n v="0.158"/>
    <n v="22.171510530957573"/>
    <n v="10824.891739812849"/>
    <n v="54803.823871768735"/>
    <n v="1599.9132793355038"/>
    <n v="0"/>
    <n v="0"/>
    <n v="1720.4081727402811"/>
    <n v="8027.2186666431726"/>
    <n v="70.94"/>
    <n v="70.94"/>
    <n v="2.0954021653895934E-2"/>
    <n v="100"/>
    <n v="434.28"/>
    <n v="433.45"/>
    <n v="434.28"/>
    <n v="433.45"/>
    <n v="1599.9132793355038"/>
    <n v="74703.589179606177"/>
    <n v="1649.9292886748567"/>
  </r>
  <r>
    <x v="0"/>
    <x v="5"/>
    <x v="173"/>
    <n v="0.21099999999999999"/>
    <n v="0.156"/>
    <n v="22.958666645926289"/>
    <n v="10477.752413281793"/>
    <n v="54795.433835010408"/>
    <n v="1599.9629615291301"/>
    <n v="0"/>
    <n v="0"/>
    <n v="3.8317573515596202"/>
    <n v="8008.9121530865068"/>
    <n v="70.989999999999995"/>
    <n v="70.989999999999995"/>
    <n v="2.0958411154968239E-2"/>
    <n v="100"/>
    <n v="376.94"/>
    <n v="434.52"/>
    <n v="470"/>
    <n v="434.52"/>
    <n v="1599.9629615291301"/>
    <n v="74690.047140657523"/>
    <n v="1649.8504641213242"/>
  </r>
  <r>
    <x v="0"/>
    <x v="5"/>
    <x v="174"/>
    <n v="0.216"/>
    <n v="0.16200000000000001"/>
    <n v="23.205957259178824"/>
    <n v="10633.68114319483"/>
    <n v="54796.700427762837"/>
    <n v="1599.8706623953635"/>
    <n v="0"/>
    <n v="0"/>
    <n v="3.8884968325795599"/>
    <n v="8021.5493967134371"/>
    <n v="70.959999999999994"/>
    <n v="70.959999999999994"/>
    <n v="2.0957143390420631E-2"/>
    <n v="100"/>
    <n v="392.1"/>
    <n v="434.77"/>
    <n v="470"/>
    <n v="434.77"/>
    <n v="1599.8706623953635"/>
    <n v="74689.809556080843"/>
    <n v="1650.3019080919826"/>
  </r>
  <r>
    <x v="0"/>
    <x v="5"/>
    <x v="175"/>
    <n v="0.217"/>
    <n v="0.16200000000000001"/>
    <n v="23.788122077851888"/>
    <n v="10481.362174569527"/>
    <n v="54810.384785955939"/>
    <n v="1600.3023429198201"/>
    <n v="0"/>
    <n v="0.78"/>
    <n v="3.9001389605398402"/>
    <n v="8083.5352992442322"/>
    <n v="70.98"/>
    <n v="70.98"/>
    <n v="2.0962026107948811E-2"/>
    <n v="100"/>
    <n v="392.62"/>
    <n v="431.84"/>
    <n v="470"/>
    <n v="431.84"/>
    <n v="1600.3023429198201"/>
    <n v="74693.225375173497"/>
    <n v="1649.6975216253361"/>
  </r>
  <r>
    <x v="0"/>
    <x v="5"/>
    <x v="176"/>
    <n v="0.216"/>
    <n v="0.16400000000000001"/>
    <n v="23.771003958750399"/>
    <n v="10681.782503063194"/>
    <n v="54796.218454523769"/>
    <n v="1600.0170127556275"/>
    <n v="0"/>
    <n v="0"/>
    <n v="3341.9775711346797"/>
    <n v="8375.7420499273503"/>
    <n v="70.98"/>
    <n v="70.98"/>
    <n v="2.0960609963801811E-2"/>
    <n v="100"/>
    <n v="597.25"/>
    <n v="418.34"/>
    <n v="597.25"/>
    <n v="418.34"/>
    <n v="1600.0170127556275"/>
    <n v="74684.270840562109"/>
    <n v="1650.1972650320145"/>
  </r>
  <r>
    <x v="0"/>
    <x v="5"/>
    <x v="177"/>
    <n v="0.217"/>
    <n v="0.16600000000000001"/>
    <n v="23.530844201982063"/>
    <n v="10935.279752287908"/>
    <n v="54798.409624934939"/>
    <n v="1599.8245298132806"/>
    <n v="0"/>
    <n v="0"/>
    <n v="6990.6642688589736"/>
    <n v="8370.0871417689541"/>
    <n v="70.930000000000007"/>
    <n v="70.930000000000007"/>
    <n v="2.0954979079389206E-2"/>
    <n v="100"/>
    <n v="428.37"/>
    <n v="415.62"/>
    <n v="428.37"/>
    <n v="415.62"/>
    <n v="1599.8245298132806"/>
    <n v="74696.000916247402"/>
    <n v="1649.7937396312241"/>
  </r>
  <r>
    <x v="0"/>
    <x v="5"/>
    <x v="178"/>
    <n v="0.21199999999999999"/>
    <n v="0.16200000000000001"/>
    <n v="22.789392908110873"/>
    <n v="10947.364897559204"/>
    <n v="54793.737042418463"/>
    <n v="1600.0957019390289"/>
    <n v="0"/>
    <n v="0"/>
    <n v="4938.461667055888"/>
    <n v="8336.296732683466"/>
    <n v="70.91"/>
    <n v="70.91"/>
    <n v="2.095334224424893E-2"/>
    <n v="100"/>
    <n v="429.67"/>
    <n v="416.43"/>
    <n v="429.67"/>
    <n v="416.43"/>
    <n v="1600.0957019390289"/>
    <n v="74714.471683075986"/>
    <n v="1650.2286729355967"/>
  </r>
  <r>
    <x v="0"/>
    <x v="5"/>
    <x v="179"/>
    <n v="0.21299999999999999"/>
    <n v="0.16300000000000001"/>
    <n v="23.56541865373303"/>
    <n v="11084.166532708408"/>
    <n v="54800.690866802557"/>
    <n v="1600.3507549383835"/>
    <n v="0"/>
    <n v="0"/>
    <n v="4.4806814137471376"/>
    <n v="8447.6746217091004"/>
    <n v="70.900000000000006"/>
    <n v="70.900000000000006"/>
    <n v="2.0959607874724864E-2"/>
    <n v="100"/>
    <n v="413.32"/>
    <n v="416.92"/>
    <n v="470"/>
    <n v="416.92"/>
    <n v="1600.3507549383835"/>
    <n v="74703.720219248789"/>
    <n v="1650.3205864593274"/>
  </r>
  <r>
    <x v="0"/>
    <x v="5"/>
    <x v="180"/>
    <n v="0.216"/>
    <n v="0.16300000000000001"/>
    <n v="24.477171730449182"/>
    <n v="10824.154540846201"/>
    <n v="54810.025741672449"/>
    <n v="1603.0336996233357"/>
    <n v="0"/>
    <n v="0"/>
    <n v="4.0902624987893637"/>
    <n v="8336.0750643834126"/>
    <n v="70.98"/>
    <n v="70.98"/>
    <n v="2.0993876773914965E-2"/>
    <n v="100"/>
    <n v="409.12"/>
    <n v="416.23"/>
    <n v="470"/>
    <n v="416.23"/>
    <n v="1603.0336996233357"/>
    <n v="74707.076850928177"/>
    <n v="1650.1256270398703"/>
  </r>
  <r>
    <x v="0"/>
    <x v="5"/>
    <x v="181"/>
    <n v="0.219"/>
    <n v="0.252"/>
    <n v="23.731407472609149"/>
    <n v="10950.270793800964"/>
    <n v="54795.338564256592"/>
    <n v="1610.0805049051764"/>
    <n v="0"/>
    <n v="0"/>
    <n v="3.8399015430937538"/>
    <n v="1.8402509729429315"/>
    <n v="70.959999999999994"/>
    <n v="70.959999999999994"/>
    <n v="2.1089780879722585E-2"/>
    <n v="100"/>
    <n v="395.06"/>
    <n v="516526.9"/>
    <n v="470"/>
    <n v="470"/>
    <n v="1610.0805049051764"/>
    <n v="74693.528181384449"/>
    <n v="1650.5796160198267"/>
  </r>
  <r>
    <x v="0"/>
    <x v="6"/>
    <x v="182"/>
    <n v="0.222"/>
    <n v="0.16600000000000001"/>
    <n v="23.400388291442997"/>
    <n v="10995.283782556602"/>
    <n v="54803.098052025503"/>
    <n v="1600.0532633181167"/>
    <n v="0"/>
    <n v="0"/>
    <n v="2813.2130979704079"/>
    <n v="376.22782968559488"/>
    <n v="70.97"/>
    <n v="70.97"/>
    <n v="2.0958204950470079E-2"/>
    <n v="100"/>
    <n v="628.47"/>
    <n v="2326.19"/>
    <n v="628.47"/>
    <n v="2326.19"/>
    <n v="1600.0532633181167"/>
    <n v="74694.866732087088"/>
    <n v="1650.0906294558629"/>
  </r>
  <r>
    <x v="0"/>
    <x v="6"/>
    <x v="183"/>
    <n v="0.216"/>
    <n v="0.16600000000000001"/>
    <n v="22.502531939790448"/>
    <n v="10637.051201422622"/>
    <n v="54755.648955261102"/>
    <n v="1600.1903864842666"/>
    <n v="0"/>
    <n v="0"/>
    <n v="6370.7284026271682"/>
    <n v="8379.3221864288571"/>
    <n v="70.97"/>
    <n v="70.97"/>
    <n v="2.0960492887239821E-2"/>
    <n v="100"/>
    <n v="432.36"/>
    <n v="377.06"/>
    <n v="432.36"/>
    <n v="377.06"/>
    <n v="1600.1903864842666"/>
    <n v="74692.957646599578"/>
    <n v="1650.2082843131941"/>
  </r>
  <r>
    <x v="0"/>
    <x v="6"/>
    <x v="184"/>
    <n v="0.219"/>
    <n v="0.17"/>
    <n v="24.222126962739836"/>
    <n v="10641.878269214089"/>
    <n v="54800.131261927483"/>
    <n v="1600.1941754925508"/>
    <n v="0"/>
    <n v="208.89"/>
    <n v="3.5475395602703426"/>
    <n v="8357.6332448711837"/>
    <n v="70.959999999999994"/>
    <n v="70.959999999999994"/>
    <n v="2.0961668924557357E-2"/>
    <n v="100"/>
    <n v="346.15"/>
    <n v="381.74"/>
    <n v="470"/>
    <n v="381.74"/>
    <n v="1600.1941754925508"/>
    <n v="74689.266102099238"/>
    <n v="1649.7974167346624"/>
  </r>
  <r>
    <x v="0"/>
    <x v="6"/>
    <x v="185"/>
    <n v="0.221"/>
    <n v="0.17"/>
    <n v="25.360456134444057"/>
    <n v="10663.731537479398"/>
    <n v="54797.710200164816"/>
    <n v="1599.7035475445657"/>
    <n v="0"/>
    <n v="327.78"/>
    <n v="4.3609269189801507"/>
    <n v="8454.6751326932244"/>
    <n v="70.97"/>
    <n v="70.97"/>
    <n v="2.0953246523338815E-2"/>
    <n v="100"/>
    <n v="430.74"/>
    <n v="381.75"/>
    <n v="470"/>
    <n v="381.75"/>
    <n v="1599.7035475445657"/>
    <n v="74695.964770558639"/>
    <n v="1650.3687564550714"/>
  </r>
  <r>
    <x v="0"/>
    <x v="6"/>
    <x v="186"/>
    <n v="0.222"/>
    <n v="0.153"/>
    <n v="25.062970639929681"/>
    <n v="10566.777301055041"/>
    <n v="54798.546159351143"/>
    <n v="1599.7148438347122"/>
    <n v="0"/>
    <n v="322.89"/>
    <n v="4.606384325490736"/>
    <n v="8508.1163579979184"/>
    <n v="70.959999999999994"/>
    <n v="70.959999999999994"/>
    <n v="2.0952775787931376E-2"/>
    <n v="100"/>
    <n v="454.24"/>
    <n v="377.88"/>
    <n v="470"/>
    <n v="377.88"/>
    <n v="1599.7148438347122"/>
    <n v="74698.866482694313"/>
    <n v="1649.7214097096471"/>
  </r>
  <r>
    <x v="0"/>
    <x v="6"/>
    <x v="187"/>
    <n v="0.217"/>
    <n v="0.158"/>
    <n v="23.374041718132872"/>
    <n v="10538.423748156662"/>
    <n v="54799.033451162381"/>
    <n v="1600.1098584526533"/>
    <n v="0"/>
    <n v="323.11"/>
    <n v="4.3332975610604638"/>
    <n v="8322.9635385040765"/>
    <n v="70.98"/>
    <n v="70.98"/>
    <n v="2.0955001446886324E-2"/>
    <n v="100"/>
    <n v="449.73"/>
    <n v="377.44"/>
    <n v="470"/>
    <n v="377.44"/>
    <n v="1600.1098584526533"/>
    <n v="74709.138917201606"/>
    <n v="1650.1905015234647"/>
  </r>
  <r>
    <x v="0"/>
    <x v="6"/>
    <x v="188"/>
    <n v="0.22"/>
    <n v="0.158"/>
    <n v="24.12778477797816"/>
    <n v="10549.328255795672"/>
    <n v="54796.567959533313"/>
    <n v="1601.6954263532268"/>
    <n v="0"/>
    <n v="302.25"/>
    <n v="4.5998185840768171"/>
    <n v="8171.6120295422015"/>
    <n v="70.98"/>
    <n v="70.98"/>
    <n v="2.0975768740008144E-2"/>
    <n v="100"/>
    <n v="465.5"/>
    <n v="377.61"/>
    <n v="470"/>
    <n v="377.61"/>
    <n v="1601.6954263532268"/>
    <n v="74709.593847588476"/>
    <n v="1649.7256227026046"/>
  </r>
  <r>
    <x v="0"/>
    <x v="6"/>
    <x v="189"/>
    <n v="0.219"/>
    <n v="0.156"/>
    <n v="24.470632558395099"/>
    <n v="10643.983222913776"/>
    <n v="54766.628534871619"/>
    <n v="1608.1204909378253"/>
    <n v="0"/>
    <n v="291.66000000000003"/>
    <n v="4.6260673922023203"/>
    <n v="8163.175855796756"/>
    <n v="70.97"/>
    <n v="70.97"/>
    <n v="2.1064678293274141E-2"/>
    <n v="100"/>
    <n v="467.86"/>
    <n v="380.81"/>
    <n v="470"/>
    <n v="380.81"/>
    <n v="1608.1204909378253"/>
    <n v="74691.838843468082"/>
    <n v="1650.2001161912842"/>
  </r>
  <r>
    <x v="0"/>
    <x v="6"/>
    <x v="190"/>
    <n v="0.221"/>
    <n v="0.156"/>
    <n v="24.438464432768654"/>
    <n v="10463.692494632634"/>
    <n v="54800.098317683034"/>
    <n v="1602.0532623862823"/>
    <n v="0"/>
    <n v="143.32"/>
    <n v="4.7500404671279197"/>
    <n v="8112.0847376360816"/>
    <n v="71.05"/>
    <n v="71.05"/>
    <n v="2.09842213558015E-2"/>
    <n v="100"/>
    <n v="476.3"/>
    <n v="387.56"/>
    <n v="470"/>
    <n v="387.56"/>
    <n v="1602.0532623862823"/>
    <n v="74695.403761493755"/>
    <n v="1650.2101749205738"/>
  </r>
  <r>
    <x v="0"/>
    <x v="6"/>
    <x v="191"/>
    <n v="0.215"/>
    <n v="0.155"/>
    <n v="24.447792926817449"/>
    <n v="10758.272660858343"/>
    <n v="54797.586319721544"/>
    <n v="1605.3220226703461"/>
    <n v="0"/>
    <n v="0"/>
    <n v="4.5366148683943734"/>
    <n v="8073.3331203103317"/>
    <n v="70.98"/>
    <n v="70.98"/>
    <n v="2.1022411043633969E-2"/>
    <n v="100"/>
    <n v="466.61"/>
    <n v="391.19"/>
    <n v="470"/>
    <n v="391.19"/>
    <n v="1605.3220226703461"/>
    <n v="74712.755074600966"/>
    <n v="1649.6573688790336"/>
  </r>
  <r>
    <x v="0"/>
    <x v="6"/>
    <x v="192"/>
    <n v="0.217"/>
    <n v="0.153"/>
    <n v="22.560750026822006"/>
    <n v="11083.625813237337"/>
    <n v="54802.569363723109"/>
    <n v="1600.1643760199352"/>
    <n v="0"/>
    <n v="0"/>
    <n v="4.6290337986453052"/>
    <n v="8140.7157532204201"/>
    <n v="70.89"/>
    <n v="70.89"/>
    <n v="2.0957897052386425E-2"/>
    <n v="100"/>
    <n v="475.17"/>
    <n v="390.15"/>
    <n v="470"/>
    <n v="390.15"/>
    <n v="1600.1643760199352"/>
    <n v="74701.489042982299"/>
    <n v="1649.8916332448712"/>
  </r>
  <r>
    <x v="0"/>
    <x v="6"/>
    <x v="193"/>
    <n v="0.216"/>
    <n v="0.151"/>
    <n v="22.227620297550409"/>
    <n v="10983.116983512968"/>
    <n v="54798.656480417245"/>
    <n v="1600.1040917528246"/>
    <n v="0"/>
    <n v="0"/>
    <n v="4.8562318191687153"/>
    <n v="8175.5263953119565"/>
    <n v="70.849999999999994"/>
    <n v="70.849999999999994"/>
    <n v="2.0963170974367583E-2"/>
    <n v="100"/>
    <n v="483.41"/>
    <n v="389.78"/>
    <n v="470"/>
    <n v="389.78"/>
    <n v="1600.1040917528246"/>
    <n v="74679.493228443782"/>
    <n v="1649.803217658229"/>
  </r>
  <r>
    <x v="0"/>
    <x v="6"/>
    <x v="194"/>
    <n v="0.26200000000000001"/>
    <n v="0.152"/>
    <n v="23.12450622304457"/>
    <n v="4079.5312574546751"/>
    <n v="56709.173371356694"/>
    <n v="1637.0595603164577"/>
    <n v="0"/>
    <n v="0"/>
    <n v="4.5626262195568623"/>
    <n v="8104.8094242686284"/>
    <n v="70.98"/>
    <n v="70.98"/>
    <n v="2.0731147533506914E-2"/>
    <n v="100"/>
    <n v="479.22"/>
    <n v="388.36"/>
    <n v="470"/>
    <n v="388.36"/>
    <n v="1637.0595603164577"/>
    <n v="77316.17111597849"/>
    <n v="1650.0104555213393"/>
  </r>
  <r>
    <x v="0"/>
    <x v="6"/>
    <x v="195"/>
    <n v="0.28599999999999998"/>
    <n v="0.152"/>
    <n v="23.481947677156978"/>
    <n v="31.761933964539971"/>
    <n v="57424.436692184245"/>
    <n v="1650.0570751987009"/>
    <n v="0"/>
    <n v="0"/>
    <n v="4.8985058660725596"/>
    <n v="8069.130752976449"/>
    <n v="48.04"/>
    <n v="48.04"/>
    <n v="2.0670844047779278E-2"/>
    <n v="100"/>
    <n v="489.11"/>
    <n v="394.79"/>
    <n v="470"/>
    <n v="394.79"/>
    <n v="1650.0570751987009"/>
    <n v="78175.232466603047"/>
    <n v="1650.1037114796582"/>
  </r>
  <r>
    <x v="0"/>
    <x v="6"/>
    <x v="196"/>
    <n v="0.32100000000000001"/>
    <n v="0.15"/>
    <n v="23.419715264536787"/>
    <n v="9969.6960543379992"/>
    <n v="57391.855783201769"/>
    <n v="1649.8122899136883"/>
    <n v="0"/>
    <n v="0"/>
    <n v="4.5904401290094086"/>
    <n v="8105.799565121335"/>
    <n v="66.739999999999995"/>
    <n v="66.739999999999995"/>
    <n v="2.0659752077181546E-2"/>
    <n v="100"/>
    <n v="486.8"/>
    <n v="391.3"/>
    <n v="470"/>
    <n v="391.3"/>
    <n v="1649.8122899136883"/>
    <n v="78206.360551483347"/>
    <n v="1649.984469030567"/>
  </r>
  <r>
    <x v="0"/>
    <x v="6"/>
    <x v="197"/>
    <n v="0.28399999999999997"/>
    <n v="0.16300000000000001"/>
    <n v="24.189442303013585"/>
    <n v="11010.069617182078"/>
    <n v="57437.876152886281"/>
    <n v="1649.8099433898926"/>
    <n v="0"/>
    <n v="114.54"/>
    <n v="2938.2938223048932"/>
    <n v="8145.9662516671378"/>
    <n v="68.91"/>
    <n v="68.91"/>
    <n v="2.0691587795186137E-2"/>
    <n v="100"/>
    <n v="626.6"/>
    <n v="389.52"/>
    <n v="626.6"/>
    <n v="389.52"/>
    <n v="1649.8099433898926"/>
    <n v="78083.142122395817"/>
    <n v="1650.2239063686795"/>
  </r>
  <r>
    <x v="0"/>
    <x v="6"/>
    <x v="198"/>
    <n v="0.20200000000000001"/>
    <n v="0.159"/>
    <n v="24.103462818841979"/>
    <n v="11999.585418383502"/>
    <n v="57480.173677676095"/>
    <n v="1649.9237558654745"/>
    <n v="0"/>
    <n v="248.03"/>
    <n v="6014.5931884813936"/>
    <n v="8253.7737932913333"/>
    <n v="70.59"/>
    <n v="70.59"/>
    <n v="2.0666547957072467E-2"/>
    <n v="100"/>
    <n v="486.32"/>
    <n v="382.11"/>
    <n v="486.32"/>
    <n v="382.11"/>
    <n v="1649.9237558654745"/>
    <n v="78186.012973846286"/>
    <n v="1649.4660472565438"/>
  </r>
  <r>
    <x v="0"/>
    <x v="6"/>
    <x v="199"/>
    <n v="0.21299999999999999"/>
    <n v="0.155"/>
    <n v="23.475492403293799"/>
    <n v="12017.406809778366"/>
    <n v="57490.203580412905"/>
    <n v="1650.29640196695"/>
    <n v="0"/>
    <n v="252.56"/>
    <n v="6331.993395157443"/>
    <n v="8439.9835997137397"/>
    <n v="70.7"/>
    <n v="70.7"/>
    <n v="2.0705410803144867E-2"/>
    <n v="100"/>
    <n v="458.74"/>
    <n v="383.61"/>
    <n v="458.74"/>
    <n v="383.61"/>
    <n v="1650.29640196695"/>
    <n v="78053.418047362939"/>
    <n v="1650.2119678547613"/>
  </r>
  <r>
    <x v="0"/>
    <x v="6"/>
    <x v="200"/>
    <n v="0.21099999999999999"/>
    <n v="0.16"/>
    <n v="22.792234647116835"/>
    <n v="12083.643617035696"/>
    <n v="57470.901405816272"/>
    <n v="1649.6334946875272"/>
    <n v="0"/>
    <n v="252.3"/>
    <n v="2788.0800149169422"/>
    <n v="8359.3818169619626"/>
    <n v="71.099999999999994"/>
    <n v="71.099999999999994"/>
    <n v="2.0712456305104453E-2"/>
    <n v="100"/>
    <n v="458.6"/>
    <n v="384.17"/>
    <n v="458.6"/>
    <n v="384.17"/>
    <n v="1649.6334946875272"/>
    <n v="77994.647223065578"/>
    <n v="1649.8657399375434"/>
  </r>
  <r>
    <x v="0"/>
    <x v="6"/>
    <x v="201"/>
    <n v="0.21199999999999999"/>
    <n v="0.155"/>
    <n v="22.866605745347517"/>
    <n v="10430.942450880157"/>
    <n v="55453.061421105136"/>
    <n v="1610.3028262030491"/>
    <n v="0"/>
    <n v="0"/>
    <n v="4.4228272707738618"/>
    <n v="8250.445108568776"/>
    <n v="70.930000000000007"/>
    <n v="70.930000000000007"/>
    <n v="2.0934524182666378E-2"/>
    <n v="100"/>
    <n v="441.59"/>
    <n v="387.43"/>
    <n v="470"/>
    <n v="387.43"/>
    <n v="1610.3028262030491"/>
    <n v="75270.824899158571"/>
    <n v="1650.0934915430093"/>
  </r>
  <r>
    <x v="0"/>
    <x v="6"/>
    <x v="202"/>
    <n v="0.216"/>
    <n v="0.15"/>
    <n v="23.96255504017816"/>
    <n v="10578.988206025546"/>
    <n v="55295.879968880115"/>
    <n v="1600.0032186408907"/>
    <n v="0"/>
    <n v="0"/>
    <n v="4.101053279609336"/>
    <n v="8263.2781214082024"/>
    <n v="70.92"/>
    <n v="70.92"/>
    <n v="2.082353819419637E-2"/>
    <n v="100"/>
    <n v="439.18"/>
    <n v="388.9"/>
    <n v="470"/>
    <n v="388.9"/>
    <n v="1600.0032186408907"/>
    <n v="75186.056834446572"/>
    <n v="1650.2235190439851"/>
  </r>
  <r>
    <x v="0"/>
    <x v="6"/>
    <x v="203"/>
    <n v="0.215"/>
    <n v="0.153"/>
    <n v="23.648211021873372"/>
    <n v="10380.603885647988"/>
    <n v="55305.378358670197"/>
    <n v="1600.2232445763846"/>
    <n v="0"/>
    <n v="0"/>
    <n v="4.1175056595838706"/>
    <n v="8270.5104036774592"/>
    <n v="70.98"/>
    <n v="70.98"/>
    <n v="2.0826650017207717E-2"/>
    <n v="100"/>
    <n v="450.16"/>
    <n v="388.51"/>
    <n v="470"/>
    <n v="388.51"/>
    <n v="1600.2232445763846"/>
    <n v="75185.231393129783"/>
    <n v="1650.1330679920627"/>
  </r>
  <r>
    <x v="0"/>
    <x v="6"/>
    <x v="204"/>
    <n v="0.216"/>
    <n v="0.152"/>
    <n v="23.73079878617127"/>
    <n v="10685.348576563583"/>
    <n v="55292.556305842299"/>
    <n v="1600.0674914135691"/>
    <n v="0"/>
    <n v="0"/>
    <n v="4.035082786303275"/>
    <n v="8358.162073457017"/>
    <n v="70.97"/>
    <n v="70.97"/>
    <n v="2.0822167144494343E-2"/>
    <n v="100"/>
    <n v="446.69"/>
    <n v="386.59"/>
    <n v="470"/>
    <n v="386.59"/>
    <n v="1600.0674914135691"/>
    <n v="75194.654590995837"/>
    <n v="1649.7718469433121"/>
  </r>
  <r>
    <x v="0"/>
    <x v="6"/>
    <x v="205"/>
    <n v="0.218"/>
    <n v="0.15"/>
    <n v="23.082806789072581"/>
    <n v="10593.266027552479"/>
    <n v="55288.603094096979"/>
    <n v="1599.9320307247842"/>
    <n v="0"/>
    <n v="0"/>
    <n v="3.7897681447054929"/>
    <n v="8280.8668937180119"/>
    <n v="71.010000000000005"/>
    <n v="71.010000000000005"/>
    <n v="2.081876726174995E-2"/>
    <n v="100"/>
    <n v="431.4"/>
    <n v="390.53"/>
    <n v="470"/>
    <n v="390.53"/>
    <n v="1599.9320307247842"/>
    <n v="75200.26760387751"/>
    <n v="1650.2015237695721"/>
  </r>
  <r>
    <x v="0"/>
    <x v="6"/>
    <x v="206"/>
    <n v="0.216"/>
    <n v="0.152"/>
    <n v="23.451608664455055"/>
    <n v="10682.634347485468"/>
    <n v="55299.256749869885"/>
    <n v="1599.9402894887719"/>
    <n v="0"/>
    <n v="0"/>
    <n v="3.9377765140957006"/>
    <n v="8287.0809692975799"/>
    <n v="70.98"/>
    <n v="70.98"/>
    <n v="2.0819786185348445E-2"/>
    <n v="100"/>
    <n v="448.83"/>
    <n v="391.54"/>
    <n v="470"/>
    <n v="391.54"/>
    <n v="1599.9402894887719"/>
    <n v="75197.040266091251"/>
    <n v="1650.0644661706822"/>
  </r>
  <r>
    <x v="0"/>
    <x v="6"/>
    <x v="207"/>
    <n v="0.218"/>
    <n v="0.155"/>
    <n v="23.73094181349342"/>
    <n v="10370.066432002515"/>
    <n v="55313.469080716517"/>
    <n v="1600.0386984915804"/>
    <n v="0"/>
    <n v="0"/>
    <n v="3.9779914902945839"/>
    <n v="8291.4224134308861"/>
    <n v="71"/>
    <n v="71"/>
    <n v="2.080462753405294E-2"/>
    <n v="100"/>
    <n v="453.89"/>
    <n v="389.81"/>
    <n v="470"/>
    <n v="389.81"/>
    <n v="1600.0386984915804"/>
    <n v="75257.739015874395"/>
    <n v="1650.0881428979983"/>
  </r>
  <r>
    <x v="0"/>
    <x v="6"/>
    <x v="208"/>
    <n v="0.218"/>
    <n v="0.154"/>
    <n v="24.289096060599988"/>
    <n v="10490.692730471461"/>
    <n v="55098.720894235776"/>
    <n v="1602.7989119900999"/>
    <n v="0"/>
    <n v="0"/>
    <n v="2706.918612038568"/>
    <n v="8260.4198344519864"/>
    <n v="71.010000000000005"/>
    <n v="71.010000000000005"/>
    <n v="2.0924272022616493E-2"/>
    <n v="100"/>
    <n v="677.65"/>
    <n v="388.21"/>
    <n v="677.65"/>
    <n v="388.21"/>
    <n v="1602.7989119900999"/>
    <n v="74950.309382590218"/>
    <n v="1649.6750879651718"/>
  </r>
  <r>
    <x v="0"/>
    <x v="6"/>
    <x v="209"/>
    <n v="0.219"/>
    <n v="0.155"/>
    <n v="24.822364006333679"/>
    <n v="10749.93297704502"/>
    <n v="54980.554820328762"/>
    <n v="1614.5214798852519"/>
    <n v="0"/>
    <n v="0"/>
    <n v="5042.3577330365597"/>
    <n v="8288.3835542402194"/>
    <n v="70.94"/>
    <n v="70.94"/>
    <n v="2.1180958496132739E-2"/>
    <n v="100"/>
    <n v="445.87"/>
    <n v="388.65"/>
    <n v="445.87"/>
    <n v="388.65"/>
    <n v="1614.5214798852519"/>
    <n v="74575.16215952464"/>
    <n v="1649.9756301572802"/>
  </r>
  <r>
    <x v="0"/>
    <x v="6"/>
    <x v="210"/>
    <n v="0.217"/>
    <n v="0.153"/>
    <n v="25.389068600868367"/>
    <n v="10751.930334701379"/>
    <n v="55026.545823213048"/>
    <n v="1601.7276342790381"/>
    <n v="0"/>
    <n v="0"/>
    <n v="3.827681924467861"/>
    <n v="8292.4310693257721"/>
    <n v="70.62"/>
    <n v="70.62"/>
    <n v="2.1001471579007312E-2"/>
    <n v="100"/>
    <n v="426.94"/>
    <n v="388.2"/>
    <n v="470"/>
    <n v="388.2"/>
    <n v="1601.7276342790381"/>
    <n v="74617.269544803945"/>
    <n v="1650.1304920628036"/>
  </r>
  <r>
    <x v="0"/>
    <x v="6"/>
    <x v="211"/>
    <n v="0.216"/>
    <n v="0.155"/>
    <n v="25.202641184672476"/>
    <n v="10727.275044999133"/>
    <n v="54995.504152931993"/>
    <n v="1604.2466868202691"/>
    <n v="0"/>
    <n v="0"/>
    <n v="4.1823511348674067"/>
    <n v="8310.2214696011888"/>
    <n v="70.97"/>
    <n v="70.97"/>
    <n v="2.0927321845598711E-2"/>
    <n v="100"/>
    <n v="462.47"/>
    <n v="389.75"/>
    <n v="470"/>
    <n v="389.75"/>
    <n v="1604.2466868202691"/>
    <n v="75007.993564581891"/>
    <n v="1650.0087663596244"/>
  </r>
  <r>
    <x v="0"/>
    <x v="6"/>
    <x v="212"/>
    <n v="0.219"/>
    <n v="0.157"/>
    <n v="26.034270266043816"/>
    <n v="11000.440071863071"/>
    <n v="55004.352123633762"/>
    <n v="1599.8628611620893"/>
    <n v="0"/>
    <n v="0"/>
    <n v="4.1001012588358021"/>
    <n v="8303.7086333275511"/>
    <n v="70.87"/>
    <n v="70.87"/>
    <n v="2.0857117027664723E-2"/>
    <n v="100"/>
    <n v="469.93"/>
    <n v="387.67"/>
    <n v="470"/>
    <n v="387.67"/>
    <n v="1599.8628611620893"/>
    <n v="75055.617496530191"/>
    <n v="1650.2311133253004"/>
  </r>
  <r>
    <x v="0"/>
    <x v="7"/>
    <x v="213"/>
    <n v="0.221"/>
    <n v="0.157"/>
    <n v="26.479071435442524"/>
    <n v="10815.900987298492"/>
    <n v="54994.658719530707"/>
    <n v="1600.1860569272912"/>
    <n v="0"/>
    <n v="0"/>
    <n v="4.1076952600379855"/>
    <n v="8339.6006221943317"/>
    <n v="70.95"/>
    <n v="70.95"/>
    <n v="2.0877573023932068E-2"/>
    <n v="100"/>
    <n v="472.13"/>
    <n v="388.47"/>
    <n v="470"/>
    <n v="388.47"/>
    <n v="1600.1860569272912"/>
    <n v="74996.263299141239"/>
    <n v="1649.9088920895049"/>
  </r>
  <r>
    <x v="0"/>
    <x v="7"/>
    <x v="214"/>
    <n v="0.223"/>
    <n v="0.16400000000000001"/>
    <n v="26.028489481484534"/>
    <n v="10684.748794375651"/>
    <n v="54993.172308726578"/>
    <n v="1599.8866131985708"/>
    <n v="0"/>
    <n v="0"/>
    <n v="4.5409190191484674"/>
    <n v="8355.3480018758673"/>
    <n v="70.959999999999994"/>
    <n v="70.959999999999994"/>
    <n v="2.0878568415086413E-2"/>
    <n v="100"/>
    <n v="499.14"/>
    <n v="387.91"/>
    <n v="470"/>
    <n v="387.91"/>
    <n v="1599.8866131985708"/>
    <n v="74978.36993624219"/>
    <n v="1649.8059708054573"/>
  </r>
  <r>
    <x v="0"/>
    <x v="7"/>
    <x v="215"/>
    <n v="0.219"/>
    <n v="0.158"/>
    <n v="26.916422558691171"/>
    <n v="10528.31728522402"/>
    <n v="54992.466426852014"/>
    <n v="1599.8591774510974"/>
    <n v="0"/>
    <n v="0"/>
    <n v="4.6035083094708709"/>
    <n v="8357.5334925019524"/>
    <n v="71.02"/>
    <n v="71.02"/>
    <n v="2.0873126605612548E-2"/>
    <n v="100"/>
    <n v="487.75"/>
    <n v="385.99"/>
    <n v="470"/>
    <n v="385.99"/>
    <n v="1599.8591774510974"/>
    <n v="74996.757460097157"/>
    <n v="1650.081687657226"/>
  </r>
  <r>
    <x v="0"/>
    <x v="7"/>
    <x v="216"/>
    <n v="0.221"/>
    <n v="0.161"/>
    <n v="27.009795016170298"/>
    <n v="10644.875841700639"/>
    <n v="54997.712940774632"/>
    <n v="1599.9883652845249"/>
    <n v="0"/>
    <n v="0"/>
    <n v="4.6100819959647117"/>
    <n v="8289.4449756842041"/>
    <n v="70.91"/>
    <n v="70.91"/>
    <n v="2.0874991796174677E-2"/>
    <n v="100"/>
    <n v="498.7"/>
    <n v="379.8"/>
    <n v="470"/>
    <n v="379.8"/>
    <n v="1599.9883652845249"/>
    <n v="74996.68741325468"/>
    <n v="1649.4919436982241"/>
  </r>
  <r>
    <x v="0"/>
    <x v="7"/>
    <x v="217"/>
    <n v="0.224"/>
    <n v="0.16600000000000001"/>
    <n v="27.720297213150015"/>
    <n v="10435.851479143173"/>
    <n v="55003.950335595939"/>
    <n v="1599.9793044652151"/>
    <n v="0"/>
    <n v="0"/>
    <n v="4.625906336563979"/>
    <n v="8050.697885379619"/>
    <n v="70.989999999999995"/>
    <n v="70.989999999999995"/>
    <n v="2.0871473307039791E-2"/>
    <n v="100"/>
    <n v="499.36"/>
    <n v="378.14"/>
    <n v="470"/>
    <n v="378.14"/>
    <n v="1599.9793044652151"/>
    <n v="75008.558005508326"/>
    <n v="1650.1081522637817"/>
  </r>
  <r>
    <x v="0"/>
    <x v="7"/>
    <x v="218"/>
    <n v="0.218"/>
    <n v="0.16800000000000001"/>
    <n v="27.899341963133324"/>
    <n v="10362.785453081628"/>
    <n v="54998.484101210095"/>
    <n v="1600.0891942613907"/>
    <n v="0"/>
    <n v="0"/>
    <n v="4.8144814829128144"/>
    <n v="8297.4711890343078"/>
    <n v="70.98"/>
    <n v="70.98"/>
    <n v="2.0871769582960772E-2"/>
    <n v="100"/>
    <n v="506.16"/>
    <n v="378.68"/>
    <n v="470"/>
    <n v="378.68"/>
    <n v="1600.0891942613907"/>
    <n v="75012.910023421238"/>
    <n v="1649.9329569682241"/>
  </r>
  <r>
    <x v="0"/>
    <x v="7"/>
    <x v="219"/>
    <n v="0.221"/>
    <n v="0.17599999999999999"/>
    <n v="26.745860726530559"/>
    <n v="10831.51001569548"/>
    <n v="55001.582779428347"/>
    <n v="1600.6849270356686"/>
    <n v="0"/>
    <n v="0"/>
    <n v="4.972939571682403"/>
    <n v="8324.2890177719473"/>
    <n v="70.95"/>
    <n v="70.95"/>
    <n v="2.0881170180826657E-2"/>
    <n v="100"/>
    <n v="500.49"/>
    <n v="379.04"/>
    <n v="470"/>
    <n v="379.04"/>
    <n v="1600.6849270356686"/>
    <n v="75006.899267002082"/>
    <n v="1649.960151031727"/>
  </r>
  <r>
    <x v="0"/>
    <x v="7"/>
    <x v="220"/>
    <n v="0.22"/>
    <n v="0.16900000000000001"/>
    <n v="26.602620203572791"/>
    <n v="10543.357465247658"/>
    <n v="55003.081600234211"/>
    <n v="1600.306341252006"/>
    <n v="0"/>
    <n v="0"/>
    <n v="4.0072940299280972"/>
    <n v="8321.0906136146768"/>
    <n v="71.03"/>
    <n v="71.03"/>
    <n v="2.0879797266701708E-2"/>
    <n v="100"/>
    <n v="469.01"/>
    <n v="376.65"/>
    <n v="470"/>
    <n v="376.65"/>
    <n v="1600.306341252006"/>
    <n v="74993.78569027585"/>
    <n v="1649.9824848161811"/>
  </r>
  <r>
    <x v="0"/>
    <x v="7"/>
    <x v="221"/>
    <n v="0.224"/>
    <n v="0.17399999999999999"/>
    <n v="26.053039843303143"/>
    <n v="10511.607016611728"/>
    <n v="55003.723539967905"/>
    <n v="1600.149673874886"/>
    <n v="0"/>
    <n v="0"/>
    <n v="4.1175418394791592"/>
    <n v="8270.504684247051"/>
    <n v="71.010000000000005"/>
    <n v="71.010000000000005"/>
    <n v="2.0881694807708479E-2"/>
    <n v="100"/>
    <n v="484.53"/>
    <n v="377.01"/>
    <n v="470"/>
    <n v="377.01"/>
    <n v="1600.149673874886"/>
    <n v="74979.184550659265"/>
    <n v="1650.1163087801167"/>
  </r>
  <r>
    <x v="0"/>
    <x v="7"/>
    <x v="222"/>
    <n v="0.219"/>
    <n v="0.17"/>
    <n v="25.972207959537123"/>
    <n v="10555.349847924619"/>
    <n v="55002.194314928871"/>
    <n v="1599.8799217801222"/>
    <n v="0"/>
    <n v="0"/>
    <n v="2408.4852567460289"/>
    <n v="8160.991216020233"/>
    <n v="70.95"/>
    <n v="70.95"/>
    <n v="2.0872629222750912E-2"/>
    <n v="100"/>
    <n v="677.22"/>
    <n v="379.37"/>
    <n v="677.22"/>
    <n v="379.37"/>
    <n v="1599.8799217801222"/>
    <n v="74999.654867496531"/>
    <n v="1650.0045839477791"/>
  </r>
  <r>
    <x v="0"/>
    <x v="7"/>
    <x v="223"/>
    <n v="0.221"/>
    <n v="0.17399999999999999"/>
    <n v="25.970651658353997"/>
    <n v="10587.385663574558"/>
    <n v="54996.054172449687"/>
    <n v="1599.9630847854137"/>
    <n v="0"/>
    <n v="0"/>
    <n v="5369.9842430135595"/>
    <n v="8173.7890170942492"/>
    <n v="70.97"/>
    <n v="70.97"/>
    <n v="2.0871222394346103E-2"/>
    <n v="100"/>
    <n v="459.25"/>
    <n v="379.31"/>
    <n v="459.25"/>
    <n v="379.31"/>
    <n v="1599.9630847854137"/>
    <n v="75008.851307685632"/>
    <n v="1649.9593050954741"/>
  </r>
  <r>
    <x v="0"/>
    <x v="7"/>
    <x v="224"/>
    <n v="0.216"/>
    <n v="0.17199999999999999"/>
    <n v="24.410353817433471"/>
    <n v="10794.504795389486"/>
    <n v="54995.059163016136"/>
    <n v="1599.9245216639647"/>
    <n v="0"/>
    <n v="0"/>
    <n v="4.152758722417806"/>
    <n v="8227.073476670932"/>
    <n v="70.959999999999994"/>
    <n v="70.959999999999994"/>
    <n v="2.0870959549073302E-2"/>
    <n v="100"/>
    <n v="446.6"/>
    <n v="379.91"/>
    <n v="470"/>
    <n v="379.91"/>
    <n v="1599.9245216639647"/>
    <n v="75008.081112291809"/>
    <n v="1649.8472355691035"/>
  </r>
  <r>
    <x v="0"/>
    <x v="7"/>
    <x v="225"/>
    <n v="0.24099999999999999"/>
    <n v="0.17"/>
    <n v="23.592537108930262"/>
    <n v="11573.695784177657"/>
    <n v="55899.230162430606"/>
    <n v="1626.5405358996843"/>
    <n v="0"/>
    <n v="146.86000000000001"/>
    <n v="4.2036681014741983"/>
    <n v="8203.2996318745663"/>
    <n v="71.87"/>
    <n v="71.87"/>
    <n v="2.0881194893458122E-2"/>
    <n v="100"/>
    <n v="459.28"/>
    <n v="379.39"/>
    <n v="470"/>
    <n v="379.39"/>
    <n v="1626.5405358996843"/>
    <n v="76218.611250867456"/>
    <n v="1676.3820289119426"/>
  </r>
  <r>
    <x v="0"/>
    <x v="7"/>
    <x v="226"/>
    <n v="0.219"/>
    <n v="0.17599999999999999"/>
    <n v="24.545469625553764"/>
    <n v="12441.301052329112"/>
    <n v="56883.026663341429"/>
    <n v="1700.1639039187196"/>
    <n v="0"/>
    <n v="218.97"/>
    <n v="4.093320154630832"/>
    <n v="8198.2453940270425"/>
    <n v="71.95"/>
    <n v="71.95"/>
    <n v="2.1456620316219671E-2"/>
    <n v="100"/>
    <n v="471.64"/>
    <n v="380.92"/>
    <n v="470"/>
    <n v="380.92"/>
    <n v="1700.1639039187196"/>
    <n v="77487.680316403537"/>
    <n v="1749.5844001425876"/>
  </r>
  <r>
    <x v="0"/>
    <x v="7"/>
    <x v="227"/>
    <n v="0.219"/>
    <n v="0.17299999999999999"/>
    <n v="23.518917696580218"/>
    <n v="12450.309916616065"/>
    <n v="56949.319935700034"/>
    <n v="1699.7433677106826"/>
    <n v="0"/>
    <n v="212.37"/>
    <n v="4.5029069442537244"/>
    <n v="8227.7290042450986"/>
    <n v="71.98"/>
    <n v="71.98"/>
    <n v="2.1444524665022214E-2"/>
    <n v="100"/>
    <n v="490.8"/>
    <n v="380.11"/>
    <n v="470"/>
    <n v="380.11"/>
    <n v="1699.7433677106826"/>
    <n v="77512.450528062109"/>
    <n v="1749.897053048149"/>
  </r>
  <r>
    <x v="0"/>
    <x v="7"/>
    <x v="228"/>
    <n v="0.217"/>
    <n v="0.16800000000000001"/>
    <n v="24.090160519443064"/>
    <n v="12441.359770775503"/>
    <n v="57003.199674162905"/>
    <n v="1699.8601579103597"/>
    <n v="0"/>
    <n v="231.17"/>
    <n v="4.5940257235585937"/>
    <n v="8206.417551627017"/>
    <n v="71.959999999999994"/>
    <n v="71.959999999999994"/>
    <n v="2.1454625505867259E-2"/>
    <n v="100"/>
    <n v="484"/>
    <n v="378.76"/>
    <n v="470"/>
    <n v="378.76"/>
    <n v="1699.8601579103597"/>
    <n v="77480.518216516313"/>
    <n v="1749.9562303806492"/>
  </r>
  <r>
    <x v="0"/>
    <x v="7"/>
    <x v="229"/>
    <n v="0.218"/>
    <n v="0.16700000000000001"/>
    <n v="23.601298973512353"/>
    <n v="12446.857026777194"/>
    <n v="57005.967459663429"/>
    <n v="1699.9524351036607"/>
    <n v="0"/>
    <n v="220.49"/>
    <n v="4.4895587766608953"/>
    <n v="8241.3175275009762"/>
    <n v="72"/>
    <n v="72"/>
    <n v="2.1459934549908872E-2"/>
    <n v="100"/>
    <n v="492.5"/>
    <n v="378.63"/>
    <n v="470"/>
    <n v="378.63"/>
    <n v="1699.9524351036607"/>
    <n v="77465.049526153714"/>
    <n v="1750.1238076754696"/>
  </r>
  <r>
    <x v="0"/>
    <x v="7"/>
    <x v="230"/>
    <n v="0.217"/>
    <n v="0.16800000000000001"/>
    <n v="22.212403055862119"/>
    <n v="12456.272825538905"/>
    <n v="57001.505820068531"/>
    <n v="1699.9966232013901"/>
    <n v="0"/>
    <n v="205.86"/>
    <n v="3.8374041958371441"/>
    <n v="8434.8121387870833"/>
    <n v="72.02"/>
    <n v="72.02"/>
    <n v="2.1448840896925055E-2"/>
    <n v="100"/>
    <n v="458.96"/>
    <n v="371.68"/>
    <n v="470"/>
    <n v="371.68"/>
    <n v="1699.9966232013901"/>
    <n v="77507.761504597496"/>
    <n v="1750.4432334079252"/>
  </r>
  <r>
    <x v="0"/>
    <x v="7"/>
    <x v="231"/>
    <n v="0.21199999999999999"/>
    <n v="0.16400000000000001"/>
    <n v="22.252941359255896"/>
    <n v="11523.101726502862"/>
    <n v="56193.994459142959"/>
    <n v="1700.0428746347209"/>
    <n v="0"/>
    <n v="86.43"/>
    <n v="4.1020967349834034"/>
    <n v="8252.5245519739983"/>
    <n v="71.56"/>
    <n v="71.56"/>
    <n v="2.1742209682836255E-2"/>
    <n v="100"/>
    <n v="470.49"/>
    <n v="382.04"/>
    <n v="470"/>
    <n v="382.04"/>
    <n v="1700.0428746347209"/>
    <n v="76440.80646577898"/>
    <n v="1750.0903857387991"/>
  </r>
  <r>
    <x v="0"/>
    <x v="7"/>
    <x v="232"/>
    <n v="0.216"/>
    <n v="0.16700000000000001"/>
    <n v="23.085929654854027"/>
    <n v="10694.777202788862"/>
    <n v="55498.243851925741"/>
    <n v="1697.7422332445999"/>
    <n v="0"/>
    <n v="0"/>
    <n v="4.0646039839009296"/>
    <n v="8278.29083230775"/>
    <n v="70.94"/>
    <n v="70.94"/>
    <n v="2.1978729465526474E-2"/>
    <n v="100"/>
    <n v="472.99"/>
    <n v="381.95"/>
    <n v="470"/>
    <n v="381.95"/>
    <n v="1697.7422332445999"/>
    <n v="75497.01301179736"/>
    <n v="1747.7720385623593"/>
  </r>
  <r>
    <x v="0"/>
    <x v="7"/>
    <x v="233"/>
    <n v="0.216"/>
    <n v="0.16500000000000001"/>
    <n v="23.188962193845793"/>
    <n v="10599.928281277109"/>
    <n v="55503.93103747398"/>
    <n v="1649.8420649891841"/>
    <n v="0"/>
    <n v="0"/>
    <n v="4.0807052004428312"/>
    <n v="8266.4665529037993"/>
    <n v="70.959999999999994"/>
    <n v="70.959999999999994"/>
    <n v="2.135235073640775E-2"/>
    <n v="100"/>
    <n v="124751.52"/>
    <n v="381"/>
    <n v="470"/>
    <n v="381"/>
    <n v="1649.8420649891841"/>
    <n v="75567.804286302911"/>
    <n v="1699.6631394756246"/>
  </r>
  <r>
    <x v="0"/>
    <x v="7"/>
    <x v="234"/>
    <n v="0.21199999999999999"/>
    <n v="0.16600000000000001"/>
    <n v="22.549749194376176"/>
    <n v="10640.522580890009"/>
    <n v="55494.588154927136"/>
    <n v="1649.9657437326507"/>
    <n v="0"/>
    <n v="0"/>
    <n v="7232.3352639150653"/>
    <n v="8232.1935867426055"/>
    <n v="70.97"/>
    <n v="70.97"/>
    <n v="2.136348092407803E-2"/>
    <n v="100"/>
    <n v="451.98"/>
    <n v="382.37"/>
    <n v="451.98"/>
    <n v="382.37"/>
    <n v="1649.9657437326507"/>
    <n v="75533.5113202637"/>
    <n v="1699.4896872187555"/>
  </r>
  <r>
    <x v="0"/>
    <x v="7"/>
    <x v="235"/>
    <n v="0.218"/>
    <n v="0.16300000000000001"/>
    <n v="23.35170010176903"/>
    <n v="10425.945070561893"/>
    <n v="55507.051716472939"/>
    <n v="1649.9380863780036"/>
    <n v="0"/>
    <n v="0"/>
    <n v="7219.9310791523885"/>
    <n v="8169.6912812147602"/>
    <n v="70.98"/>
    <n v="70.98"/>
    <n v="2.1368870096558468E-2"/>
    <n v="100"/>
    <n v="451.98"/>
    <n v="383.7"/>
    <n v="451.98"/>
    <n v="383.7"/>
    <n v="1649.9380863780036"/>
    <n v="75511.793524462177"/>
    <n v="1700.4352420804237"/>
  </r>
  <r>
    <x v="0"/>
    <x v="7"/>
    <x v="236"/>
    <n v="0.46100000000000002"/>
    <n v="0.16700000000000001"/>
    <n v="22.607537548216079"/>
    <n v="10220.042686150025"/>
    <n v="55569.013334381503"/>
    <n v="1649.9016997676852"/>
    <n v="0"/>
    <n v="0"/>
    <n v="7184.5508988305646"/>
    <n v="8166.5691058591037"/>
    <n v="71.010000000000005"/>
    <n v="71.010000000000005"/>
    <n v="2.1323864188495301E-2"/>
    <n v="100"/>
    <n v="457.22"/>
    <n v="382.71"/>
    <n v="457.22"/>
    <n v="382.71"/>
    <n v="1649.9016997676852"/>
    <n v="75673.682593468082"/>
    <n v="1699.8030554343227"/>
  </r>
  <r>
    <x v="0"/>
    <x v="7"/>
    <x v="237"/>
    <n v="0.73099999999999998"/>
    <n v="0.16400000000000001"/>
    <n v="22.505431555775122"/>
    <n v="10298.995552947172"/>
    <n v="55199.788704675571"/>
    <n v="1650.062281357754"/>
    <n v="0"/>
    <n v="0"/>
    <n v="7138.6513305918197"/>
    <n v="8149.0049902275987"/>
    <n v="70.97"/>
    <n v="70.97"/>
    <n v="2.1480062058173901E-2"/>
    <n v="100"/>
    <n v="458.85"/>
    <n v="381.89"/>
    <n v="458.85"/>
    <n v="381.89"/>
    <n v="1650.062281357754"/>
    <n v="75118.4410077637"/>
    <n v="1699.8790179854211"/>
  </r>
  <r>
    <x v="0"/>
    <x v="7"/>
    <x v="238"/>
    <n v="0.49299999999999999"/>
    <n v="0.16200000000000001"/>
    <n v="22.17690693248402"/>
    <n v="10937.310463518173"/>
    <n v="55978.230460617626"/>
    <n v="1650.0474458756669"/>
    <n v="0"/>
    <n v="45.95"/>
    <n v="7108.8723461354966"/>
    <n v="8152.193758877841"/>
    <n v="71.099999999999994"/>
    <n v="71.099999999999994"/>
    <n v="2.1214812744192801E-2"/>
    <n v="100"/>
    <n v="463.77"/>
    <n v="381.27"/>
    <n v="463.77"/>
    <n v="381.27"/>
    <n v="1650.0474458756669"/>
    <n v="76077.661433032612"/>
    <n v="1700.4205972855491"/>
  </r>
  <r>
    <x v="0"/>
    <x v="7"/>
    <x v="239"/>
    <n v="0.214"/>
    <n v="0.16400000000000001"/>
    <n v="23.75958075336904"/>
    <n v="12534.522303033917"/>
    <n v="57132.237364059227"/>
    <n v="1732.6882536626213"/>
    <n v="0"/>
    <n v="173.04"/>
    <n v="7052.345504559551"/>
    <n v="8145.774943344466"/>
    <n v="72.02"/>
    <n v="72.02"/>
    <n v="2.1807133791141957E-2"/>
    <n v="100"/>
    <n v="467.58"/>
    <n v="381.67"/>
    <n v="467.58"/>
    <n v="381.67"/>
    <n v="1732.6882536626213"/>
    <n v="77619.560572807473"/>
    <n v="1835.5512386511291"/>
  </r>
  <r>
    <x v="0"/>
    <x v="7"/>
    <x v="240"/>
    <n v="0.215"/>
    <n v="0.16700000000000001"/>
    <n v="25.39144358214697"/>
    <n v="12595.61484402108"/>
    <n v="57192.297745163945"/>
    <n v="1750.2185039957062"/>
    <n v="0"/>
    <n v="173.67"/>
    <n v="6987.411440148443"/>
    <n v="8131.2624920031667"/>
    <n v="72.45"/>
    <n v="72.45"/>
    <n v="2.2022486362289952E-2"/>
    <n v="100"/>
    <n v="470.26"/>
    <n v="380.54"/>
    <n v="470.26"/>
    <n v="380.54"/>
    <n v="1750.2185039957062"/>
    <n v="77574.023979658217"/>
    <n v="1900.1314450753057"/>
  </r>
  <r>
    <x v="0"/>
    <x v="7"/>
    <x v="241"/>
    <n v="0.21199999999999999"/>
    <n v="0.17299999999999999"/>
    <n v="25.352432432313663"/>
    <n v="12588.753571467298"/>
    <n v="57078.865504098714"/>
    <n v="1707.6324489998535"/>
    <n v="0"/>
    <n v="164.33"/>
    <n v="7023.2532034774031"/>
    <n v="8007.1803668920238"/>
    <n v="72.459999999999994"/>
    <n v="72.459999999999994"/>
    <n v="2.1584644816968503E-2"/>
    <n v="100"/>
    <n v="465.99"/>
    <n v="380.57"/>
    <n v="465.99"/>
    <n v="380.57"/>
    <n v="1707.6324489998535"/>
    <n v="77255.135994968761"/>
    <n v="1858.1625318348531"/>
  </r>
  <r>
    <x v="0"/>
    <x v="7"/>
    <x v="242"/>
    <n v="0.21299999999999999"/>
    <n v="0.17799999999999999"/>
    <n v="21.825194867760832"/>
    <n v="12628.489169711787"/>
    <n v="57195.429695632374"/>
    <n v="1699.9985047445621"/>
    <n v="0"/>
    <n v="160.63"/>
    <n v="1683.644453917751"/>
    <n v="8050.6669518644812"/>
    <n v="72.569999999999993"/>
    <n v="72.569999999999993"/>
    <n v="2.1473553104535418E-2"/>
    <n v="100"/>
    <n v="949.4"/>
    <n v="380.63"/>
    <n v="949.4"/>
    <n v="380.63"/>
    <n v="1699.9985047445621"/>
    <n v="77317.742941099932"/>
    <n v="1849.337442327919"/>
  </r>
  <r>
    <x v="0"/>
    <x v="7"/>
    <x v="243"/>
    <n v="0.21199999999999999"/>
    <n v="0.16800000000000001"/>
    <n v="20.989928528139114"/>
    <n v="12636.597025313367"/>
    <n v="57192.970471352361"/>
    <n v="1708.1149246671148"/>
    <n v="0"/>
    <n v="164.19"/>
    <n v="3304.8027310804059"/>
    <n v="7239.8081091241202"/>
    <n v="72.650000000000006"/>
    <n v="72.650000000000006"/>
    <n v="2.1582695915656435E-2"/>
    <n v="100"/>
    <n v="465.14"/>
    <n v="404.91"/>
    <n v="465.14"/>
    <n v="404.91"/>
    <n v="1708.1149246671148"/>
    <n v="77289.179107390708"/>
    <n v="1853.6180363164683"/>
  </r>
  <r>
    <x v="0"/>
    <x v="8"/>
    <x v="244"/>
    <n v="0.219"/>
    <n v="0.16500000000000001"/>
    <n v="21.247590993527815"/>
    <n v="12640.273592015094"/>
    <n v="57070.576409069225"/>
    <n v="1699.9390709881648"/>
    <n v="0"/>
    <n v="149.22999999999999"/>
    <n v="3.5097814289585409"/>
    <n v="8274.5681072714269"/>
    <n v="72.66"/>
    <n v="72.66"/>
    <n v="2.1478888210083806E-2"/>
    <n v="100"/>
    <n v="355.74"/>
    <n v="380.15"/>
    <n v="470"/>
    <n v="380.15"/>
    <n v="1699.9390709881648"/>
    <n v="77294.304129077034"/>
    <n v="1850.344996201504"/>
  </r>
  <r>
    <x v="0"/>
    <x v="8"/>
    <x v="245"/>
    <n v="0.218"/>
    <n v="0.16"/>
    <n v="20.936373863511413"/>
    <n v="12642.642014280447"/>
    <n v="57092.453122289211"/>
    <n v="1700.0972693692802"/>
    <n v="0"/>
    <n v="151.04"/>
    <n v="3.6006281911954541"/>
    <n v="8198.1373266449082"/>
    <n v="72.7"/>
    <n v="72.7"/>
    <n v="2.1509209404334987E-2"/>
    <n v="100"/>
    <n v="367.37"/>
    <n v="381.51"/>
    <n v="470"/>
    <n v="381.51"/>
    <n v="1700.0972693692802"/>
    <n v="77190.107379857742"/>
    <n v="1850.3276919511193"/>
  </r>
  <r>
    <x v="0"/>
    <x v="8"/>
    <x v="246"/>
    <n v="0.21299999999999999"/>
    <n v="0.159"/>
    <n v="20.304215061259221"/>
    <n v="12647.906453309331"/>
    <n v="57094.248387079286"/>
    <n v="1699.9538453927394"/>
    <n v="0"/>
    <n v="196.32"/>
    <n v="3.5291003429749042"/>
    <n v="8198.0067871432602"/>
    <n v="72.73"/>
    <n v="72.73"/>
    <n v="2.1470119220503237E-2"/>
    <n v="100"/>
    <n v="386.56"/>
    <n v="382.17"/>
    <n v="470"/>
    <n v="382.17"/>
    <n v="1699.9538453927394"/>
    <n v="77327.484136450381"/>
    <n v="1850.1779870715595"/>
  </r>
  <r>
    <x v="0"/>
    <x v="8"/>
    <x v="247"/>
    <n v="0.20799999999999999"/>
    <n v="0.157"/>
    <n v="20.474760721327115"/>
    <n v="12648.875167391352"/>
    <n v="57082.058759108259"/>
    <n v="1794.1039290206454"/>
    <n v="0"/>
    <n v="247.38"/>
    <n v="3.9230726190443921"/>
    <n v="8134.7569589396462"/>
    <n v="72.75"/>
    <n v="72.75"/>
    <n v="2.255999997424632E-2"/>
    <n v="100"/>
    <n v="419.5"/>
    <n v="386.07"/>
    <n v="470"/>
    <n v="386.07"/>
    <n v="1794.1039290206454"/>
    <n v="77675.632254077034"/>
    <n v="1850.2512152815427"/>
  </r>
  <r>
    <x v="0"/>
    <x v="8"/>
    <x v="248"/>
    <n v="0.21299999999999999"/>
    <n v="0.158"/>
    <n v="21.809306269742788"/>
    <n v="12645.979707373905"/>
    <n v="57100.425561675918"/>
    <n v="1839.422006049808"/>
    <n v="0"/>
    <n v="219.32"/>
    <n v="3.5386148005372364"/>
    <n v="8157.6369745809116"/>
    <n v="72.709999999999994"/>
    <n v="72.709999999999994"/>
    <n v="2.3120682956141048E-2"/>
    <n v="100"/>
    <n v="410.84"/>
    <n v="387.15"/>
    <n v="470"/>
    <n v="387.15"/>
    <n v="1839.422006049808"/>
    <n v="77698.66152519951"/>
    <n v="1858.7637264296711"/>
  </r>
  <r>
    <x v="0"/>
    <x v="8"/>
    <x v="249"/>
    <n v="0.21299999999999999"/>
    <n v="0.157"/>
    <n v="22.954478609983827"/>
    <n v="12624.980304747138"/>
    <n v="57101.39568875781"/>
    <n v="1923.5455712788971"/>
    <n v="0"/>
    <n v="225.92"/>
    <n v="4480.3572962963271"/>
    <n v="8160.9210682007933"/>
    <n v="72.64"/>
    <n v="72.64"/>
    <n v="2.4138684592899074E-2"/>
    <n v="100"/>
    <n v="577.83000000000004"/>
    <n v="385.28"/>
    <n v="577.83000000000004"/>
    <n v="385.28"/>
    <n v="1923.5455712788971"/>
    <n v="77786.996232000354"/>
    <n v="1900.2611194110264"/>
  </r>
  <r>
    <x v="0"/>
    <x v="8"/>
    <x v="250"/>
    <n v="0.21099999999999999"/>
    <n v="0.14899999999999999"/>
    <n v="22.170850326252182"/>
    <n v="12632.721098900503"/>
    <n v="57100.833538449864"/>
    <n v="1912.051395159476"/>
    <n v="0"/>
    <n v="230.16"/>
    <n v="2874.100562239752"/>
    <n v="8153.6695071239583"/>
    <n v="72.69"/>
    <n v="72.69"/>
    <n v="2.3983451068663602E-2"/>
    <n v="100"/>
    <n v="463.2"/>
    <n v="383.47"/>
    <n v="463.2"/>
    <n v="383.47"/>
    <n v="1912.051395159476"/>
    <n v="77823.512366629075"/>
    <n v="1900.2684055939883"/>
  </r>
  <r>
    <x v="0"/>
    <x v="8"/>
    <x v="251"/>
    <n v="0.22900000000000001"/>
    <n v="0.152"/>
    <n v="22.071480112386855"/>
    <n v="12628.632292705805"/>
    <n v="57065.040610361728"/>
    <n v="1930.9403788601664"/>
    <n v="0"/>
    <n v="209.67"/>
    <n v="3.4820569931509429"/>
    <n v="8103.7908831350851"/>
    <n v="72.69"/>
    <n v="72.69"/>
    <n v="2.4315255945106768E-2"/>
    <n v="100"/>
    <n v="381.42"/>
    <n v="385.9"/>
    <n v="470"/>
    <n v="385.9"/>
    <n v="1930.9403788601664"/>
    <n v="77478.538547449687"/>
    <n v="1934.1718603447855"/>
  </r>
  <r>
    <x v="0"/>
    <x v="8"/>
    <x v="252"/>
    <n v="0.216"/>
    <n v="0.154"/>
    <n v="22.936887526345419"/>
    <n v="12638.194447757634"/>
    <n v="57101.631563265393"/>
    <n v="1900.0190800425887"/>
    <n v="0"/>
    <n v="200.51"/>
    <n v="3.3400626988314985"/>
    <n v="8100.5429345262628"/>
    <n v="72.650000000000006"/>
    <n v="72.650000000000006"/>
    <n v="2.3920740555232363E-2"/>
    <n v="100"/>
    <n v="320.45"/>
    <n v="388.05"/>
    <n v="470"/>
    <n v="388.05"/>
    <n v="1900.0190800425887"/>
    <n v="77479.360550428624"/>
    <n v="1950.4161178770391"/>
  </r>
  <r>
    <x v="0"/>
    <x v="8"/>
    <x v="253"/>
    <n v="0.21099999999999999"/>
    <n v="0.15"/>
    <n v="22.083239190699238"/>
    <n v="12645.380717736163"/>
    <n v="57099.801862855653"/>
    <n v="1899.9922621314679"/>
    <n v="0"/>
    <n v="224"/>
    <n v="2.6822930979778334"/>
    <n v="8121.3826983079252"/>
    <n v="72.760000000000005"/>
    <n v="72.760000000000005"/>
    <n v="2.3946149924322657E-2"/>
    <n v="100"/>
    <n v="196.98"/>
    <n v="387.99"/>
    <n v="470"/>
    <n v="387.99"/>
    <n v="1899.9922621314679"/>
    <n v="77394.055164599238"/>
    <n v="1950.318278983101"/>
  </r>
  <r>
    <x v="0"/>
    <x v="8"/>
    <x v="254"/>
    <n v="0.20599999999999999"/>
    <n v="0.151"/>
    <n v="22.056053774461077"/>
    <n v="11649.736974648682"/>
    <n v="56043.804953157531"/>
    <n v="1899.8544213680821"/>
    <n v="0"/>
    <n v="304.26"/>
    <n v="2.7139105842313693"/>
    <n v="8134.6995467557244"/>
    <n v="71.7"/>
    <n v="71.7"/>
    <n v="2.4354452415933148E-2"/>
    <n v="100"/>
    <n v="223.76"/>
    <n v="386.71"/>
    <n v="470"/>
    <n v="386.71"/>
    <n v="1899.8544213680821"/>
    <n v="76058.608729831714"/>
    <n v="1949.8962006737672"/>
  </r>
  <r>
    <x v="0"/>
    <x v="8"/>
    <x v="255"/>
    <n v="0.21"/>
    <n v="0.14799999999999999"/>
    <n v="22.76379818224725"/>
    <n v="10531.522912961918"/>
    <n v="55056.485128599939"/>
    <n v="1870.330937445784"/>
    <n v="0"/>
    <n v="389.29"/>
    <n v="2.7993578701528885"/>
    <n v="6771.3125119560054"/>
    <n v="70.59"/>
    <n v="70.59"/>
    <n v="2.41905283337332E-2"/>
    <n v="100"/>
    <n v="231.6"/>
    <n v="382.52"/>
    <n v="470"/>
    <n v="382.52"/>
    <n v="1870.330937445784"/>
    <n v="75367.638716603047"/>
    <n v="1949.0247164004215"/>
  </r>
  <r>
    <x v="0"/>
    <x v="8"/>
    <x v="256"/>
    <n v="0.22"/>
    <n v="0.16"/>
    <n v="22.907953066432089"/>
    <n v="10654.363736662908"/>
    <n v="55299.713943767347"/>
    <n v="1849.9158341714196"/>
    <n v="0"/>
    <n v="388.9"/>
    <n v="3194.4069878868886"/>
    <n v="2.648854751706041"/>
    <n v="70.88"/>
    <n v="70.88"/>
    <n v="2.3832045736326725E-2"/>
    <n v="100"/>
    <n v="632.74"/>
    <n v="18646.3"/>
    <n v="632.74"/>
    <n v="470"/>
    <n v="1849.9158341714196"/>
    <n v="75673.555338089849"/>
    <n v="1949.4844394660013"/>
  </r>
  <r>
    <x v="0"/>
    <x v="8"/>
    <x v="257"/>
    <n v="0.216"/>
    <n v="0.14899999999999999"/>
    <n v="22.169240913152855"/>
    <n v="10427.447783386104"/>
    <n v="55298.567157139143"/>
    <n v="1850.1576470739719"/>
    <n v="0"/>
    <n v="392.33"/>
    <n v="6824.5921179343231"/>
    <n v="2.9509852584412659"/>
    <n v="70.819999999999993"/>
    <n v="70.819999999999993"/>
    <n v="2.3859056524929801E-2"/>
    <n v="100"/>
    <n v="469.99"/>
    <n v="10935.79"/>
    <n v="469.99"/>
    <n v="470"/>
    <n v="1850.1576470739719"/>
    <n v="75594.896426092993"/>
    <n v="1950.4015256840685"/>
  </r>
  <r>
    <x v="0"/>
    <x v="8"/>
    <x v="258"/>
    <n v="0.21199999999999999"/>
    <n v="0.14799999999999999"/>
    <n v="21.360917171449152"/>
    <n v="10305.004913986601"/>
    <n v="55298.137648551354"/>
    <n v="1849.9712502812445"/>
    <n v="0"/>
    <n v="394.14"/>
    <n v="733.98652599115985"/>
    <n v="2.5741256332331282"/>
    <n v="70.989999999999995"/>
    <n v="70.989999999999995"/>
    <n v="2.3874950914534624E-2"/>
    <n v="100"/>
    <n v="474.64"/>
    <n v="12461.53"/>
    <n v="474.64"/>
    <n v="470"/>
    <n v="1849.9712502812445"/>
    <n v="75535.198728096802"/>
    <n v="1950.667395925952"/>
  </r>
  <r>
    <x v="0"/>
    <x v="8"/>
    <x v="259"/>
    <n v="0.21199999999999999"/>
    <n v="0.14799999999999999"/>
    <n v="20.526707602242148"/>
    <n v="10429.360322421497"/>
    <n v="55294.770661649898"/>
    <n v="1849.9617337101784"/>
    <n v="0"/>
    <n v="398.66"/>
    <n v="2.8486331119709427"/>
    <n v="174.43366368108744"/>
    <n v="70.97"/>
    <n v="70.97"/>
    <n v="2.3903742680921099E-2"/>
    <n v="100"/>
    <n v="233"/>
    <n v="5579.43"/>
    <n v="470"/>
    <n v="5579.43"/>
    <n v="1849.9617337101784"/>
    <n v="75442.54574188932"/>
    <n v="1949.5914813219715"/>
  </r>
  <r>
    <x v="0"/>
    <x v="8"/>
    <x v="260"/>
    <n v="0.21299999999999999"/>
    <n v="0.151"/>
    <n v="20.737378012546639"/>
    <n v="10289.7923283256"/>
    <n v="55304.942048707497"/>
    <n v="1849.8768808654745"/>
    <n v="0"/>
    <n v="398.11"/>
    <n v="2.9063622456801426"/>
    <n v="1767.3905705699519"/>
    <n v="70.98"/>
    <n v="70.98"/>
    <n v="2.391586464540434E-2"/>
    <n v="100"/>
    <n v="249.17"/>
    <n v="897.56"/>
    <n v="470"/>
    <n v="897.56"/>
    <n v="1849.8768808654745"/>
    <n v="75399.587835053782"/>
    <n v="1949.7745356245391"/>
  </r>
  <r>
    <x v="0"/>
    <x v="8"/>
    <x v="261"/>
    <n v="0.21099999999999999"/>
    <n v="0.14799999999999999"/>
    <n v="19.379317321353781"/>
    <n v="10630.162780295799"/>
    <n v="55284.63707386364"/>
    <n v="1849.9186223047959"/>
    <n v="0"/>
    <n v="277.79000000000002"/>
    <n v="3.2337130136906813"/>
    <n v="6544.5713157118153"/>
    <n v="70.900000000000006"/>
    <n v="70.900000000000006"/>
    <n v="2.397530681932487E-2"/>
    <n v="100"/>
    <n v="312.13"/>
    <n v="536.27"/>
    <n v="470"/>
    <n v="536.27"/>
    <n v="1849.9186223047959"/>
    <n v="75209.332733344898"/>
    <n v="1949.997749704524"/>
  </r>
  <r>
    <x v="0"/>
    <x v="8"/>
    <x v="262"/>
    <n v="0.214"/>
    <n v="0.14599999999999999"/>
    <n v="20.009763231879717"/>
    <n v="11017.858386916638"/>
    <n v="55298.25708600798"/>
    <n v="1849.9648617089913"/>
    <n v="0"/>
    <n v="0"/>
    <n v="3.2788005722305331"/>
    <n v="7852.556257048057"/>
    <n v="70.87"/>
    <n v="70.87"/>
    <n v="2.3947834988403933E-2"/>
    <n v="100"/>
    <n v="316.70999999999998"/>
    <n v="415.58"/>
    <n v="470"/>
    <n v="415.58"/>
    <n v="1849.9648617089913"/>
    <n v="75300.040032963225"/>
    <n v="1949.7348466776543"/>
  </r>
  <r>
    <x v="0"/>
    <x v="8"/>
    <x v="263"/>
    <n v="0.215"/>
    <n v="0.151"/>
    <n v="19.783742785536525"/>
    <n v="10890.775778945828"/>
    <n v="55307.946342600626"/>
    <n v="1850.0492840461811"/>
    <n v="0"/>
    <n v="0"/>
    <n v="2.9875479019159745"/>
    <n v="7767.7867200376259"/>
    <n v="70.87"/>
    <n v="70.87"/>
    <n v="2.3902039520011083E-2"/>
    <n v="100"/>
    <n v="276.5"/>
    <n v="423.94"/>
    <n v="470"/>
    <n v="423.94"/>
    <n v="1850.0492840461811"/>
    <n v="75451.648968815061"/>
    <n v="1949.6657808027192"/>
  </r>
  <r>
    <x v="0"/>
    <x v="8"/>
    <x v="264"/>
    <n v="0.214"/>
    <n v="0.151"/>
    <n v="17.759092518887861"/>
    <n v="11035.31750208731"/>
    <n v="55295.758639291293"/>
    <n v="1850.0437830038816"/>
    <n v="0"/>
    <n v="0"/>
    <n v="2.7894211684060872"/>
    <n v="7957.8423258181165"/>
    <n v="70.930000000000007"/>
    <n v="70.930000000000007"/>
    <n v="2.3892731791671205E-2"/>
    <n v="100"/>
    <n v="231.45"/>
    <n v="419.4"/>
    <n v="470"/>
    <n v="419.4"/>
    <n v="1850.0437830038816"/>
    <n v="75481.279455456286"/>
    <n v="1949.9577565560485"/>
  </r>
  <r>
    <x v="0"/>
    <x v="8"/>
    <x v="265"/>
    <n v="0.21199999999999999"/>
    <n v="0.154"/>
    <n v="18.382492119698455"/>
    <n v="10816.854097767393"/>
    <n v="55299.566826422626"/>
    <n v="1850.0701147816728"/>
    <n v="0"/>
    <n v="0"/>
    <n v="2923.2310944260366"/>
    <n v="7890.4005871573572"/>
    <n v="70.8"/>
    <n v="70.8"/>
    <n v="2.3952288169038514E-2"/>
    <n v="100"/>
    <n v="660.48"/>
    <n v="422.23"/>
    <n v="660.48"/>
    <n v="422.23"/>
    <n v="1850.0701147816728"/>
    <n v="75289.22617756766"/>
    <n v="1950.5807972470559"/>
  </r>
  <r>
    <x v="0"/>
    <x v="8"/>
    <x v="266"/>
    <n v="0.214"/>
    <n v="0.152"/>
    <n v="19.342096529926881"/>
    <n v="10833.477846059594"/>
    <n v="55293.155604831714"/>
    <n v="1850.088666419533"/>
    <n v="0"/>
    <n v="0"/>
    <n v="5707.8298159704536"/>
    <n v="7884.2781170031667"/>
    <n v="70.8"/>
    <n v="70.8"/>
    <n v="2.394968875997287E-2"/>
    <n v="100"/>
    <n v="466.75"/>
    <n v="420.8"/>
    <n v="466.75"/>
    <n v="420.8"/>
    <n v="1850.088666419533"/>
    <n v="75298.768254467388"/>
    <n v="1950.1966469716397"/>
  </r>
  <r>
    <x v="0"/>
    <x v="8"/>
    <x v="267"/>
    <n v="0.21099999999999999"/>
    <n v="0.159"/>
    <n v="19.557715648251389"/>
    <n v="10780.486796414163"/>
    <n v="55239.552632720333"/>
    <n v="1849.9137173824056"/>
    <n v="0"/>
    <n v="0"/>
    <n v="3.2854688050099994"/>
    <n v="7864.3650490246573"/>
    <n v="70.92"/>
    <n v="70.92"/>
    <n v="2.39974796169867E-2"/>
    <n v="100"/>
    <n v="321.93"/>
    <n v="421.87"/>
    <n v="470"/>
    <n v="421.87"/>
    <n v="1849.9137173824056"/>
    <n v="75137.382481783483"/>
    <n v="1950.4511952555731"/>
  </r>
  <r>
    <x v="0"/>
    <x v="8"/>
    <x v="268"/>
    <n v="0.214"/>
    <n v="0.158"/>
    <n v="20.341240966923944"/>
    <n v="10862.932777124175"/>
    <n v="55302.313860817143"/>
    <n v="1850.1022820456171"/>
    <n v="0"/>
    <n v="0"/>
    <n v="3.3011831454648317"/>
    <n v="7871.8203240208622"/>
    <n v="70.849999999999994"/>
    <n v="70.849999999999994"/>
    <n v="2.3950172331951302E-2"/>
    <n v="100"/>
    <n v="333.36"/>
    <n v="420.59"/>
    <n v="470"/>
    <n v="420.59"/>
    <n v="1850.1022820456171"/>
    <n v="75297.753057772381"/>
    <n v="1950.2206270534243"/>
  </r>
  <r>
    <x v="0"/>
    <x v="8"/>
    <x v="269"/>
    <n v="0.214"/>
    <n v="0.16200000000000001"/>
    <n v="20.589641343380823"/>
    <n v="11073.288930348934"/>
    <n v="55301.468958730919"/>
    <n v="1850.106275464494"/>
    <n v="0"/>
    <n v="0"/>
    <n v="3.0853081077109765"/>
    <n v="7768.926386772966"/>
    <n v="70.8"/>
    <n v="70.8"/>
    <n v="2.3946092963474542E-2"/>
    <n v="100"/>
    <n v="306.23"/>
    <n v="420.25"/>
    <n v="470"/>
    <n v="420.25"/>
    <n v="1850.106275464494"/>
    <n v="75311.494882026367"/>
    <n v="1949.8052510057032"/>
  </r>
  <r>
    <x v="0"/>
    <x v="8"/>
    <x v="270"/>
    <n v="0.21299999999999999"/>
    <n v="0.159"/>
    <n v="20.522829164323667"/>
    <n v="10852.343970929476"/>
    <n v="55297.329832798401"/>
    <n v="1850.0253954535967"/>
    <n v="0"/>
    <n v="0"/>
    <n v="3.4177940919281791"/>
    <n v="7708.4368267072559"/>
    <n v="70.900000000000006"/>
    <n v="70.900000000000006"/>
    <n v="2.3948050254992664E-2"/>
    <n v="100"/>
    <n v="364.44"/>
    <n v="415.51"/>
    <n v="470"/>
    <n v="415.51"/>
    <n v="1850.0253954535967"/>
    <n v="75301.6753827637"/>
    <n v="1949.9328172777696"/>
  </r>
  <r>
    <x v="0"/>
    <x v="8"/>
    <x v="271"/>
    <n v="0.214"/>
    <n v="0.16400000000000001"/>
    <n v="20.709522711908047"/>
    <n v="10615.674743694701"/>
    <n v="55306.676163471544"/>
    <n v="1850.1324361235961"/>
    <n v="0"/>
    <n v="0"/>
    <n v="3.1723890805889714"/>
    <n v="7682.4356207440578"/>
    <n v="71"/>
    <n v="71"/>
    <n v="2.3946916210062723E-2"/>
    <n v="100"/>
    <n v="340.99"/>
    <n v="418.44"/>
    <n v="470"/>
    <n v="418.44"/>
    <n v="1850.1324361235961"/>
    <n v="75309.586159784871"/>
    <n v="1950.1503296322001"/>
  </r>
  <r>
    <x v="0"/>
    <x v="8"/>
    <x v="272"/>
    <n v="0.215"/>
    <n v="0.16300000000000001"/>
    <n v="20.54215459671391"/>
    <n v="10677.03545240393"/>
    <n v="55300.553979983517"/>
    <n v="1849.9288242824537"/>
    <n v="0"/>
    <n v="0"/>
    <n v="3.5787700989180142"/>
    <n v="7592.9036279872907"/>
    <n v="70.959999999999994"/>
    <n v="70.959999999999994"/>
    <n v="2.3952466242408987E-2"/>
    <n v="100"/>
    <n v="392.2"/>
    <n v="423.74"/>
    <n v="470"/>
    <n v="423.74"/>
    <n v="1849.9288242824537"/>
    <n v="75283.327062369877"/>
    <n v="1950.006889983898"/>
  </r>
  <r>
    <x v="0"/>
    <x v="8"/>
    <x v="273"/>
    <n v="0.21199999999999999"/>
    <n v="0.16400000000000001"/>
    <n v="20.276613767572279"/>
    <n v="10682.034147835704"/>
    <n v="55304.334367951946"/>
    <n v="1850.1752318912377"/>
    <n v="0"/>
    <n v="0"/>
    <n v="2860.5225392275597"/>
    <n v="7547.1295446413069"/>
    <n v="70.959999999999994"/>
    <n v="70.959999999999994"/>
    <n v="2.3960086525198491E-2"/>
    <n v="100"/>
    <n v="653.84"/>
    <n v="423.82"/>
    <n v="653.84"/>
    <n v="423.82"/>
    <n v="1850.1752318912377"/>
    <n v="75269.009693789034"/>
    <n v="1950.0450014197768"/>
  </r>
  <r>
    <x v="0"/>
    <x v="9"/>
    <x v="274"/>
    <n v="0.20899999999999999"/>
    <n v="0.157"/>
    <n v="19.302236697311457"/>
    <n v="10808.374695036"/>
    <n v="55301.441080955075"/>
    <n v="1849.9652054711896"/>
    <n v="0"/>
    <n v="0"/>
    <n v="6789.7886572367279"/>
    <n v="7513.8624466651836"/>
    <n v="70.930000000000007"/>
    <n v="70.930000000000007"/>
    <n v="2.3945509732140088E-2"/>
    <n v="100"/>
    <n v="472.19"/>
    <n v="426.21"/>
    <n v="472.19"/>
    <n v="426.21"/>
    <n v="1849.9652054711896"/>
    <n v="75307.445795020816"/>
    <n v="1949.8448688790336"/>
  </r>
  <r>
    <x v="0"/>
    <x v="9"/>
    <x v="275"/>
    <n v="0.21099999999999999"/>
    <n v="0.157"/>
    <n v="16.705991561010759"/>
    <n v="11047.069354248048"/>
    <n v="55297.531689148163"/>
    <n v="1835.7992356755019"/>
    <n v="0"/>
    <n v="0"/>
    <n v="6150.2017448064271"/>
    <n v="7722.5928984727407"/>
    <n v="70.900000000000006"/>
    <n v="70.900000000000006"/>
    <n v="2.3768477807904812E-2"/>
    <n v="100"/>
    <n v="472.25"/>
    <n v="428.12"/>
    <n v="472.25"/>
    <n v="428.12"/>
    <n v="1835.7992356755019"/>
    <n v="75300.896599583619"/>
    <n v="1935.8221550755495"/>
  </r>
  <r>
    <x v="0"/>
    <x v="9"/>
    <x v="276"/>
    <n v="0.20899999999999999"/>
    <n v="0.154"/>
    <n v="16.516552989312341"/>
    <n v="11131.949772019572"/>
    <n v="55293.948793155789"/>
    <n v="1799.8579402290889"/>
    <n v="0"/>
    <n v="0"/>
    <n v="3.1445678106866555"/>
    <n v="7751.2262439820433"/>
    <n v="70.900000000000006"/>
    <n v="70.900000000000006"/>
    <n v="2.3312897081688065E-2"/>
    <n v="100"/>
    <n v="310.10000000000002"/>
    <n v="425.74"/>
    <n v="470"/>
    <n v="425.74"/>
    <n v="1799.8579402290889"/>
    <n v="75304.422872571129"/>
    <n v="1899.964635442645"/>
  </r>
  <r>
    <x v="0"/>
    <x v="9"/>
    <x v="277"/>
    <n v="0.20899999999999999"/>
    <n v="0.158"/>
    <n v="15.596504867283691"/>
    <n v="11050.834311703027"/>
    <n v="55308.619871183197"/>
    <n v="1800.0427602732209"/>
    <n v="0"/>
    <n v="0"/>
    <n v="238.2308692549104"/>
    <n v="7800.0412511249779"/>
    <n v="70.8"/>
    <n v="70.8"/>
    <n v="2.3298010021888086E-2"/>
    <n v="100"/>
    <n v="2882.23"/>
    <n v="421.13"/>
    <n v="2882.23"/>
    <n v="421.13"/>
    <n v="1800.0427602732209"/>
    <n v="75361.598857130462"/>
    <n v="1900.0539012858635"/>
  </r>
  <r>
    <x v="0"/>
    <x v="9"/>
    <x v="278"/>
    <n v="0.21"/>
    <n v="0.154"/>
    <n v="14.570225303988751"/>
    <n v="11001.885634433553"/>
    <n v="55296.305449232306"/>
    <n v="1799.9653122085899"/>
    <n v="0"/>
    <n v="0"/>
    <n v="6959.0187017479184"/>
    <n v="7842.666663842926"/>
    <n v="70.709999999999994"/>
    <n v="70.709999999999994"/>
    <n v="2.3273569745387912E-2"/>
    <n v="100"/>
    <n v="461.53"/>
    <n v="418.7"/>
    <n v="461.53"/>
    <n v="418.7"/>
    <n v="1799.9653122085899"/>
    <n v="75439.157963219986"/>
    <n v="1900.3018575187857"/>
  </r>
  <r>
    <x v="0"/>
    <x v="9"/>
    <x v="279"/>
    <n v="0.20899999999999999"/>
    <n v="0.154"/>
    <n v="14.557288644381648"/>
    <n v="10954.462776094077"/>
    <n v="55292.009571803435"/>
    <n v="1799.9655169580317"/>
    <n v="0"/>
    <n v="0"/>
    <n v="6912.0479840524158"/>
    <n v="7742.126350990523"/>
    <n v="70.680000000000007"/>
    <n v="70.680000000000007"/>
    <n v="2.3294784443145602E-2"/>
    <n v="100"/>
    <n v="462.27"/>
    <n v="427.71"/>
    <n v="462.27"/>
    <n v="427.71"/>
    <n v="1799.9655169580317"/>
    <n v="75369.056915770299"/>
    <n v="1899.9781916854615"/>
  </r>
  <r>
    <x v="0"/>
    <x v="9"/>
    <x v="280"/>
    <n v="0.20899999999999999"/>
    <n v="0.14799999999999999"/>
    <n v="15.858986976988856"/>
    <n v="10802.372615859213"/>
    <n v="55307.974488744803"/>
    <n v="1799.8957075639205"/>
    <n v="0"/>
    <n v="0"/>
    <n v="2900.3609207901668"/>
    <n v="7690.6828902997058"/>
    <n v="70.81"/>
    <n v="70.81"/>
    <n v="2.3310549782190253E-2"/>
    <n v="100"/>
    <n v="462.37"/>
    <n v="428.77"/>
    <n v="462.37"/>
    <n v="428.77"/>
    <n v="1799.8957075639205"/>
    <n v="75313.727120922966"/>
    <n v="1900.0548096550249"/>
  </r>
  <r>
    <x v="0"/>
    <x v="9"/>
    <x v="281"/>
    <n v="0.20899999999999999"/>
    <n v="0.16300000000000001"/>
    <n v="15.897603136892537"/>
    <n v="10928.746076129855"/>
    <n v="55298.727888076857"/>
    <n v="1800.0884905569592"/>
    <n v="0"/>
    <n v="0"/>
    <n v="2.6069170295323536"/>
    <n v="7706.8601570632372"/>
    <n v="70.81"/>
    <n v="70.81"/>
    <n v="2.3323037913520188E-2"/>
    <n v="100"/>
    <n v="171.59"/>
    <n v="427.12"/>
    <n v="470"/>
    <n v="427.12"/>
    <n v="1800.0884905569592"/>
    <n v="75281.07576119015"/>
    <n v="1899.6284520230631"/>
  </r>
  <r>
    <x v="0"/>
    <x v="9"/>
    <x v="282"/>
    <n v="0.21099999999999999"/>
    <n v="0.155"/>
    <n v="16.82772586578962"/>
    <n v="10945.899944022163"/>
    <n v="55296.680948017871"/>
    <n v="1799.9117244426614"/>
    <n v="0"/>
    <n v="0"/>
    <n v="2.9794957842949277"/>
    <n v="7734.2896975028189"/>
    <n v="70.739999999999995"/>
    <n v="70.739999999999995"/>
    <n v="2.3317012646423777E-2"/>
    <n v="100"/>
    <n v="251.01"/>
    <n v="426.16"/>
    <n v="470"/>
    <n v="426.16"/>
    <n v="1799.9117244426614"/>
    <n v="75293.764611164122"/>
    <n v="1899.3026027322064"/>
  </r>
  <r>
    <x v="0"/>
    <x v="9"/>
    <x v="283"/>
    <n v="0.21099999999999999"/>
    <n v="0.156"/>
    <n v="17.581710321716265"/>
    <n v="11015.74677754706"/>
    <n v="55304.707736055694"/>
    <n v="1788.0981092909656"/>
    <n v="0"/>
    <n v="0"/>
    <n v="3.1340534581151962"/>
    <n v="7684.0541717719898"/>
    <n v="70.8"/>
    <n v="70.8"/>
    <n v="2.3162878709060416E-2"/>
    <n v="100"/>
    <n v="313.27999999999997"/>
    <n v="427.46"/>
    <n v="470"/>
    <n v="427.46"/>
    <n v="1788.0981092909656"/>
    <n v="75308.879684247033"/>
    <n v="1887.8337187174704"/>
  </r>
  <r>
    <x v="0"/>
    <x v="9"/>
    <x v="284"/>
    <n v="0.21199999999999999"/>
    <n v="0.15"/>
    <n v="17.801185885872137"/>
    <n v="11046.162372999435"/>
    <n v="55297.623454849061"/>
    <n v="1749.8599506195512"/>
    <n v="0"/>
    <n v="0"/>
    <n v="3.1970467628661665"/>
    <n v="7695.81213065471"/>
    <n v="70.91"/>
    <n v="70.91"/>
    <n v="2.2680938784371284E-2"/>
    <n v="100"/>
    <n v="325.51"/>
    <n v="427.68"/>
    <n v="470"/>
    <n v="427.68"/>
    <n v="1749.8599506195512"/>
    <n v="75301.236793025673"/>
    <n v="1849.8885309985744"/>
  </r>
  <r>
    <x v="0"/>
    <x v="9"/>
    <x v="285"/>
    <n v="0.21"/>
    <n v="0.154"/>
    <n v="16.905842394567379"/>
    <n v="10708.159590372354"/>
    <n v="55286.522889920197"/>
    <n v="1749.9440068305159"/>
    <n v="0"/>
    <n v="0"/>
    <n v="2.9855487902187607"/>
    <n v="7595.1773030203631"/>
    <n v="70.86"/>
    <n v="70.86"/>
    <n v="2.2682604873288107E-2"/>
    <n v="100"/>
    <n v="258.43"/>
    <n v="429.59"/>
    <n v="470"/>
    <n v="429.59"/>
    <n v="1749.9440068305159"/>
    <n v="75298.94256375781"/>
    <n v="1850.2215911632277"/>
  </r>
  <r>
    <x v="0"/>
    <x v="9"/>
    <x v="286"/>
    <n v="0.20799999999999999"/>
    <n v="0.14399999999999999"/>
    <n v="15.369524796914094"/>
    <n v="10807.914332223716"/>
    <n v="55301.004960747741"/>
    <n v="1750.0723863399169"/>
    <n v="0"/>
    <n v="0"/>
    <n v="6596.4624309220844"/>
    <n v="7671.4681014432254"/>
    <n v="70.73"/>
    <n v="70.73"/>
    <n v="2.2688024821026748E-2"/>
    <n v="100"/>
    <n v="466.23"/>
    <n v="426.13"/>
    <n v="466.23"/>
    <n v="426.13"/>
    <n v="1750.0723863399169"/>
    <n v="75286.403035001742"/>
    <n v="1849.989407498997"/>
  </r>
  <r>
    <x v="0"/>
    <x v="9"/>
    <x v="287"/>
    <n v="0.20799999999999999"/>
    <n v="0.14699999999999999"/>
    <n v="14.308932643231216"/>
    <n v="10939.252962216991"/>
    <n v="55300.221718316272"/>
    <n v="1749.8687816993136"/>
    <n v="0"/>
    <n v="0"/>
    <n v="5251.1656686740153"/>
    <n v="7812.3663393612296"/>
    <n v="70.709999999999994"/>
    <n v="70.709999999999994"/>
    <n v="2.267892456163555E-2"/>
    <n v="100"/>
    <n v="466.11"/>
    <n v="417.58"/>
    <n v="466.11"/>
    <n v="417.58"/>
    <n v="1749.8687816993136"/>
    <n v="75308.28056688064"/>
    <n v="1850.086309979642"/>
  </r>
  <r>
    <x v="0"/>
    <x v="9"/>
    <x v="288"/>
    <n v="0.255"/>
    <n v="0.23200000000000001"/>
    <n v="14.796413980202075"/>
    <n v="11409.90387602468"/>
    <n v="56458.505107130462"/>
    <n v="1749.8294714160631"/>
    <n v="0"/>
    <n v="159.36000000000001"/>
    <n v="2.3186263930452338"/>
    <n v="7699.2201423300876"/>
    <n v="71.09"/>
    <n v="71.09"/>
    <n v="2.2253022691611835E-2"/>
    <n v="100"/>
    <n v="70.55"/>
    <n v="425.73"/>
    <n v="470"/>
    <n v="425.73"/>
    <n v="1749.8294714160631"/>
    <n v="76783.339293459401"/>
    <n v="1849.9994518272088"/>
  </r>
  <r>
    <x v="0"/>
    <x v="9"/>
    <x v="289"/>
    <n v="0.20699999999999999"/>
    <n v="0.15"/>
    <n v="15.018063216305377"/>
    <n v="12177.457017696044"/>
    <n v="57286.539927242367"/>
    <n v="1750.0589122679562"/>
    <n v="0"/>
    <n v="237.39"/>
    <n v="3.0221512264028614"/>
    <n v="7536.5930729799184"/>
    <n v="71.62"/>
    <n v="71.62"/>
    <n v="2.1978778867501231E-2"/>
    <n v="100"/>
    <n v="225.34"/>
    <n v="435.27"/>
    <n v="470"/>
    <n v="435.27"/>
    <n v="1750.0589122679562"/>
    <n v="77774.870369968761"/>
    <n v="1850.06797706874"/>
  </r>
  <r>
    <x v="0"/>
    <x v="9"/>
    <x v="290"/>
    <n v="0.20799999999999999"/>
    <n v="0.153"/>
    <n v="14.296965325730778"/>
    <n v="12187.839521843554"/>
    <n v="57275.645742973633"/>
    <n v="1755.5935760858074"/>
    <n v="0"/>
    <n v="251.31"/>
    <n v="2.492208274183465"/>
    <n v="7631.590671218989"/>
    <n v="71.709999999999994"/>
    <n v="71.709999999999994"/>
    <n v="2.2061073321822409E-2"/>
    <n v="100"/>
    <n v="33032.86"/>
    <n v="429.02"/>
    <n v="470"/>
    <n v="429.02"/>
    <n v="1755.5935760858074"/>
    <n v="77729.178608605129"/>
    <n v="1849.6138860105559"/>
  </r>
  <r>
    <x v="0"/>
    <x v="9"/>
    <x v="291"/>
    <n v="0.20399999999999999"/>
    <n v="0.15"/>
    <n v="15.578745478643963"/>
    <n v="12181.297705857478"/>
    <n v="57147.888873828939"/>
    <n v="1849.9151244524203"/>
    <n v="0"/>
    <n v="255.18"/>
    <n v="3243.3443445753173"/>
    <n v="7617.7329840253069"/>
    <n v="71.66"/>
    <n v="71.66"/>
    <n v="2.3307669660290638E-2"/>
    <n v="100"/>
    <n v="616.29"/>
    <n v="429.17"/>
    <n v="616.29"/>
    <n v="429.17"/>
    <n v="1849.9151244524203"/>
    <n v="77519.600987812286"/>
    <n v="1849.7719016674075"/>
  </r>
  <r>
    <x v="0"/>
    <x v="9"/>
    <x v="292"/>
    <n v="0.23499999999999999"/>
    <n v="0.152"/>
    <n v="15.56693210575334"/>
    <n v="12273.978222181862"/>
    <n v="57452.533565015619"/>
    <n v="1850.0467412394007"/>
    <n v="0"/>
    <n v="257.47000000000003"/>
    <n v="7068.5556769387576"/>
    <n v="7568.9185146355612"/>
    <n v="71.42"/>
    <n v="71.42"/>
    <n v="2.3190213725742957E-2"/>
    <n v="100"/>
    <n v="454.47"/>
    <n v="429.36"/>
    <n v="454.47"/>
    <n v="429.36"/>
    <n v="1850.0467412394007"/>
    <n v="77926.518769517701"/>
    <n v="1850.5269756753935"/>
  </r>
  <r>
    <x v="0"/>
    <x v="9"/>
    <x v="293"/>
    <n v="0.21199999999999999"/>
    <n v="0.159"/>
    <n v="16.472989059834742"/>
    <n v="12316.236662907702"/>
    <n v="57363.35791930517"/>
    <n v="1879.4209622258036"/>
    <n v="0"/>
    <n v="258.25"/>
    <n v="627.74618750599666"/>
    <n v="7573.393568919153"/>
    <n v="71.19"/>
    <n v="71.19"/>
    <n v="2.3555558696574466E-2"/>
    <n v="100"/>
    <n v="454.8"/>
    <n v="430.63"/>
    <n v="454.8"/>
    <n v="430.63"/>
    <n v="1879.4209622258036"/>
    <n v="77907.42931341083"/>
    <n v="1879.2990098327173"/>
  </r>
  <r>
    <x v="0"/>
    <x v="9"/>
    <x v="294"/>
    <n v="0.20899999999999999"/>
    <n v="0.161"/>
    <n v="15.397560755632387"/>
    <n v="12326.356847864979"/>
    <n v="56992.759316989075"/>
    <n v="1900.0287858908744"/>
    <n v="0"/>
    <n v="245.81"/>
    <n v="2.9157478134306167"/>
    <n v="7504.0261096623444"/>
    <n v="71.25"/>
    <n v="71.25"/>
    <n v="2.3991782929485818E-2"/>
    <n v="100"/>
    <n v="107.79"/>
    <n v="435.15"/>
    <n v="470"/>
    <n v="435.15"/>
    <n v="1900.0287858908744"/>
    <n v="77294.467394604435"/>
    <n v="1900.5132983788112"/>
  </r>
  <r>
    <x v="0"/>
    <x v="9"/>
    <x v="295"/>
    <n v="0.21099999999999999"/>
    <n v="0.156"/>
    <n v="15.155625871450516"/>
    <n v="12328.717899489287"/>
    <n v="57014.284172232823"/>
    <n v="1900.1270042911824"/>
    <n v="0"/>
    <n v="252.25"/>
    <n v="1.9305736380761731"/>
    <n v="2712.5549878822812"/>
    <n v="71.260000000000005"/>
    <n v="71.260000000000005"/>
    <n v="2.3988264907261494E-2"/>
    <n v="100"/>
    <n v="-169.31"/>
    <n v="693.13"/>
    <n v="470"/>
    <n v="693.13"/>
    <n v="1900.1270042911824"/>
    <n v="77311.052838740463"/>
    <n v="1899.636706212591"/>
  </r>
  <r>
    <x v="0"/>
    <x v="9"/>
    <x v="296"/>
    <n v="0.21299999999999999"/>
    <n v="0.157"/>
    <n v="13.69969195710711"/>
    <n v="12335.410827170799"/>
    <n v="56983.023334489939"/>
    <n v="1899.9158180760976"/>
    <n v="0"/>
    <n v="236.86"/>
    <n v="1.8582443477046895"/>
    <n v="7545.8090505183036"/>
    <n v="71.3"/>
    <n v="71.3"/>
    <n v="2.3984611965408641E-2"/>
    <n v="100"/>
    <n v="-189.42"/>
    <n v="432.95"/>
    <n v="470"/>
    <n v="432.95"/>
    <n v="1899.9158180760976"/>
    <n v="77314.038775156121"/>
    <n v="1899.9097688610068"/>
  </r>
  <r>
    <x v="0"/>
    <x v="9"/>
    <x v="297"/>
    <n v="0.20699999999999999"/>
    <n v="0.151"/>
    <n v="14.709664152861468"/>
    <n v="12328.538926960444"/>
    <n v="56995.193696868497"/>
    <n v="1800.270038167939"/>
    <n v="0"/>
    <n v="226.63"/>
    <n v="1.8948048584163188"/>
    <n v="7481.1782843267492"/>
    <n v="71.260000000000005"/>
    <n v="71.260000000000005"/>
    <n v="2.2750963509141364E-2"/>
    <n v="100"/>
    <n v="-177.73"/>
    <n v="437.06"/>
    <n v="470"/>
    <n v="437.06"/>
    <n v="1800.270038167939"/>
    <n v="77279.919820220326"/>
    <n v="1849.4778180198484"/>
  </r>
  <r>
    <x v="0"/>
    <x v="9"/>
    <x v="298"/>
    <n v="0.20599999999999999"/>
    <n v="0.155"/>
    <n v="15.929952349454307"/>
    <n v="12320.662453645473"/>
    <n v="56997.544405469293"/>
    <n v="1799.9795777468446"/>
    <n v="0"/>
    <n v="248.12"/>
    <n v="2.072534372540169"/>
    <n v="5161.1381230516063"/>
    <n v="71.22"/>
    <n v="71.22"/>
    <n v="2.274372263582965E-2"/>
    <n v="100"/>
    <n v="-100.82"/>
    <n v="503.02"/>
    <n v="470"/>
    <n v="503.02"/>
    <n v="1799.9795777468446"/>
    <n v="77292.459923664122"/>
    <n v="1849.358967110649"/>
  </r>
  <r>
    <x v="0"/>
    <x v="9"/>
    <x v="299"/>
    <n v="0.20699999999999999"/>
    <n v="0.158"/>
    <n v="15.891674056969777"/>
    <n v="11685.468610394257"/>
    <n v="56419.938882503469"/>
    <n v="1750.8235058966484"/>
    <n v="0"/>
    <n v="120.02"/>
    <n v="2575.9040493932471"/>
    <n v="1065.7403972829472"/>
    <n v="71.06"/>
    <n v="71.06"/>
    <n v="2.2308616308259324E-2"/>
    <n v="100"/>
    <n v="692.27"/>
    <n v="961.01"/>
    <n v="692.27"/>
    <n v="961.01"/>
    <n v="1750.8235058966484"/>
    <n v="76680.717063887918"/>
    <n v="1801.2238016439592"/>
  </r>
  <r>
    <x v="0"/>
    <x v="9"/>
    <x v="300"/>
    <n v="0.20899999999999999"/>
    <n v="0.157"/>
    <n v="14.567469940344385"/>
    <n v="10968.338129174619"/>
    <n v="55998.512979267871"/>
    <n v="1700.0433319960098"/>
    <n v="0"/>
    <n v="0"/>
    <n v="4868.925630210837"/>
    <n v="7496.650264234363"/>
    <n v="70.89"/>
    <n v="70.89"/>
    <n v="2.1839230186444604E-2"/>
    <n v="100"/>
    <n v="463.8"/>
    <n v="437.67"/>
    <n v="463.8"/>
    <n v="437.67"/>
    <n v="1700.0433319960098"/>
    <n v="76093.156559030191"/>
    <n v="1750.399165347415"/>
  </r>
  <r>
    <x v="0"/>
    <x v="9"/>
    <x v="301"/>
    <n v="0.20899999999999999"/>
    <n v="0.151"/>
    <n v="13.717737123752782"/>
    <n v="11050.248753036089"/>
    <n v="55944.75612096634"/>
    <n v="1699.9515705307188"/>
    <n v="0"/>
    <n v="0"/>
    <n v="2.1468660699915838"/>
    <n v="7351.9107424585791"/>
    <n v="70.900000000000006"/>
    <n v="70.900000000000006"/>
    <n v="2.1853265203064839E-2"/>
    <n v="100"/>
    <n v="5.58"/>
    <n v="445.06"/>
    <n v="470"/>
    <n v="445.06"/>
    <n v="1699.9515705307188"/>
    <n v="76039.217931341089"/>
    <n v="1750.1446528967515"/>
  </r>
  <r>
    <x v="0"/>
    <x v="9"/>
    <x v="302"/>
    <n v="0.20699999999999999"/>
    <n v="0.14899999999999999"/>
    <n v="13.832628594927288"/>
    <n v="10782.966136119663"/>
    <n v="55985.956892999653"/>
    <n v="1700.0193859685385"/>
    <n v="0"/>
    <n v="0"/>
    <n v="2.3898881768121396"/>
    <n v="7438.3024436426531"/>
    <n v="70.95"/>
    <n v="70.95"/>
    <n v="2.1809560373124315E-2"/>
    <n v="100"/>
    <n v="43.29"/>
    <n v="439.59"/>
    <n v="470"/>
    <n v="439.59"/>
    <n v="1700.0193859685385"/>
    <n v="76198.420400329633"/>
    <n v="1749.9360490490544"/>
  </r>
  <r>
    <x v="0"/>
    <x v="9"/>
    <x v="303"/>
    <n v="0.21"/>
    <n v="0.157"/>
    <n v="14.443155583203623"/>
    <n v="10868.689293866022"/>
    <n v="56001.41781965649"/>
    <n v="1699.8864031969715"/>
    <n v="0"/>
    <n v="0.03"/>
    <n v="2.4295805020104009"/>
    <n v="7446.3209268330365"/>
    <n v="70.98"/>
    <n v="70.98"/>
    <n v="2.1834999004606649E-2"/>
    <n v="100"/>
    <n v="2445.8000000000002"/>
    <n v="439.61"/>
    <n v="470"/>
    <n v="439.61"/>
    <n v="1699.8864031969715"/>
    <n v="76101.596753556558"/>
    <n v="1749.8564495481112"/>
  </r>
  <r>
    <x v="0"/>
    <x v="9"/>
    <x v="304"/>
    <n v="0.20899999999999999"/>
    <n v="0.155"/>
    <n v="14.460767520293023"/>
    <n v="10977.533877434293"/>
    <n v="55961.199717535565"/>
    <n v="1699.8105209530599"/>
    <n v="0"/>
    <n v="0"/>
    <n v="2.166152655954249"/>
    <n v="7461.5589566571598"/>
    <n v="70.94"/>
    <n v="70.94"/>
    <n v="2.1839265417700798E-2"/>
    <n v="100"/>
    <n v="-68.78"/>
    <n v="438.38"/>
    <n v="470"/>
    <n v="438.38"/>
    <n v="1699.8105209530599"/>
    <n v="76082.407187933728"/>
    <n v="1750.3627538317032"/>
  </r>
  <r>
    <x v="0"/>
    <x v="10"/>
    <x v="305"/>
    <n v="0.20799999999999999"/>
    <n v="0.15"/>
    <n v="13.126567936610508"/>
    <n v="10878.168701341299"/>
    <n v="55954.756704266154"/>
    <n v="1699.8691669421253"/>
    <n v="0"/>
    <n v="0"/>
    <n v="63.033855594875583"/>
    <n v="7420.1309637404574"/>
    <n v="70.900000000000006"/>
    <n v="70.900000000000006"/>
    <n v="2.1863842416646243E-2"/>
    <n v="100"/>
    <n v="16121.87"/>
    <n v="440.38"/>
    <n v="470"/>
    <n v="440.38"/>
    <n v="1699.8691669421253"/>
    <n v="75997.662361745082"/>
    <n v="1750.2986118445235"/>
  </r>
  <r>
    <x v="0"/>
    <x v="10"/>
    <x v="306"/>
    <n v="0.20699999999999999"/>
    <n v="0.14899999999999999"/>
    <n v="12.902099919765876"/>
    <n v="10778.217852728139"/>
    <n v="56002.109168979878"/>
    <n v="1700.0589885089564"/>
    <n v="0"/>
    <n v="0"/>
    <n v="7238.9786262591615"/>
    <n v="7210.810863226232"/>
    <n v="70.94"/>
    <n v="70.94"/>
    <n v="2.1854614426639857E-2"/>
    <n v="100"/>
    <n v="475.88"/>
    <n v="451.82"/>
    <n v="475.88"/>
    <n v="451.82"/>
    <n v="1700.0589885089564"/>
    <n v="76039.67707429736"/>
    <n v="1749.7981971883671"/>
  </r>
  <r>
    <x v="0"/>
    <x v="10"/>
    <x v="307"/>
    <n v="0.20799999999999999"/>
    <n v="0.14899999999999999"/>
    <n v="12.963202584377186"/>
    <n v="10589.502075788298"/>
    <n v="56001.231959685123"/>
    <n v="1699.9189713191522"/>
    <n v="0"/>
    <n v="0"/>
    <n v="4060.7601370828006"/>
    <n v="7775.762631775011"/>
    <n v="70.91"/>
    <n v="70.91"/>
    <n v="2.1808171937811757E-2"/>
    <n v="100"/>
    <n v="482.96"/>
    <n v="419.03"/>
    <n v="482.96"/>
    <n v="419.03"/>
    <n v="1699.9189713191522"/>
    <n v="76198.710677264055"/>
    <n v="1750.0039681746346"/>
  </r>
  <r>
    <x v="0"/>
    <x v="10"/>
    <x v="308"/>
    <n v="0.21"/>
    <n v="0.152"/>
    <n v="13.923026671267316"/>
    <n v="10433.710371622354"/>
    <n v="55919.217982846108"/>
    <n v="1700.0555976481176"/>
    <n v="0"/>
    <n v="0"/>
    <n v="1.7743691334204903"/>
    <n v="7694.1155972821598"/>
    <n v="70.98"/>
    <n v="70.98"/>
    <n v="2.1822574814358814E-2"/>
    <n v="100"/>
    <n v="-198.57"/>
    <n v="420.54"/>
    <n v="470"/>
    <n v="420.54"/>
    <n v="1700.0555976481176"/>
    <n v="76153.381999262667"/>
    <n v="1750.1473555554951"/>
  </r>
  <r>
    <x v="0"/>
    <x v="10"/>
    <x v="309"/>
    <n v="0.20799999999999999"/>
    <n v="0.14399999999999999"/>
    <n v="15.426590057812492"/>
    <n v="10622.620054839304"/>
    <n v="55837.24735697866"/>
    <n v="1699.9370308637122"/>
    <n v="0"/>
    <n v="0"/>
    <n v="2.0361812266105583"/>
    <n v="7571.0090438768639"/>
    <n v="70.959999999999994"/>
    <n v="70.959999999999994"/>
    <n v="2.1863099401476984E-2"/>
    <n v="100"/>
    <n v="-105.59"/>
    <n v="427.88"/>
    <n v="470"/>
    <n v="427.88"/>
    <n v="1699.9370308637122"/>
    <n v="76003.961214000694"/>
    <n v="1749.7460553753633"/>
  </r>
  <r>
    <x v="0"/>
    <x v="10"/>
    <x v="310"/>
    <n v="0.20799999999999999"/>
    <n v="0.14299999999999999"/>
    <n v="13.240178091669977"/>
    <n v="10554.5823057176"/>
    <n v="56023.493727229354"/>
    <n v="1700.000219404656"/>
    <n v="0"/>
    <n v="0"/>
    <n v="2.026226357401121"/>
    <n v="7575.0571915932942"/>
    <n v="70.84"/>
    <n v="70.84"/>
    <n v="2.183587010306675E-2"/>
    <n v="100"/>
    <n v="-115.28"/>
    <n v="427.66"/>
    <n v="470"/>
    <n v="427.66"/>
    <n v="1700.000219404656"/>
    <n v="76103.632568528803"/>
    <n v="1749.9272566827781"/>
  </r>
  <r>
    <x v="0"/>
    <x v="10"/>
    <x v="311"/>
    <n v="0.21"/>
    <n v="0.154"/>
    <n v="12.156899870944624"/>
    <n v="10759.873963394435"/>
    <n v="55988.902042852184"/>
    <n v="1699.8934667562132"/>
    <n v="0"/>
    <n v="0"/>
    <n v="2.2356862428699578"/>
    <n v="7567.1235592145213"/>
    <n v="70.819999999999993"/>
    <n v="70.819999999999993"/>
    <n v="2.1812576681850937E-2"/>
    <n v="100"/>
    <n v="-37.94"/>
    <n v="427.3"/>
    <n v="470"/>
    <n v="427.3"/>
    <n v="1699.8934667562132"/>
    <n v="76182.101763098544"/>
    <n v="1749.7029727721365"/>
  </r>
  <r>
    <x v="0"/>
    <x v="10"/>
    <x v="312"/>
    <n v="0.20799999999999999"/>
    <n v="0.14099999999999999"/>
    <n v="12.493700280940674"/>
    <n v="10644.685688513837"/>
    <n v="56004.475323668463"/>
    <n v="1699.9338063776784"/>
    <n v="0"/>
    <n v="0"/>
    <n v="2.144794404051686"/>
    <n v="7640.4820010246804"/>
    <n v="70.739999999999995"/>
    <n v="70.739999999999995"/>
    <n v="2.1808717188400568E-2"/>
    <n v="100"/>
    <n v="-37.9"/>
    <n v="424.19"/>
    <n v="470"/>
    <n v="424.19"/>
    <n v="1699.9338063776784"/>
    <n v="76197.323511233524"/>
    <n v="1750.1225348743278"/>
  </r>
  <r>
    <x v="0"/>
    <x v="10"/>
    <x v="313"/>
    <n v="0.21099999999999999"/>
    <n v="0.153"/>
    <n v="13.701176463358109"/>
    <n v="10530.181221807772"/>
    <n v="56003.247701249129"/>
    <n v="1699.9329320628308"/>
    <n v="0"/>
    <n v="0"/>
    <n v="2931.6179661456285"/>
    <n v="7747.0153840784396"/>
    <n v="70.790000000000006"/>
    <n v="70.790000000000006"/>
    <n v="2.1805387807511189E-2"/>
    <n v="100"/>
    <n v="669.95"/>
    <n v="425.36"/>
    <n v="669.95"/>
    <n v="425.36"/>
    <n v="1699.9329320628308"/>
    <n v="76208.989070090218"/>
    <n v="1750.3183758091711"/>
  </r>
  <r>
    <x v="0"/>
    <x v="10"/>
    <x v="314"/>
    <n v="0.20499999999999999"/>
    <n v="0.153"/>
    <n v="13.355776917843418"/>
    <n v="10722.487690297536"/>
    <n v="55998.866929974851"/>
    <n v="1699.9503340711203"/>
    <n v="0"/>
    <n v="0"/>
    <n v="6898.38379170802"/>
    <n v="7564.7982344474603"/>
    <n v="70.81"/>
    <n v="70.81"/>
    <n v="2.180769585289067E-2"/>
    <n v="100"/>
    <n v="483.17"/>
    <n v="430.75"/>
    <n v="483.17"/>
    <n v="430.75"/>
    <n v="1699.9503340711203"/>
    <n v="76201.775221200558"/>
    <n v="1750.0792772556492"/>
  </r>
  <r>
    <x v="0"/>
    <x v="10"/>
    <x v="315"/>
    <n v="0.20899999999999999"/>
    <n v="0.14599999999999999"/>
    <n v="13.240917078742214"/>
    <n v="10475.440852570917"/>
    <n v="55998.673067748088"/>
    <n v="1699.8866155705132"/>
    <n v="0"/>
    <n v="0"/>
    <n v="2.1644819622483209"/>
    <n v="3423.2954780742948"/>
    <n v="70.760000000000005"/>
    <n v="70.760000000000005"/>
    <n v="2.1804100623299103E-2"/>
    <n v="100"/>
    <n v="59.38"/>
    <n v="781.1"/>
    <n v="470"/>
    <n v="781.1"/>
    <n v="1699.8866155705132"/>
    <n v="76212.287257113116"/>
    <n v="1749.4982317170693"/>
  </r>
  <r>
    <x v="0"/>
    <x v="10"/>
    <x v="316"/>
    <n v="0.20899999999999999"/>
    <n v="0.14499999999999999"/>
    <n v="13.965973166439948"/>
    <n v="10511.818852738985"/>
    <n v="55954.375322584143"/>
    <n v="1700.1541976769877"/>
    <n v="0"/>
    <n v="0"/>
    <n v="2.0051023584533945"/>
    <n v="7604.4265866938103"/>
    <n v="70.760000000000005"/>
    <n v="70.760000000000005"/>
    <n v="2.1811179528188503E-2"/>
    <n v="100"/>
    <n v="-67.319999999999993"/>
    <n v="424.9"/>
    <n v="470"/>
    <n v="424.9"/>
    <n v="1700.1541976769877"/>
    <n v="76199.050615891741"/>
    <n v="1749.7001831986522"/>
  </r>
  <r>
    <x v="0"/>
    <x v="10"/>
    <x v="317"/>
    <n v="0.20799999999999999"/>
    <n v="0.14499999999999999"/>
    <n v="14.211785200649794"/>
    <n v="10769.46500910826"/>
    <n v="56013.104639247918"/>
    <n v="1700.2060968741869"/>
    <n v="0"/>
    <n v="0"/>
    <n v="1.8372062937324865"/>
    <n v="7827.9478565774643"/>
    <n v="70.75"/>
    <n v="70.75"/>
    <n v="2.1815157309749526E-2"/>
    <n v="100"/>
    <n v="-218.83"/>
    <n v="416.38"/>
    <n v="470"/>
    <n v="416.38"/>
    <n v="1700.2060968741869"/>
    <n v="76187.211506766151"/>
    <n v="1749.705139456649"/>
  </r>
  <r>
    <x v="0"/>
    <x v="10"/>
    <x v="318"/>
    <n v="0.20899999999999999"/>
    <n v="0.14299999999999999"/>
    <n v="13.709012226128564"/>
    <n v="10887.819782540337"/>
    <n v="56004.616352576333"/>
    <n v="1699.7871412267957"/>
    <n v="0"/>
    <n v="0"/>
    <n v="1.7361487622562173"/>
    <n v="7532.8783657860204"/>
    <n v="70.89"/>
    <n v="70.89"/>
    <n v="2.18027881797433E-2"/>
    <n v="100"/>
    <n v="-228.19"/>
    <n v="428.08"/>
    <n v="470"/>
    <n v="428.08"/>
    <n v="1699.7871412267957"/>
    <n v="76211.995505508326"/>
    <n v="1749.9205216375349"/>
  </r>
  <r>
    <x v="0"/>
    <x v="10"/>
    <x v="319"/>
    <n v="0.20899999999999999"/>
    <n v="0.14799999999999999"/>
    <n v="13.517907709152148"/>
    <n v="11070.320975288429"/>
    <n v="55991.167797970164"/>
    <n v="1699.9317979355967"/>
    <n v="0"/>
    <n v="0"/>
    <n v="1.9506414881354817"/>
    <n v="7425.3561007031794"/>
    <n v="70.94"/>
    <n v="70.94"/>
    <n v="2.1810814516138449E-2"/>
    <n v="100"/>
    <n v="-148.34"/>
    <n v="430.61"/>
    <n v="470"/>
    <n v="430.61"/>
    <n v="1699.9317979355967"/>
    <n v="76190.48597978834"/>
    <n v="1749.372555882959"/>
  </r>
  <r>
    <x v="0"/>
    <x v="10"/>
    <x v="320"/>
    <n v="0.20699999999999999"/>
    <n v="0.14599999999999999"/>
    <n v="13.356639296209371"/>
    <n v="10859.734745022988"/>
    <n v="55998.676892674361"/>
    <n v="1699.9477362013956"/>
    <n v="0"/>
    <n v="0.02"/>
    <n v="2835.9553100271082"/>
    <n v="7408.5373729994371"/>
    <n v="70.959999999999994"/>
    <n v="70.959999999999994"/>
    <n v="2.1806918682824309E-2"/>
    <n v="100"/>
    <n v="688.31"/>
    <n v="430.97"/>
    <n v="688.31"/>
    <n v="430.97"/>
    <n v="1699.9477362013956"/>
    <n v="76203.914545020816"/>
    <n v="1750.5989250696673"/>
  </r>
  <r>
    <x v="0"/>
    <x v="10"/>
    <x v="321"/>
    <n v="0.23"/>
    <n v="0.14699999999999999"/>
    <n v="14.431889776882407"/>
    <n v="11786.462664273942"/>
    <n v="56539.405580434592"/>
    <n v="1730.3138074484409"/>
    <n v="0"/>
    <n v="180.89"/>
    <n v="6352.7416277064749"/>
    <n v="7357.7458463903104"/>
    <n v="71.45"/>
    <n v="71.45"/>
    <n v="2.2034367617535369E-2"/>
    <n v="100"/>
    <n v="492.4"/>
    <n v="433.62"/>
    <n v="492.4"/>
    <n v="433.62"/>
    <n v="1730.3138074484409"/>
    <n v="76747.195052264055"/>
    <n v="1780.7589822063671"/>
  </r>
  <r>
    <x v="0"/>
    <x v="10"/>
    <x v="322"/>
    <n v="0.20300000000000001"/>
    <n v="0.14699999999999999"/>
    <n v="13.162094105621907"/>
    <n v="12572.444352879944"/>
    <n v="56903.230612421939"/>
    <n v="1749.9728510881116"/>
    <n v="0"/>
    <n v="310.14"/>
    <n v="1.9156797660216121"/>
    <n v="7385.614199150933"/>
    <n v="71.86"/>
    <n v="71.86"/>
    <n v="2.2177714357589865E-2"/>
    <n v="100"/>
    <n v="-94.86"/>
    <n v="433.16"/>
    <n v="470"/>
    <n v="433.16"/>
    <n v="1749.9728510881116"/>
    <n v="77107.033624653021"/>
    <n v="1799.7835013967351"/>
  </r>
  <r>
    <x v="0"/>
    <x v="10"/>
    <x v="323"/>
    <n v="0.20699999999999999"/>
    <n v="0.152"/>
    <n v="12.404939238517173"/>
    <n v="12574.353443789036"/>
    <n v="56886.520165575123"/>
    <n v="1749.9739736097708"/>
    <n v="0"/>
    <n v="300.01"/>
    <n v="1.8935313977606176"/>
    <n v="7397.5935426244796"/>
    <n v="71.86"/>
    <n v="71.86"/>
    <n v="2.2174294630983079E-2"/>
    <n v="100"/>
    <n v="-126.7"/>
    <n v="432.41"/>
    <n v="470"/>
    <n v="432.41"/>
    <n v="1749.9739736097708"/>
    <n v="77118.752878860163"/>
    <n v="1800.2839036950793"/>
  </r>
  <r>
    <x v="0"/>
    <x v="10"/>
    <x v="324"/>
    <n v="0.20300000000000001"/>
    <n v="0.14299999999999999"/>
    <n v="12.014298857292475"/>
    <n v="12576.648231479876"/>
    <n v="56903.095346655966"/>
    <n v="1750.0143648209794"/>
    <n v="0"/>
    <n v="283.37"/>
    <n v="1.8446561426110435"/>
    <n v="7517.6316109418367"/>
    <n v="71.86"/>
    <n v="71.86"/>
    <n v="2.2180466515913169E-2"/>
    <n v="100"/>
    <n v="-175.73"/>
    <n v="426.87"/>
    <n v="470"/>
    <n v="426.87"/>
    <n v="1750.0143648209794"/>
    <n v="77099.218820480572"/>
    <n v="1799.6791610135376"/>
  </r>
  <r>
    <x v="0"/>
    <x v="10"/>
    <x v="325"/>
    <n v="0.20399999999999999"/>
    <n v="0.15"/>
    <n v="12.076998083232429"/>
    <n v="12574.840617003169"/>
    <n v="56899.714900676605"/>
    <n v="1750.1601160116943"/>
    <n v="0"/>
    <n v="282.66000000000003"/>
    <n v="1.8789152972488088"/>
    <n v="7619.8387689213214"/>
    <n v="71.849999999999994"/>
    <n v="71.849999999999994"/>
    <n v="2.2182050358100655E-2"/>
    <n v="100"/>
    <n v="-178.73"/>
    <n v="421.63"/>
    <n v="470"/>
    <n v="421.63"/>
    <n v="1750.1601160116943"/>
    <n v="77099.334690536081"/>
    <n v="1800.5004355055355"/>
  </r>
  <r>
    <x v="0"/>
    <x v="10"/>
    <x v="326"/>
    <n v="0.19600000000000001"/>
    <n v="0.14299999999999999"/>
    <n v="12.57550013685789"/>
    <n v="12561.370329306905"/>
    <n v="56900.764101535395"/>
    <n v="1749.8723229243471"/>
    <n v="0"/>
    <n v="278.45999999999998"/>
    <n v="2.288170929008023"/>
    <n v="7442.2739691539091"/>
    <n v="71.78"/>
    <n v="71.78"/>
    <n v="2.2174115208184922E-2"/>
    <n v="100"/>
    <n v="14.59"/>
    <n v="431.2"/>
    <n v="470"/>
    <n v="431.2"/>
    <n v="1749.8723229243471"/>
    <n v="77115.810835574259"/>
    <n v="1799.2803189279634"/>
  </r>
  <r>
    <x v="0"/>
    <x v="10"/>
    <x v="327"/>
    <n v="0.19900000000000001"/>
    <n v="0.14599999999999999"/>
    <n v="12.909302099308649"/>
    <n v="12011.459775926009"/>
    <n v="56549.738137578061"/>
    <n v="1730.511587022494"/>
    <n v="0"/>
    <n v="173.98"/>
    <n v="2896.2407486152724"/>
    <n v="7461.7518433379601"/>
    <n v="71.41"/>
    <n v="71.41"/>
    <n v="2.2054150968044577E-2"/>
    <n v="100"/>
    <n v="672.6"/>
    <n v="430.37"/>
    <n v="672.6"/>
    <n v="430.37"/>
    <n v="1730.511587022494"/>
    <n v="76666.301917071483"/>
    <n v="1800.1776826158321"/>
  </r>
  <r>
    <x v="0"/>
    <x v="10"/>
    <x v="328"/>
    <n v="0.20599999999999999"/>
    <n v="0.14299999999999999"/>
    <n v="13.011198428239716"/>
    <n v="11203.742598864936"/>
    <n v="55833.607956271699"/>
    <n v="1700.080339304606"/>
    <n v="0"/>
    <n v="0"/>
    <n v="7126.6865495288648"/>
    <n v="7377.2134409155969"/>
    <n v="70.77"/>
    <n v="70.77"/>
    <n v="2.1848836489656256E-2"/>
    <n v="100"/>
    <n v="483.03"/>
    <n v="433.73"/>
    <n v="483.03"/>
    <n v="433.73"/>
    <n v="1700.080339304606"/>
    <n v="76011.243229166663"/>
    <n v="1799.7807175530329"/>
  </r>
  <r>
    <x v="0"/>
    <x v="10"/>
    <x v="329"/>
    <n v="0.20799999999999999"/>
    <n v="0.14799999999999999"/>
    <n v="13.017585815281439"/>
    <n v="11464.72510680517"/>
    <n v="55798.807260040769"/>
    <n v="1699.8642301963157"/>
    <n v="0"/>
    <n v="0"/>
    <n v="6930.9626727451641"/>
    <n v="7371.0123137686514"/>
    <n v="70.900000000000006"/>
    <n v="70.900000000000006"/>
    <n v="2.184509321250367E-2"/>
    <n v="100"/>
    <n v="492.47"/>
    <n v="434.28"/>
    <n v="492.47"/>
    <n v="434.28"/>
    <n v="1699.8642301963157"/>
    <n v="76013.865322475714"/>
    <n v="1800.5991735306156"/>
  </r>
  <r>
    <x v="0"/>
    <x v="10"/>
    <x v="330"/>
    <n v="0.20699999999999999"/>
    <n v="0.14699999999999999"/>
    <n v="12.927259087810739"/>
    <n v="11382.52506736316"/>
    <n v="55799.323394669504"/>
    <n v="1700.0737458016622"/>
    <n v="0"/>
    <n v="0"/>
    <n v="6935.5082299618325"/>
    <n v="7362.1400476014924"/>
    <n v="70.709999999999994"/>
    <n v="70.709999999999994"/>
    <n v="2.1852795988505164E-2"/>
    <n v="100"/>
    <n v="490.72"/>
    <n v="434.74"/>
    <n v="490.72"/>
    <n v="434.74"/>
    <n v="1700.0737458016622"/>
    <n v="75996.136439538517"/>
    <n v="1800.4872371718586"/>
  </r>
  <r>
    <x v="0"/>
    <x v="10"/>
    <x v="331"/>
    <n v="0.20699999999999999"/>
    <n v="0.14000000000000001"/>
    <n v="12.01686661049858"/>
    <n v="11475.275516676787"/>
    <n v="55805.945800442401"/>
    <n v="1699.9866191961962"/>
    <n v="0"/>
    <n v="0"/>
    <n v="6815.5106967817492"/>
    <n v="7640.4001212401326"/>
    <n v="70.64"/>
    <n v="70.64"/>
    <n v="2.1849810466982297E-2"/>
    <n v="100"/>
    <n v="496.98"/>
    <n v="419.21"/>
    <n v="496.98"/>
    <n v="419.21"/>
    <n v="1699.9866191961962"/>
    <n v="76003.388309984381"/>
    <n v="1799.8778448905653"/>
  </r>
  <r>
    <x v="0"/>
    <x v="10"/>
    <x v="332"/>
    <n v="0.20699999999999999"/>
    <n v="0.14399999999999999"/>
    <n v="12.382102691655684"/>
    <n v="11565.911879635452"/>
    <n v="55801.071903734381"/>
    <n v="1700.1201089704143"/>
    <n v="0"/>
    <n v="0"/>
    <n v="6791.9642785500519"/>
    <n v="7439.7225779759074"/>
    <n v="70.8"/>
    <n v="70.8"/>
    <n v="2.1853297412761569E-2"/>
    <n v="100"/>
    <n v="500.1"/>
    <n v="430.36"/>
    <n v="500.1"/>
    <n v="430.36"/>
    <n v="1700.1201089704143"/>
    <n v="75997.093977706449"/>
    <n v="1799.8662182227513"/>
  </r>
  <r>
    <x v="0"/>
    <x v="10"/>
    <x v="333"/>
    <n v="0.20699999999999999"/>
    <n v="0.14599999999999999"/>
    <n v="13.157066774732284"/>
    <n v="11217.265578916553"/>
    <n v="55795.010536845075"/>
    <n v="1699.9767619125716"/>
    <n v="0"/>
    <n v="0"/>
    <n v="6871.4359196087789"/>
    <n v="7396.1393753252942"/>
    <n v="70.739999999999995"/>
    <n v="70.739999999999995"/>
    <n v="2.1848348699335666E-2"/>
    <n v="100"/>
    <n v="489.18"/>
    <n v="433.18"/>
    <n v="489.18"/>
    <n v="433.18"/>
    <n v="1699.9767619125716"/>
    <n v="76007.830505074598"/>
    <n v="1800.189922769561"/>
  </r>
  <r>
    <x v="0"/>
    <x v="10"/>
    <x v="334"/>
    <n v="0.20899999999999999"/>
    <n v="0.14599999999999999"/>
    <n v="12.992218384223213"/>
    <n v="11447.045607027454"/>
    <n v="55806.208915249823"/>
    <n v="1699.9236805563085"/>
    <n v="0"/>
    <n v="0"/>
    <n v="1759.9797615559669"/>
    <n v="7458.403821131159"/>
    <n v="70.78"/>
    <n v="70.78"/>
    <n v="2.1848143076878185E-2"/>
    <n v="100"/>
    <n v="483.01"/>
    <n v="430.4"/>
    <n v="483.01"/>
    <n v="430.4"/>
    <n v="1699.9236805563085"/>
    <n v="76005.849843858436"/>
    <n v="1800.4733102283571"/>
  </r>
  <r>
    <x v="0"/>
    <x v="11"/>
    <x v="335"/>
    <n v="0.2"/>
    <n v="0.14000000000000001"/>
    <n v="13.001029461973827"/>
    <n v="11051.623576834663"/>
    <n v="54908.996101882374"/>
    <n v="1665.1305593243085"/>
    <n v="0"/>
    <n v="0"/>
    <n v="1.9805726105351151"/>
    <n v="7413.7363979278716"/>
    <n v="70.77"/>
    <n v="70.77"/>
    <n v="2.1745044660683482E-2"/>
    <n v="100"/>
    <n v="-110.39"/>
    <n v="432.25"/>
    <n v="470"/>
    <n v="432.25"/>
    <n v="1665.1305593243085"/>
    <n v="74775.108193095075"/>
    <n v="1800.0649237013956"/>
  </r>
  <r>
    <x v="0"/>
    <x v="11"/>
    <x v="336"/>
    <n v="0.19800000000000001"/>
    <n v="0.14299999999999999"/>
    <n v="12.997705576735848"/>
    <n v="10549.232293790121"/>
    <n v="53296.466529862075"/>
    <n v="1599.9001107358172"/>
    <n v="0"/>
    <n v="0"/>
    <n v="2777.5813128842319"/>
    <n v="7377.2716063606003"/>
    <n v="71.099999999999994"/>
    <n v="71.099999999999994"/>
    <n v="2.1505732539541515E-2"/>
    <n v="100"/>
    <n v="708.13"/>
    <n v="433.11"/>
    <n v="708.13"/>
    <n v="433.11"/>
    <n v="1599.9001107358172"/>
    <n v="72593.870386233524"/>
    <n v="1800.2525665262026"/>
  </r>
  <r>
    <x v="0"/>
    <x v="11"/>
    <x v="337"/>
    <n v="0.19600000000000001"/>
    <n v="0.14199999999999999"/>
    <n v="12.851178374412902"/>
    <n v="10230.831867247138"/>
    <n v="53298.608041290769"/>
    <n v="1599.9869153501261"/>
    <n v="0"/>
    <n v="0"/>
    <n v="5981.0085744256057"/>
    <n v="7429.555101234494"/>
    <n v="70.25"/>
    <n v="70.25"/>
    <n v="2.1505490899618809E-2"/>
    <n v="100"/>
    <n v="503.76"/>
    <n v="430.86"/>
    <n v="503.76"/>
    <n v="430.86"/>
    <n v="1599.9869153501261"/>
    <n v="72598.750336138095"/>
    <n v="1800.2449166736696"/>
  </r>
  <r>
    <x v="0"/>
    <x v="11"/>
    <x v="338"/>
    <n v="0.19800000000000001"/>
    <n v="0.13900000000000001"/>
    <n v="12.683837376395337"/>
    <n v="10440.212354193793"/>
    <n v="53122.153891611728"/>
    <n v="1599.9683583753958"/>
    <n v="0"/>
    <n v="0"/>
    <n v="1.5019514603239124"/>
    <n v="7456.9958836636897"/>
    <n v="70.040000000000006"/>
    <n v="70.040000000000006"/>
    <n v="2.1564226831868778E-2"/>
    <n v="100"/>
    <n v="-266.99"/>
    <n v="429.25"/>
    <n v="470"/>
    <n v="429.25"/>
    <n v="1599.9683583753958"/>
    <n v="72395.418323863632"/>
    <n v="1800.0708466952744"/>
  </r>
  <r>
    <x v="0"/>
    <x v="11"/>
    <x v="339"/>
    <n v="0.19700000000000001"/>
    <n v="0.14099999999999999"/>
    <n v="12.867337299146152"/>
    <n v="10527.343526508084"/>
    <n v="53197.30889193702"/>
    <n v="1599.9798570430421"/>
    <n v="0"/>
    <n v="0"/>
    <n v="1.9919348451348331"/>
    <n v="7609.5426427773682"/>
    <n v="71.010000000000005"/>
    <n v="71.010000000000005"/>
    <n v="2.1512099707057971E-2"/>
    <n v="100"/>
    <n v="-146.41"/>
    <n v="420.85"/>
    <n v="470"/>
    <n v="420.85"/>
    <n v="1599.9798570430421"/>
    <n v="72575.886168459401"/>
    <n v="1799.9245999380585"/>
  </r>
  <r>
    <x v="0"/>
    <x v="11"/>
    <x v="340"/>
    <n v="0.19600000000000001"/>
    <n v="0.13900000000000001"/>
    <n v="13.007494582971049"/>
    <n v="10535.528181384456"/>
    <n v="53201.075210899551"/>
    <n v="1600.2376886032921"/>
    <n v="0"/>
    <n v="0"/>
    <n v="1.8483767253421064"/>
    <n v="7441.9215270021905"/>
    <n v="71.040000000000006"/>
    <n v="71.040000000000006"/>
    <n v="2.1535394379430351E-2"/>
    <n v="100"/>
    <n v="-224.32"/>
    <n v="430.24"/>
    <n v="470"/>
    <n v="430.24"/>
    <n v="1600.2376886032921"/>
    <n v="72507.664582971891"/>
    <n v="1799.6668923117898"/>
  </r>
  <r>
    <x v="0"/>
    <x v="11"/>
    <x v="341"/>
    <n v="0.19900000000000001"/>
    <n v="0.13800000000000001"/>
    <n v="12.987196940833044"/>
    <n v="10927.529138971417"/>
    <n v="52994.060992800136"/>
    <n v="1600.0107864072802"/>
    <n v="0"/>
    <n v="0"/>
    <n v="4728.9179459828665"/>
    <n v="7371.0140324102194"/>
    <n v="71.02"/>
    <n v="71.02"/>
    <n v="2.1642220453382165E-2"/>
    <n v="100"/>
    <n v="616.42999999999995"/>
    <n v="432.05"/>
    <n v="616.42999999999995"/>
    <n v="432.05"/>
    <n v="1600.0107864072802"/>
    <n v="72130.769338783837"/>
    <n v="1799.2966566966029"/>
  </r>
  <r>
    <x v="0"/>
    <x v="11"/>
    <x v="342"/>
    <n v="0.193"/>
    <n v="0.13900000000000001"/>
    <n v="12.796741974676424"/>
    <n v="10505.429243607954"/>
    <n v="53602.074080499653"/>
    <n v="1600.0006367817759"/>
    <n v="0"/>
    <n v="0"/>
    <n v="6912.418265242778"/>
    <n v="7348.056851727858"/>
    <n v="70.91"/>
    <n v="70.91"/>
    <n v="2.145039691281473E-2"/>
    <n v="100"/>
    <n v="491.96"/>
    <n v="433.32"/>
    <n v="491.96"/>
    <n v="433.32"/>
    <n v="1600.0006367817759"/>
    <n v="72790.432821174531"/>
    <n v="1800.291223932355"/>
  </r>
  <r>
    <x v="0"/>
    <x v="11"/>
    <x v="343"/>
    <n v="0.19600000000000001"/>
    <n v="0.13900000000000001"/>
    <n v="13.0009046199833"/>
    <n v="10447.556502374651"/>
    <n v="53040.550813779497"/>
    <n v="1600.0471197336103"/>
    <n v="0"/>
    <n v="0"/>
    <n v="2818.9764685571677"/>
    <n v="7322.6417191430637"/>
    <n v="71.040000000000006"/>
    <n v="71.040000000000006"/>
    <n v="2.165048943282245E-2"/>
    <n v="100"/>
    <n v="483.19"/>
    <n v="433.76"/>
    <n v="483.19"/>
    <n v="433.76"/>
    <n v="1600.0471197336103"/>
    <n v="72103.238311068708"/>
    <n v="1800.2697226996229"/>
  </r>
  <r>
    <x v="0"/>
    <x v="11"/>
    <x v="344"/>
    <n v="0.19900000000000001"/>
    <n v="0.14099999999999999"/>
    <n v="12.992426734596055"/>
    <n v="10697.117470777672"/>
    <n v="53140.371484103918"/>
    <n v="1599.9905416262309"/>
    <n v="0"/>
    <n v="0"/>
    <n v="1.4650738507323096"/>
    <n v="7367.4479426450816"/>
    <n v="71.099999999999994"/>
    <n v="71.099999999999994"/>
    <n v="2.158706211228377E-2"/>
    <n v="100"/>
    <n v="-317.04000000000002"/>
    <n v="432.01"/>
    <n v="470"/>
    <n v="432.01"/>
    <n v="1599.9905416262309"/>
    <n v="72318.169549141239"/>
    <n v="1799.8615800591497"/>
  </r>
  <r>
    <x v="0"/>
    <x v="11"/>
    <x v="345"/>
    <n v="0.19900000000000001"/>
    <n v="0.13800000000000001"/>
    <n v="13.149897899667394"/>
    <n v="10665.418982585878"/>
    <n v="53590.950349149898"/>
    <n v="1600.0053252644375"/>
    <n v="0"/>
    <n v="0"/>
    <n v="2.076420247141145"/>
    <n v="7451.2851359190654"/>
    <n v="71.06"/>
    <n v="71.06"/>
    <n v="2.1449367543598632E-2"/>
    <n v="100"/>
    <n v="-43.89"/>
    <n v="426.5"/>
    <n v="470"/>
    <n v="426.5"/>
    <n v="1600.0053252644375"/>
    <n v="72794.25422883415"/>
    <n v="1800.2680577656031"/>
  </r>
  <r>
    <x v="0"/>
    <x v="11"/>
    <x v="346"/>
    <n v="0.19600000000000001"/>
    <n v="0.13900000000000001"/>
    <n v="13.5101117783334"/>
    <n v="10566.732118266396"/>
    <n v="53544.484646079109"/>
    <n v="1599.8966954778582"/>
    <n v="0"/>
    <n v="0"/>
    <n v="2.4203818065223395"/>
    <n v="7679.0320235920162"/>
    <n v="71.06"/>
    <n v="71.06"/>
    <n v="2.144450944094909E-2"/>
    <n v="100"/>
    <n v="87.09"/>
    <n v="414.65"/>
    <n v="470"/>
    <n v="414.65"/>
    <n v="1599.8966954778582"/>
    <n v="72806.016199687714"/>
    <n v="1800.339328445551"/>
  </r>
  <r>
    <x v="0"/>
    <x v="11"/>
    <x v="347"/>
    <n v="0.19400000000000001"/>
    <n v="0.13900000000000001"/>
    <n v="13.214615308932345"/>
    <n v="10883.689934290423"/>
    <n v="53496.051177025503"/>
    <n v="1599.9974391495164"/>
    <n v="0"/>
    <n v="0"/>
    <n v="1.9095696563748792"/>
    <n v="7413.7203486890612"/>
    <n v="71.17"/>
    <n v="71.17"/>
    <n v="2.1450591915715574E-2"/>
    <n v="100"/>
    <n v="-170.98"/>
    <n v="428.8"/>
    <n v="470"/>
    <n v="428.8"/>
    <n v="1599.9974391495164"/>
    <n v="72789.807072996176"/>
    <n v="1800.0898135924488"/>
  </r>
  <r>
    <x v="0"/>
    <x v="11"/>
    <x v="348"/>
    <n v="0.19700000000000001"/>
    <n v="0.13900000000000001"/>
    <n v="13.3065452688192"/>
    <n v="10750.887584847762"/>
    <n v="53500.528476860687"/>
    <n v="1600.0949579115795"/>
    <n v="0"/>
    <n v="0"/>
    <n v="1.5861577485737048"/>
    <n v="7323.6895202170799"/>
    <n v="70.91"/>
    <n v="70.91"/>
    <n v="2.1447186591395769E-2"/>
    <n v="100"/>
    <n v="-259.67"/>
    <n v="431.97"/>
    <n v="470"/>
    <n v="431.97"/>
    <n v="1600.0949579115795"/>
    <n v="72806.293074470857"/>
    <n v="1799.9939130032585"/>
  </r>
  <r>
    <x v="0"/>
    <x v="11"/>
    <x v="349"/>
    <n v="0.19400000000000001"/>
    <n v="0.13600000000000001"/>
    <n v="13.591131537263379"/>
    <n v="10485.903259319701"/>
    <n v="53498.152785608952"/>
    <n v="1645.8452264493244"/>
    <n v="0"/>
    <n v="0"/>
    <n v="2.8916369242575564"/>
    <n v="7322.1851839678402"/>
    <n v="69.819999999999993"/>
    <n v="69.819999999999993"/>
    <n v="2.2066042374024684E-2"/>
    <n v="100"/>
    <n v="173.09"/>
    <n v="432.43"/>
    <n v="470"/>
    <n v="432.43"/>
    <n v="1645.8452264493244"/>
    <n v="72787.868488679742"/>
    <n v="1799.3727824034415"/>
  </r>
  <r>
    <x v="0"/>
    <x v="11"/>
    <x v="350"/>
    <n v="0.19400000000000001"/>
    <n v="0.14000000000000001"/>
    <n v="13.844873015372642"/>
    <n v="10465.288777866932"/>
    <n v="53501.11562608432"/>
    <n v="1750.0046906851796"/>
    <n v="0"/>
    <n v="0"/>
    <n v="3.3397373473123082"/>
    <n v="7280.6603849730018"/>
    <n v="70.08"/>
    <n v="70.08"/>
    <n v="2.3459641353941213E-2"/>
    <n v="100"/>
    <n v="166.58"/>
    <n v="432.82"/>
    <n v="470"/>
    <n v="432.82"/>
    <n v="1750.0046906851796"/>
    <n v="72795.876198169673"/>
    <n v="1800.5195558165444"/>
  </r>
  <r>
    <x v="0"/>
    <x v="11"/>
    <x v="351"/>
    <n v="0.19400000000000001"/>
    <n v="0.14000000000000001"/>
    <n v="14.472224334806803"/>
    <n v="10564.855653083796"/>
    <n v="53502.126862313497"/>
    <n v="1750.0363743270459"/>
    <n v="0"/>
    <n v="0"/>
    <n v="3.1806687521570511"/>
    <n v="7300.4713493098316"/>
    <n v="70.33"/>
    <n v="70.33"/>
    <n v="2.3462519841375845E-2"/>
    <n v="100"/>
    <n v="10729.6"/>
    <n v="431.97"/>
    <n v="470"/>
    <n v="431.97"/>
    <n v="1750.0363743270459"/>
    <n v="72788.780930126653"/>
    <n v="1799.8133964247377"/>
  </r>
  <r>
    <x v="0"/>
    <x v="11"/>
    <x v="352"/>
    <n v="0.19900000000000001"/>
    <n v="0.14000000000000001"/>
    <n v="15.511891611907981"/>
    <n v="10666.742564299966"/>
    <n v="53627.651918155789"/>
    <n v="1750.0848056599964"/>
    <n v="0"/>
    <n v="0"/>
    <n v="2952.9876827856965"/>
    <n v="7333.11525606133"/>
    <n v="70.63"/>
    <n v="70.63"/>
    <n v="2.3394202282416395E-2"/>
    <n v="100"/>
    <n v="676.55"/>
    <n v="429.02"/>
    <n v="676.55"/>
    <n v="429.02"/>
    <n v="1750.0848056599964"/>
    <n v="73008.880589651279"/>
    <n v="1799.6033472171018"/>
  </r>
  <r>
    <x v="0"/>
    <x v="11"/>
    <x v="353"/>
    <n v="0.19600000000000001"/>
    <n v="0.13700000000000001"/>
    <n v="14.408959268944534"/>
    <n v="10869.70862722827"/>
    <n v="53997.344793654578"/>
    <n v="1749.9039233788114"/>
    <n v="0"/>
    <n v="0"/>
    <n v="6976.9439354181122"/>
    <n v="6881.5371177465004"/>
    <n v="71.02"/>
    <n v="71.02"/>
    <n v="2.3208073835345868E-2"/>
    <n v="100"/>
    <n v="488.29"/>
    <n v="431.52"/>
    <n v="488.29"/>
    <n v="431.52"/>
    <n v="1749.9039233788114"/>
    <n v="73600.686383154054"/>
    <n v="1799.9666737881407"/>
  </r>
  <r>
    <x v="0"/>
    <x v="11"/>
    <x v="354"/>
    <n v="0.19800000000000001"/>
    <n v="0.14099999999999999"/>
    <n v="14.078734153678727"/>
    <n v="10936.893588572389"/>
    <n v="53997.727893498435"/>
    <n v="1749.9879073302502"/>
    <n v="0"/>
    <n v="0"/>
    <n v="6866.2417530957237"/>
    <n v="-1.2665605014204722"/>
    <n v="71.040000000000006"/>
    <n v="71.040000000000006"/>
    <n v="2.3209114305524376E-2"/>
    <n v="100"/>
    <n v="493.68"/>
    <n v="-25499.17"/>
    <n v="493.68"/>
    <n v="470"/>
    <n v="1749.9879073302502"/>
    <n v="73600.215822345606"/>
    <n v="1800.6755814985795"/>
  </r>
  <r>
    <x v="0"/>
    <x v="11"/>
    <x v="355"/>
    <n v="0.19500000000000001"/>
    <n v="0.13700000000000001"/>
    <n v="13.704783021369632"/>
    <n v="10757.33610285826"/>
    <n v="53935.687318376993"/>
    <n v="1750.1060275118191"/>
    <n v="0"/>
    <n v="0"/>
    <n v="7000.7526548810501"/>
    <n v="-1.7903148676478804"/>
    <n v="71.03"/>
    <n v="71.03"/>
    <n v="2.3242720646959838E-2"/>
    <n v="100"/>
    <n v="487.18"/>
    <n v="-17321.580000000002"/>
    <n v="487.18"/>
    <n v="470"/>
    <n v="1750.1060275118191"/>
    <n v="73496.625401197089"/>
    <n v="1800.3268831188193"/>
  </r>
  <r>
    <x v="0"/>
    <x v="11"/>
    <x v="356"/>
    <n v="0.19900000000000001"/>
    <n v="0.13700000000000001"/>
    <n v="13.786178782778761"/>
    <n v="10821.287458389355"/>
    <n v="53663.660836658571"/>
    <n v="1750.1131626528886"/>
    <n v="0"/>
    <n v="0"/>
    <n v="6879.8883943577594"/>
    <n v="-1.998324746063068"/>
    <n v="70.88"/>
    <n v="70.88"/>
    <n v="2.3374218868717579E-2"/>
    <n v="100"/>
    <n v="490.48"/>
    <n v="-15212.73"/>
    <n v="490.48"/>
    <n v="470"/>
    <n v="1750.1131626528886"/>
    <n v="73073.916431731443"/>
    <n v="1799.736993115946"/>
  </r>
  <r>
    <x v="0"/>
    <x v="11"/>
    <x v="357"/>
    <n v="0.19700000000000001"/>
    <n v="0.13900000000000001"/>
    <n v="14.804661309363359"/>
    <n v="10819.486864183944"/>
    <n v="53699.466879554129"/>
    <n v="1750.0672687898486"/>
    <n v="0"/>
    <n v="0"/>
    <n v="5852.8842603613484"/>
    <n v="-1.6775555292323467"/>
    <n v="70.98"/>
    <n v="70.98"/>
    <n v="2.3363251925274366E-2"/>
    <n v="100"/>
    <n v="484.66"/>
    <n v="-17930.86"/>
    <n v="484.66"/>
    <n v="470"/>
    <n v="1750.0672687898486"/>
    <n v="73107.080374956626"/>
    <n v="1799.7551283932328"/>
  </r>
  <r>
    <x v="0"/>
    <x v="11"/>
    <x v="358"/>
    <n v="0.19700000000000001"/>
    <n v="0.14099999999999999"/>
    <n v="14.57502970341425"/>
    <n v="10869.655146708015"/>
    <n v="53699.742992604959"/>
    <n v="1749.9246543233053"/>
    <n v="0"/>
    <n v="0"/>
    <n v="2.3123488887823926"/>
    <n v="7607.1094515413852"/>
    <n v="71.09"/>
    <n v="71.09"/>
    <n v="2.3363377865242896E-2"/>
    <n v="100"/>
    <n v="11.16"/>
    <n v="430.31"/>
    <n v="470"/>
    <n v="430.31"/>
    <n v="1749.9246543233053"/>
    <n v="73100.65962222415"/>
    <n v="1799.6679081807613"/>
  </r>
  <r>
    <x v="0"/>
    <x v="11"/>
    <x v="359"/>
    <n v="0.19900000000000001"/>
    <n v="0.13900000000000001"/>
    <n v="13.066282331902148"/>
    <n v="11210.825020466473"/>
    <n v="53920.704659307776"/>
    <n v="1749.9820502424802"/>
    <n v="0"/>
    <n v="0"/>
    <n v="2.8725671310709382"/>
    <n v="7525.2468060103647"/>
    <n v="70.760000000000005"/>
    <n v="70.760000000000005"/>
    <n v="2.3273960501440032E-2"/>
    <n v="100"/>
    <n v="136.88999999999999"/>
    <n v="432.91"/>
    <n v="470"/>
    <n v="432.91"/>
    <n v="1749.9820502424802"/>
    <n v="73390.802264052734"/>
    <n v="1799.7545874209804"/>
  </r>
  <r>
    <x v="0"/>
    <x v="11"/>
    <x v="360"/>
    <n v="0.19900000000000001"/>
    <n v="0.13800000000000001"/>
    <n v="13.009695681824113"/>
    <n v="11135.32261057317"/>
    <n v="54201.920701227449"/>
    <n v="1750.2289631596709"/>
    <n v="0"/>
    <n v="0"/>
    <n v="2.7537472792419604"/>
    <n v="7474.9703944336607"/>
    <n v="71"/>
    <n v="71"/>
    <n v="2.3151489616663152E-2"/>
    <n v="100"/>
    <n v="97.01"/>
    <n v="433.58"/>
    <n v="470"/>
    <n v="433.58"/>
    <n v="1750.2289631596709"/>
    <n v="73799.036172796667"/>
    <n v="1799.9422143198897"/>
  </r>
  <r>
    <x v="0"/>
    <x v="11"/>
    <x v="361"/>
    <n v="0.2"/>
    <n v="0.13900000000000001"/>
    <n v="13.036266164759809"/>
    <n v="11053.636872587396"/>
    <n v="54201.243038688408"/>
    <n v="1749.9105476204677"/>
    <n v="0"/>
    <n v="0"/>
    <n v="2.6679603883907417"/>
    <n v="7505.4197019620706"/>
    <n v="71.040000000000006"/>
    <n v="71.040000000000006"/>
    <n v="2.3144092305270501E-2"/>
    <n v="100"/>
    <n v="105.29"/>
    <n v="431.16"/>
    <n v="470"/>
    <n v="431.16"/>
    <n v="1749.9105476204677"/>
    <n v="73809.161899288694"/>
    <n v="1800.2214603675559"/>
  </r>
  <r>
    <x v="0"/>
    <x v="11"/>
    <x v="362"/>
    <n v="0.19500000000000001"/>
    <n v="0.13700000000000001"/>
    <n v="13.020117361292421"/>
    <n v="10805.802676770689"/>
    <n v="54200.04005736034"/>
    <n v="1750.1056998449428"/>
    <n v="0"/>
    <n v="0"/>
    <n v="6815.5106967817492"/>
    <n v="7445.2910579811123"/>
    <n v="71.05"/>
    <n v="71.05"/>
    <n v="2.3149596403085743E-2"/>
    <n v="100"/>
    <m/>
    <n v="433.46"/>
    <n v="0"/>
    <n v="433.46"/>
    <n v="1750.1056998449428"/>
    <n v="73799.734017175579"/>
    <n v="1800.1023415983095"/>
  </r>
  <r>
    <x v="0"/>
    <x v="11"/>
    <x v="363"/>
    <n v="0.19900000000000001"/>
    <n v="0.13900000000000001"/>
    <n v="12.670581149856387"/>
    <n v="10654.692899895908"/>
    <n v="53955.770138467211"/>
    <n v="1750.051514095436"/>
    <n v="0"/>
    <n v="0"/>
    <n v="6791.9642785500519"/>
    <n v="7423.9118935282577"/>
    <n v="71.06"/>
    <n v="71.06"/>
    <n v="2.3257531561757458E-2"/>
    <n v="100"/>
    <m/>
    <n v="435.95"/>
    <n v="0"/>
    <n v="435.95"/>
    <n v="1750.051514095436"/>
    <n v="73447.097550529143"/>
    <n v="1799.5600514779233"/>
  </r>
  <r>
    <x v="0"/>
    <x v="11"/>
    <x v="364"/>
    <n v="0.19500000000000001"/>
    <n v="0.126"/>
    <n v="12.24034536918942"/>
    <n v="11061.625729880509"/>
    <n v="53599.512773247741"/>
    <n v="1750.145958396811"/>
    <n v="0"/>
    <n v="0"/>
    <n v="6871.4359196087789"/>
    <n v="7435.7125165358257"/>
    <n v="70.760000000000005"/>
    <n v="70.760000000000005"/>
    <n v="2.3430325032722282E-2"/>
    <n v="100"/>
    <m/>
    <n v="434"/>
    <n v="0"/>
    <n v="434"/>
    <n v="1750.145958396811"/>
    <n v="72896.288135409442"/>
    <n v="1799.4728475301979"/>
  </r>
  <r>
    <x v="0"/>
    <x v="11"/>
    <x v="365"/>
    <n v="0.19700000000000001"/>
    <n v="0.13100000000000001"/>
    <n v="13.374891101776273"/>
    <n v="10946.462952295498"/>
    <n v="53601.544546430428"/>
    <n v="1750.0116128597219"/>
    <n v="0"/>
    <n v="0"/>
    <n v="1759.9797615559669"/>
    <n v="7412.6504155727498"/>
    <n v="70.209999999999994"/>
    <n v="70.209999999999994"/>
    <n v="2.3424784844136837E-2"/>
    <n v="100"/>
    <m/>
    <n v="431.89"/>
    <n v="0"/>
    <n v="431.89"/>
    <n v="1750.0116128597219"/>
    <n v="72908.072231740109"/>
    <n v="1799.6198347569505"/>
  </r>
  <r>
    <x v="1"/>
    <x v="0"/>
    <x v="366"/>
    <n v="0.19700000000000001"/>
    <n v="0.13"/>
    <n v="14.120783679440647"/>
    <n v="11168.723430180864"/>
    <n v="53602.995361836402"/>
    <n v="1749.953876058564"/>
    <n v="0"/>
    <n v="0"/>
    <n v="1.9805726105351151"/>
    <n v="7506.7247306829022"/>
    <n v="70.739999999999995"/>
    <n v="70.739999999999995"/>
    <n v="2.3428716025431111E-2"/>
    <n v="100"/>
    <m/>
    <n v="430.33"/>
    <n v="470"/>
    <n v="430.33"/>
    <n v="1749.953876058564"/>
    <n v="72893.147922449687"/>
    <n v="1799.5443343110253"/>
  </r>
  <r>
    <x v="1"/>
    <x v="0"/>
    <x v="367"/>
    <n v="0.19800000000000001"/>
    <n v="0.13400000000000001"/>
    <n v="14.844815719631356"/>
    <n v="11154.438652124298"/>
    <n v="53712.01856620836"/>
    <n v="1749.9808694388121"/>
    <n v="0"/>
    <n v="0"/>
    <n v="2777.5813128842319"/>
    <n v="7505.960007020949"/>
    <n v="70.930000000000007"/>
    <n v="70.930000000000007"/>
    <n v="2.3371148995091979E-2"/>
    <n v="100"/>
    <m/>
    <n v="430.65"/>
    <n v="0"/>
    <n v="430.65"/>
    <n v="1749.9808694388121"/>
    <n v="73077.463854311238"/>
    <n v="1800.3639241310559"/>
  </r>
  <r>
    <x v="1"/>
    <x v="0"/>
    <x v="368"/>
    <n v="0.2"/>
    <n v="0.13300000000000001"/>
    <n v="14.828254712281504"/>
    <n v="10894.660404965083"/>
    <n v="53805.234185244619"/>
    <n v="1750.1340570072596"/>
    <n v="0"/>
    <n v="0"/>
    <n v="5981.0085744256057"/>
    <n v="7611.5392885122092"/>
    <n v="71.06"/>
    <n v="71.06"/>
    <n v="2.333834764775156E-2"/>
    <n v="100"/>
    <m/>
    <n v="425.44"/>
    <n v="0"/>
    <n v="425.44"/>
    <n v="1750.1340570072596"/>
    <n v="73189.469823473279"/>
    <n v="1800.1602661217526"/>
  </r>
  <r>
    <x v="1"/>
    <x v="0"/>
    <x v="369"/>
    <n v="0.247"/>
    <n v="0.13400000000000001"/>
    <n v="12.807401530036159"/>
    <n v="11866.506024055559"/>
    <n v="55370.806129640878"/>
    <n v="1813.7195184245695"/>
    <n v="0"/>
    <n v="181"/>
    <n v="1.5019514603239124"/>
    <n v="7616.4469040732356"/>
    <n v="71.16"/>
    <n v="71.16"/>
    <n v="2.3490533782028523E-2"/>
    <n v="100"/>
    <m/>
    <n v="422.8"/>
    <n v="470"/>
    <n v="422.8"/>
    <n v="1813.7195184245695"/>
    <n v="75347.352169717211"/>
    <n v="1863.3036312232989"/>
  </r>
  <r>
    <x v="1"/>
    <x v="0"/>
    <x v="370"/>
    <n v="0.20899999999999999"/>
    <n v="0.13300000000000001"/>
    <n v="12.98477523546927"/>
    <n v="12338.983248666293"/>
    <n v="56600.531672883415"/>
    <n v="1899.7858391152247"/>
    <n v="0"/>
    <n v="240.11"/>
    <n v="1.9919348451348331"/>
    <n v="7576.0186604083538"/>
    <n v="71.34"/>
    <n v="71.34"/>
    <n v="2.4065422707051483E-2"/>
    <n v="100"/>
    <m/>
    <n v="424.85"/>
    <n v="470"/>
    <n v="424.85"/>
    <n v="1899.7858391152247"/>
    <n v="76992.574210617633"/>
    <n v="1949.9759469809919"/>
  </r>
  <r>
    <x v="1"/>
    <x v="0"/>
    <x v="371"/>
    <n v="0.21099999999999999"/>
    <n v="0.13100000000000001"/>
    <n v="12.893324765953896"/>
    <n v="12345.348880172189"/>
    <n v="56847.365479701599"/>
    <n v="1899.9961479658225"/>
    <n v="0"/>
    <n v="234.23"/>
    <n v="1.8483767253421064"/>
    <n v="7498.1933099030621"/>
    <n v="71.36"/>
    <n v="71.36"/>
    <n v="2.3949991551275453E-2"/>
    <n v="100"/>
    <m/>
    <n v="429.91"/>
    <n v="470"/>
    <n v="429.91"/>
    <n v="1899.9961479658225"/>
    <n v="77382.159313193959"/>
    <n v="1949.6493806858844"/>
  </r>
  <r>
    <x v="1"/>
    <x v="0"/>
    <x v="372"/>
    <n v="0.56399999999999995"/>
    <n v="0.13200000000000001"/>
    <n v="12.836806032576552"/>
    <n v="12347.010401305515"/>
    <n v="42022.614193558278"/>
    <n v="1290.5763862869294"/>
    <n v="0"/>
    <n v="88.42"/>
    <n v="4728.9179459828665"/>
    <n v="6762.4647444672755"/>
    <n v="71.36"/>
    <n v="71.36"/>
    <n v="2.2030301459760447E-2"/>
    <n v="100"/>
    <m/>
    <n v="437.01"/>
    <n v="0"/>
    <n v="437.01"/>
    <n v="1290.5763862869294"/>
    <n v="57111.269395710442"/>
    <n v="1470.6065102655966"/>
  </r>
  <r>
    <x v="1"/>
    <x v="0"/>
    <x v="373"/>
    <n v="0.59299999999999997"/>
    <n v="0.13"/>
    <n v="13.519954098999955"/>
    <n v="12350.824415960056"/>
    <n v="54247.874810244619"/>
    <n v="1763.9484914955706"/>
    <n v="0"/>
    <n v="64.73"/>
    <n v="6912.418265242778"/>
    <n v="7325.8270247576556"/>
    <n v="71.400000000000006"/>
    <n v="71.400000000000006"/>
    <n v="2.3259695072781757E-2"/>
    <n v="100"/>
    <m/>
    <n v="429.48"/>
    <n v="0"/>
    <n v="429.48"/>
    <n v="1763.9484914955706"/>
    <n v="73980.397879077034"/>
    <n v="1856.7309386486977"/>
  </r>
  <r>
    <x v="1"/>
    <x v="0"/>
    <x v="374"/>
    <n v="0.21099999999999999"/>
    <n v="0.124"/>
    <n v="14.221789225036282"/>
    <n v="12346.393150101923"/>
    <n v="56798.080374956626"/>
    <n v="1750.0867265096397"/>
    <n v="0"/>
    <n v="240.28"/>
    <n v="2818.9764685571677"/>
    <n v="7557.4181656212049"/>
    <n v="71.37"/>
    <n v="71.37"/>
    <n v="2.2139786720071167E-2"/>
    <n v="100"/>
    <m/>
    <n v="426.91"/>
    <n v="0"/>
    <n v="426.91"/>
    <n v="1750.0867265096397"/>
    <n v="77146.824817834844"/>
    <n v="1900.3109399397119"/>
  </r>
  <r>
    <x v="1"/>
    <x v="0"/>
    <x v="375"/>
    <n v="0.21299999999999999"/>
    <n v="0.13200000000000001"/>
    <n v="15.167929646043955"/>
    <n v="12339.852291025112"/>
    <n v="56800.688624978313"/>
    <n v="1750.0712988044056"/>
    <n v="0"/>
    <n v="236.88"/>
    <n v="1.4650738507323096"/>
    <n v="7554.5762887778674"/>
    <n v="71.33"/>
    <n v="71.33"/>
    <n v="2.2126655791725687E-2"/>
    <n v="100"/>
    <m/>
    <n v="426.79"/>
    <n v="470"/>
    <n v="426.79"/>
    <n v="1750.0712988044056"/>
    <n v="77193.254570393823"/>
    <n v="1900.0939806713816"/>
  </r>
  <r>
    <x v="1"/>
    <x v="0"/>
    <x v="376"/>
    <n v="0.216"/>
    <n v="0.13200000000000001"/>
    <n v="14.500132939287724"/>
    <n v="12345.014615908009"/>
    <n v="56777.861193940837"/>
    <n v="1749.9537382317781"/>
    <n v="0"/>
    <n v="240.1"/>
    <n v="2.076420247141145"/>
    <n v="7531.673893522835"/>
    <n v="71.349999999999994"/>
    <n v="71.349999999999994"/>
    <n v="2.2135688873015449E-2"/>
    <n v="100"/>
    <m/>
    <n v="427.81"/>
    <n v="470"/>
    <n v="427.81"/>
    <n v="1749.9537382317781"/>
    <n v="77155.96025438064"/>
    <n v="1899.80115745698"/>
  </r>
  <r>
    <x v="1"/>
    <x v="0"/>
    <x v="377"/>
    <n v="0.214"/>
    <n v="0.14199999999999999"/>
    <n v="13.222168034931425"/>
    <n v="12392.042799325554"/>
    <n v="57047.066265288864"/>
    <n v="1805.3696436461769"/>
    <n v="0"/>
    <n v="257.37"/>
    <n v="2.4203818065223395"/>
    <n v="7532.966647781489"/>
    <n v="71.63"/>
    <n v="71.63"/>
    <n v="2.2727257618861314E-2"/>
    <n v="100"/>
    <m/>
    <n v="427.07"/>
    <n v="470"/>
    <n v="427.07"/>
    <n v="1805.3696436461769"/>
    <n v="77524.806698907007"/>
    <n v="1911.5104284134279"/>
  </r>
  <r>
    <x v="1"/>
    <x v="0"/>
    <x v="378"/>
    <n v="0.21299999999999999"/>
    <n v="0.13500000000000001"/>
    <n v="14.363689089053048"/>
    <n v="12431.295018785782"/>
    <n v="57446.909489395395"/>
    <n v="1899.9891554801352"/>
    <n v="0"/>
    <n v="294.45999999999998"/>
    <n v="1.9095696563748792"/>
    <n v="7560.197535348716"/>
    <n v="71.86"/>
    <n v="71.86"/>
    <n v="2.3780837212561703E-2"/>
    <n v="100"/>
    <m/>
    <n v="424.12"/>
    <n v="470"/>
    <n v="424.12"/>
    <n v="1899.9891554801352"/>
    <n v="77945.58124783136"/>
    <n v="1950.2247112838036"/>
  </r>
  <r>
    <x v="1"/>
    <x v="0"/>
    <x v="379"/>
    <n v="0.21299999999999999"/>
    <n v="0.13700000000000001"/>
    <n v="13.33244041400515"/>
    <n v="12751.931455613509"/>
    <n v="57344.139876821653"/>
    <n v="1899.9691351017632"/>
    <n v="0"/>
    <n v="302.06"/>
    <n v="1.5861577485737048"/>
    <n v="7244.2143543306975"/>
    <n v="72.55"/>
    <n v="72.55"/>
    <n v="2.3854978742447564E-2"/>
    <n v="100"/>
    <m/>
    <n v="421.3"/>
    <n v="470"/>
    <n v="421.3"/>
    <n v="1899.9691351017632"/>
    <n v="77697.029574731088"/>
    <n v="1949.6201085468531"/>
  </r>
  <r>
    <x v="1"/>
    <x v="0"/>
    <x v="380"/>
    <n v="0.21"/>
    <n v="0.123"/>
    <n v="13.237997197343772"/>
    <n v="12963.124858361163"/>
    <n v="57501.353053435123"/>
    <n v="1900.013214767848"/>
    <n v="0"/>
    <n v="304.8"/>
    <n v="2.8916369242575564"/>
    <n v="-0.4072937746802901"/>
    <n v="72.84"/>
    <n v="72.84"/>
    <n v="2.3823899079938399E-2"/>
    <n v="100"/>
    <m/>
    <n v="-79639.67"/>
    <n v="470"/>
    <n v="470"/>
    <n v="1900.013214767848"/>
    <n v="77802.553462222422"/>
    <n v="1949.8501385722536"/>
  </r>
  <r>
    <x v="1"/>
    <x v="0"/>
    <x v="381"/>
    <n v="0.20599999999999999"/>
    <n v="0.13200000000000001"/>
    <n v="12.9931532365427"/>
    <n v="12927.870186990373"/>
    <n v="57485.932292570265"/>
    <n v="1900.1097910217245"/>
    <n v="0"/>
    <n v="295.33"/>
    <n v="3.3397373473123082"/>
    <n v="-0.50134093386859824"/>
    <n v="72.63"/>
    <n v="72.63"/>
    <n v="2.3821993613210354E-2"/>
    <n v="100"/>
    <m/>
    <n v="-64413.96"/>
    <n v="470"/>
    <n v="470"/>
    <n v="1900.1097910217245"/>
    <n v="77812.197307642258"/>
    <n v="1950.6395847339088"/>
  </r>
  <r>
    <x v="1"/>
    <x v="0"/>
    <x v="382"/>
    <n v="0.20899999999999999"/>
    <n v="0.13300000000000001"/>
    <n v="12.992537732756359"/>
    <n v="12925.533013369624"/>
    <n v="57494.009682945871"/>
    <n v="1900.080363096916"/>
    <n v="0"/>
    <n v="299.24"/>
    <n v="3.1806687521570511"/>
    <n v="2646.0395492463554"/>
    <n v="72.61"/>
    <n v="72.61"/>
    <n v="2.3825617743235383E-2"/>
    <n v="100"/>
    <m/>
    <n v="626.13"/>
    <n v="470"/>
    <n v="626.13"/>
    <n v="1900.080363096916"/>
    <n v="77799.408884888966"/>
    <n v="1950.0600931563367"/>
  </r>
  <r>
    <x v="1"/>
    <x v="0"/>
    <x v="383"/>
    <n v="0.21199999999999999"/>
    <n v="0.13400000000000001"/>
    <n v="13.117191613837299"/>
    <n v="12924.859479365456"/>
    <n v="57501.843901804299"/>
    <n v="1834.9301801862855"/>
    <n v="0"/>
    <n v="309.66000000000003"/>
    <n v="2952.9876827856965"/>
    <n v="7843.7789360009328"/>
    <n v="72.680000000000007"/>
    <n v="72.680000000000007"/>
    <n v="2.3006340723623994E-2"/>
    <n v="100"/>
    <m/>
    <n v="411.56"/>
    <n v="0"/>
    <n v="411.56"/>
    <n v="1834.9301801862855"/>
    <n v="77840.596254770993"/>
    <n v="1916.9889357366303"/>
  </r>
  <r>
    <x v="1"/>
    <x v="0"/>
    <x v="384"/>
    <n v="0.216"/>
    <n v="0.13200000000000001"/>
    <n v="12.617754466991968"/>
    <n v="12936.358323213046"/>
    <n v="57492.147664924531"/>
    <n v="1700.017704176787"/>
    <n v="0"/>
    <n v="267.91000000000003"/>
    <n v="6976.9439354181122"/>
    <n v="7903.9582568664337"/>
    <n v="72.67"/>
    <n v="72.67"/>
    <n v="2.131487213516008E-2"/>
    <n v="100"/>
    <m/>
    <n v="418.94"/>
    <n v="0"/>
    <n v="418.94"/>
    <n v="1700.017704176787"/>
    <n v="77907.067243884449"/>
    <n v="1850.2821503215"/>
  </r>
  <r>
    <x v="1"/>
    <x v="0"/>
    <x v="385"/>
    <n v="0.21299999999999999"/>
    <n v="0.13300000000000001"/>
    <n v="13.181691638965065"/>
    <n v="12924.384914040813"/>
    <n v="57445.149576032272"/>
    <n v="1700.1673090959241"/>
    <n v="0"/>
    <n v="275.99"/>
    <n v="6866.2417530957237"/>
    <n v="8009.0814026853086"/>
    <n v="72.62"/>
    <n v="72.62"/>
    <n v="2.1316022026605128E-2"/>
    <n v="100"/>
    <m/>
    <n v="421.06"/>
    <n v="0"/>
    <n v="421.06"/>
    <n v="1700.1673090959241"/>
    <n v="77910.509748004857"/>
    <n v="1849.555566897581"/>
  </r>
  <r>
    <x v="1"/>
    <x v="0"/>
    <x v="386"/>
    <n v="0.21199999999999999"/>
    <n v="0.13400000000000001"/>
    <n v="13.99187008925894"/>
    <n v="12919.344398556776"/>
    <n v="57478.755570675741"/>
    <n v="1668.3925698232022"/>
    <n v="0"/>
    <n v="280.10000000000002"/>
    <n v="7000.7526548810501"/>
    <n v="7963.439035324318"/>
    <n v="72.59"/>
    <n v="72.59"/>
    <n v="2.0939951452486359E-2"/>
    <n v="100"/>
    <m/>
    <n v="422.25"/>
    <n v="0"/>
    <n v="422.25"/>
    <n v="1668.3925698232022"/>
    <n v="77852.27145862249"/>
    <n v="1822.8210843977704"/>
  </r>
  <r>
    <x v="1"/>
    <x v="0"/>
    <x v="387"/>
    <n v="0.21199999999999999"/>
    <n v="0.13500000000000001"/>
    <n v="13.281581855836572"/>
    <n v="12929.092559962701"/>
    <n v="57479.87134506119"/>
    <n v="1564.5771314500928"/>
    <n v="0"/>
    <n v="274.74"/>
    <n v="6879.8883943577594"/>
    <n v="7917.8049284215604"/>
    <n v="72.64"/>
    <n v="72.64"/>
    <n v="1.9673632979221506E-2"/>
    <n v="100"/>
    <m/>
    <n v="419.79"/>
    <n v="0"/>
    <n v="419.79"/>
    <n v="1564.5771314500928"/>
    <n v="77777.266709462419"/>
    <n v="1749.3328312800479"/>
  </r>
  <r>
    <x v="1"/>
    <x v="0"/>
    <x v="388"/>
    <n v="0.214"/>
    <n v="0.13300000000000001"/>
    <n v="13.004362705265128"/>
    <n v="12933.522206123134"/>
    <n v="57496.914433878381"/>
    <n v="1549.9826050228248"/>
    <n v="0"/>
    <n v="280.92"/>
    <n v="5852.8842603613484"/>
    <n v="7531.673893522835"/>
    <n v="72.67"/>
    <n v="72.67"/>
    <n v="1.9482054210447599E-2"/>
    <n v="100"/>
    <m/>
    <n v="427.81"/>
    <n v="0"/>
    <n v="427.81"/>
    <n v="1549.9826050228248"/>
    <n v="77809.674959880285"/>
    <n v="1749.8308437540661"/>
  </r>
  <r>
    <x v="1"/>
    <x v="0"/>
    <x v="389"/>
    <n v="0.20899999999999999"/>
    <n v="0.13600000000000001"/>
    <n v="13.022980289604828"/>
    <n v="12932.111181064582"/>
    <n v="57501.903880768565"/>
    <n v="1641.3626475178642"/>
    <n v="0"/>
    <n v="278.07"/>
    <n v="2.3123488887823926"/>
    <n v="7532.966647781489"/>
    <n v="72.650000000000006"/>
    <n v="72.650000000000006"/>
    <n v="2.063421987771482E-2"/>
    <n v="100"/>
    <m/>
    <n v="427.07"/>
    <n v="470"/>
    <n v="427.07"/>
    <n v="1641.3626475178642"/>
    <n v="77796.100993233849"/>
    <n v="1749.559431299743"/>
  </r>
  <r>
    <x v="1"/>
    <x v="0"/>
    <x v="390"/>
    <n v="0.20699999999999999"/>
    <n v="0.13100000000000001"/>
    <n v="13.313094628841656"/>
    <n v="12923.887126724065"/>
    <n v="57476.985017457497"/>
    <n v="1700.9988525729475"/>
    <n v="0"/>
    <n v="283.60000000000002"/>
    <n v="2.8725671310709382"/>
    <n v="7560.197535348716"/>
    <n v="72.61"/>
    <n v="72.61"/>
    <n v="2.1384335483260547E-2"/>
    <n v="100"/>
    <m/>
    <n v="424.12"/>
    <n v="470"/>
    <n v="424.12"/>
    <n v="1700.9988525729475"/>
    <n v="77792.972138488898"/>
    <n v="1751.1808189164426"/>
  </r>
  <r>
    <x v="1"/>
    <x v="0"/>
    <x v="391"/>
    <n v="0.20300000000000001"/>
    <n v="0.13500000000000001"/>
    <n v="13.039982587905662"/>
    <n v="11902.658058097675"/>
    <n v="55638.630288753469"/>
    <n v="1692.2094399573321"/>
    <n v="0"/>
    <n v="169.95"/>
    <n v="2.7537472792419604"/>
    <n v="7244.2143543306975"/>
    <n v="72.040000000000006"/>
    <n v="72.040000000000006"/>
    <n v="2.1929133801978119E-2"/>
    <n v="100"/>
    <m/>
    <n v="421.3"/>
    <n v="470"/>
    <n v="421.3"/>
    <n v="1692.2094399573321"/>
    <n v="75407.039165510068"/>
    <n v="1760.1419570149851"/>
  </r>
  <r>
    <x v="1"/>
    <x v="0"/>
    <x v="392"/>
    <n v="0.19700000000000001"/>
    <n v="0.13600000000000001"/>
    <n v="13.010154286000068"/>
    <n v="11200.867563622269"/>
    <n v="53301.921449405789"/>
    <n v="1600.0373386062738"/>
    <n v="0"/>
    <n v="0"/>
    <n v="2.6679603883907417"/>
    <n v="-0.4072937746802901"/>
    <n v="70.83"/>
    <n v="70.83"/>
    <n v="2.1561334195211269E-2"/>
    <n v="100"/>
    <m/>
    <n v="-79639.67"/>
    <n v="470"/>
    <n v="470"/>
    <n v="1600.0373386062738"/>
    <n v="72508.513825034694"/>
    <n v="1700.1285585910391"/>
  </r>
  <r>
    <x v="1"/>
    <x v="0"/>
    <x v="393"/>
    <n v="0.19900000000000001"/>
    <n v="0.13600000000000001"/>
    <n v="12.986461645360626"/>
    <n v="11466.310089428998"/>
    <n v="53301.272971243925"/>
    <n v="1599.9668282185223"/>
    <n v="0"/>
    <n v="0"/>
    <n v="7000.7526548810501"/>
    <n v="-0.50134093386859824"/>
    <n v="70.599999999999994"/>
    <n v="70.599999999999994"/>
    <n v="2.156507708107375E-2"/>
    <n v="100"/>
    <m/>
    <n v="-64413.96"/>
    <n v="0"/>
    <n v="470"/>
    <n v="1599.9668282185223"/>
    <n v="72492.40118624219"/>
    <n v="1700.0917134334609"/>
  </r>
  <r>
    <x v="1"/>
    <x v="0"/>
    <x v="394"/>
    <n v="0.19800000000000001"/>
    <n v="0.13500000000000001"/>
    <n v="12.856187332677475"/>
    <n v="11526.928167423879"/>
    <n v="53644.961954046667"/>
    <n v="1599.9135371147966"/>
    <n v="0"/>
    <n v="0"/>
    <n v="6879.8883943577594"/>
    <n v="2646.0395492463554"/>
    <n v="70.87"/>
    <n v="70.87"/>
    <n v="2.1348261135189756E-2"/>
    <n v="100"/>
    <m/>
    <n v="626.13"/>
    <n v="0"/>
    <n v="626.13"/>
    <n v="1599.9135371147966"/>
    <n v="73243.46751930083"/>
    <n v="1700.0385106845831"/>
  </r>
  <r>
    <x v="1"/>
    <x v="0"/>
    <x v="395"/>
    <n v="0.20499999999999999"/>
    <n v="0.14000000000000001"/>
    <n v="13.339514109593642"/>
    <n v="11163.346851145036"/>
    <n v="53873.524036584837"/>
    <n v="1599.9226499474107"/>
    <n v="0"/>
    <n v="0"/>
    <n v="5852.8842603613484"/>
    <n v="7843.7789360009328"/>
    <n v="71"/>
    <n v="71"/>
    <n v="2.1246463474344082E-2"/>
    <n v="100"/>
    <m/>
    <n v="411.56"/>
    <n v="0"/>
    <n v="411.56"/>
    <n v="1599.9226499474107"/>
    <n v="73603.094156618667"/>
    <n v="1699.9157715690872"/>
  </r>
  <r>
    <x v="1"/>
    <x v="0"/>
    <x v="396"/>
    <n v="0.19900000000000001"/>
    <n v="0.13700000000000001"/>
    <n v="13.56280021548354"/>
    <n v="10931.475598136059"/>
    <n v="54001.473564365027"/>
    <n v="1600.0238053204698"/>
    <n v="0"/>
    <n v="0"/>
    <n v="2.3123488887823926"/>
    <n v="7903.9582568664337"/>
    <n v="71.03"/>
    <n v="71.03"/>
    <n v="2.1195737244955753E-2"/>
    <n v="100"/>
    <m/>
    <n v="418.94"/>
    <n v="470"/>
    <n v="418.94"/>
    <n v="1600.0238053204698"/>
    <n v="73787.667223282449"/>
    <n v="1700.3324074569798"/>
  </r>
  <r>
    <x v="1"/>
    <x v="1"/>
    <x v="397"/>
    <n v="0.2"/>
    <n v="0.13500000000000001"/>
    <n v="13.009561540681732"/>
    <n v="10713.029975250478"/>
    <n v="54001.184181991674"/>
    <n v="1600.152094611354"/>
    <n v="0"/>
    <n v="0"/>
    <n v="2.8725671310709382"/>
    <n v="8009.0814026853086"/>
    <n v="70.89"/>
    <n v="70.89"/>
    <n v="2.1190371889972151E-2"/>
    <n v="100"/>
    <m/>
    <n v="421.06"/>
    <n v="470"/>
    <n v="421.06"/>
    <n v="1600.152094611354"/>
    <n v="73813.057110947266"/>
    <n v="1700.1100443959815"/>
  </r>
  <r>
    <x v="1"/>
    <x v="1"/>
    <x v="398"/>
    <n v="0.19400000000000001"/>
    <n v="0.13"/>
    <n v="12.520483702607324"/>
    <n v="10645.161056910349"/>
    <n v="53995.56682371183"/>
    <n v="1605.1055900579024"/>
    <n v="0"/>
    <n v="0"/>
    <n v="2.7537472792419604"/>
    <n v="7963.439035324318"/>
    <n v="71.09"/>
    <n v="71.09"/>
    <n v="2.126100977165004E-2"/>
    <n v="100"/>
    <m/>
    <n v="422.25"/>
    <n v="470"/>
    <n v="422.25"/>
    <n v="1605.1055900579024"/>
    <n v="73795.000894561075"/>
    <n v="1700.2651956784568"/>
  </r>
  <r>
    <x v="1"/>
    <x v="1"/>
    <x v="399"/>
    <n v="0.20100000000000001"/>
    <n v="0.13500000000000001"/>
    <n v="12.558846150728501"/>
    <n v="10702.152702929823"/>
    <n v="53999.073733518388"/>
    <n v="1650.0885323200848"/>
    <n v="0"/>
    <n v="0"/>
    <n v="2.6679603883907417"/>
    <n v="7917.8049284215604"/>
    <n v="71.05"/>
    <n v="71.05"/>
    <n v="2.1857164564077849E-2"/>
    <n v="100"/>
    <m/>
    <n v="419.79"/>
    <n v="470"/>
    <n v="419.79"/>
    <n v="1650.0885323200848"/>
    <n v="73793.673295454544"/>
    <n v="1700.498305924976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A1CE05-884C-4CCC-A0FA-EF8C5059AF83}" name="PivotTable2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location ref="A3:H35" firstHeaderRow="0" firstDataRow="1" firstDataCol="1"/>
  <pivotFields count="24">
    <pivotField showAll="0">
      <items count="3">
        <item h="1" x="0"/>
        <item x="1"/>
        <item t="default"/>
      </items>
    </pivotField>
    <pivotField showAll="0">
      <items count="13">
        <item x="0"/>
        <item h="1" x="1"/>
        <item h="1" x="2"/>
        <item h="1" x="3"/>
        <item h="1" x="4"/>
        <item h="1" x="5"/>
        <item h="1" x="6"/>
        <item h="1" x="7"/>
        <item h="1" x="8"/>
        <item h="1" x="9"/>
        <item h="1" x="10"/>
        <item h="1" x="11"/>
        <item t="default"/>
      </items>
    </pivotField>
    <pivotField axis="axisRow" numFmtId="14" showAll="0">
      <items count="4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2">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t="grand">
      <x/>
    </i>
  </rowItems>
  <colFields count="1">
    <field x="-2"/>
  </colFields>
  <colItems count="7">
    <i>
      <x/>
    </i>
    <i i="1">
      <x v="1"/>
    </i>
    <i i="2">
      <x v="2"/>
    </i>
    <i i="3">
      <x v="3"/>
    </i>
    <i i="4">
      <x v="4"/>
    </i>
    <i i="5">
      <x v="5"/>
    </i>
    <i i="6">
      <x v="6"/>
    </i>
  </colItems>
  <dataFields count="7">
    <dataField name="Sum of TN120" fld="6" baseField="0" baseItem="0"/>
    <dataField name="Sum of TN550 I (N2)" fld="7" baseField="0" baseItem="0"/>
    <dataField name="Sum of TN550 I (O2)" fld="8" baseField="0" baseItem="0"/>
    <dataField name="Sum of TN550 II" fld="9" baseField="0" baseItem="0"/>
    <dataField name="Sum of L400 (Daily)" fld="10" baseField="0" baseItem="0"/>
    <dataField name="Sum of PHG250-I" fld="11" baseField="0" baseItem="0"/>
    <dataField name="Sum of PHG250-II"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C4DACE-AE6A-4178-85FB-2CC7BCF2E0FA}" name="PivotTable2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location ref="A3:B35" firstHeaderRow="1" firstDataRow="1" firstDataCol="1"/>
  <pivotFields count="24">
    <pivotField showAll="0">
      <items count="3">
        <item h="1" x="0"/>
        <item x="1"/>
        <item t="default"/>
      </items>
    </pivotField>
    <pivotField showAll="0">
      <items count="13">
        <item x="0"/>
        <item h="1" x="1"/>
        <item h="1" x="2"/>
        <item h="1" x="3"/>
        <item h="1" x="4"/>
        <item h="1" x="5"/>
        <item h="1" x="6"/>
        <item h="1" x="7"/>
        <item h="1" x="8"/>
        <item h="1" x="9"/>
        <item h="1" x="10"/>
        <item h="1" x="11"/>
        <item t="default"/>
      </items>
    </pivotField>
    <pivotField axis="axisRow" numFmtId="14" showAll="0">
      <items count="4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2">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t="grand">
      <x/>
    </i>
  </rowItems>
  <colItems count="1">
    <i/>
  </colItems>
  <dataFields count="1">
    <dataField name="CW Temp / ℃" fld="5" baseField="0" baseItem="0"/>
  </dataFields>
  <chartFormats count="3">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9D0F22-EDB3-4276-9905-EBE44FC47C1A}" name="PivotTable2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C35" firstHeaderRow="0" firstDataRow="1" firstDataCol="1"/>
  <pivotFields count="24">
    <pivotField showAll="0">
      <items count="3">
        <item h="1" x="0"/>
        <item x="1"/>
        <item t="default"/>
      </items>
    </pivotField>
    <pivotField showAll="0">
      <items count="13">
        <item x="0"/>
        <item h="1" x="1"/>
        <item h="1" x="2"/>
        <item h="1" x="3"/>
        <item h="1" x="4"/>
        <item h="1" x="5"/>
        <item h="1" x="6"/>
        <item h="1" x="7"/>
        <item h="1" x="8"/>
        <item h="1" x="9"/>
        <item h="1" x="10"/>
        <item h="1" x="11"/>
        <item t="default"/>
      </items>
    </pivotField>
    <pivotField axis="axisRow" numFmtId="14" showAll="0">
      <items count="4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2">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t="grand">
      <x/>
    </i>
  </rowItems>
  <colFields count="1">
    <field x="-2"/>
  </colFields>
  <colItems count="2">
    <i>
      <x/>
    </i>
    <i i="1">
      <x v="1"/>
    </i>
  </colItems>
  <dataFields count="2">
    <dataField name=" GAN Spec Power(Kwh/Nm3)" fld="3" baseField="0" baseItem="0"/>
    <dataField name="CDA Spec power(Kwh/Nm3)" fld="4" baseField="0" baseItem="0"/>
  </dataFields>
  <chartFormats count="6">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1"/>
          </reference>
        </references>
      </pivotArea>
    </chartFormat>
    <chartFormat chart="2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AB16983-DE1D-43F5-8231-6CA14BDAD782}" sourceName="Year">
  <pivotTables>
    <pivotTable tabId="23" name="PivotTable20"/>
    <pivotTable tabId="24" name="PivotTable20"/>
    <pivotTable tabId="26" name="PivotTable20"/>
  </pivotTables>
  <data>
    <tabular pivotCacheId="910054638">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216DFC7-2536-448D-B839-B8B24C508044}" sourceName="Month">
  <pivotTables>
    <pivotTable tabId="23" name="PivotTable20"/>
    <pivotTable tabId="24" name="PivotTable20"/>
    <pivotTable tabId="26" name="PivotTable20"/>
  </pivotTables>
  <data>
    <tabular pivotCacheId="910054638">
      <items count="12">
        <i x="0" s="1"/>
        <i x="1"/>
        <i x="2" nd="1"/>
        <i x="3" nd="1"/>
        <i x="4" nd="1"/>
        <i x="5" nd="1"/>
        <i x="6" nd="1"/>
        <i x="7" nd="1"/>
        <i x="8" nd="1"/>
        <i x="9" nd="1"/>
        <i x="10" nd="1"/>
        <i x="1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91796D3-6877-460A-8F23-810461C57012}" cache="Slicer_Year" caption="Year" rowHeight="234950"/>
  <slicer name="Month" xr10:uid="{A7A3FEBA-92C0-47B4-8DE2-B85E98B7E02B}" cache="Slicer_Month" caption="Month"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4EE9493-B85C-4F1E-8135-BCDCB49ACC66}" cache="Slicer_Year" caption="Year" rowHeight="234950"/>
  <slicer name="Month 1" xr10:uid="{0C8914B3-6EEF-4766-A0DF-37B749EEA148}" cache="Slicer_Month" caption="Month" style="ll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21FBD-E641-4262-8DE7-5DA65D68922A}" name="Table1" displayName="Table1" ref="A5:AO408" totalsRowShown="0" headerRowDxfId="40" dataDxfId="39">
  <autoFilter ref="A5:AO408" xr:uid="{AB7A2D57-C7F8-402E-B32E-33E2AD3AD653}"/>
  <sortState xmlns:xlrd2="http://schemas.microsoft.com/office/spreadsheetml/2017/richdata2" ref="A6:Y190">
    <sortCondition ref="C5:C190"/>
  </sortState>
  <tableColumns count="41">
    <tableColumn id="1" xr3:uid="{2E2DE1A1-31D9-4D01-A56A-DD9362F9A1E8}" name="Year">
      <calculatedColumnFormula>YEAR(C6)</calculatedColumnFormula>
    </tableColumn>
    <tableColumn id="2" xr3:uid="{FCFF9107-82BF-4C56-B594-7F1F73F304F1}" name="Month">
      <calculatedColumnFormula>MONTH(C6)</calculatedColumnFormula>
    </tableColumn>
    <tableColumn id="3" xr3:uid="{B4E790EE-00D5-47DA-A775-B7A17F75ED70}" name="Date" dataDxfId="38"/>
    <tableColumn id="4" xr3:uid="{4EB87BC0-A849-421D-9605-9059DB50C597}" name="GAN Spec Power_x000a_(Kwh/Nm3)" dataDxfId="37"/>
    <tableColumn id="5" xr3:uid="{31649F3F-D8E3-4959-9E0E-AA734832E51D}" name="CDA Spec power_x000a_(Kwh/Nm3)" dataDxfId="36"/>
    <tableColumn id="6" xr3:uid="{78092583-DCE5-4494-9786-2D48550CD740}" name="CW Temp._x000a_(℃)" dataDxfId="35"/>
    <tableColumn id="7" xr3:uid="{D3F1E12C-9EB8-4BA9-97BE-0A2A55EBE46E}" name="TN120" dataDxfId="34"/>
    <tableColumn id="8" xr3:uid="{EB0124BC-27EA-492D-B307-EC0EC3CC2610}" name="TN550 I (N2)" dataDxfId="33"/>
    <tableColumn id="9" xr3:uid="{2C91F0A4-C1DF-4989-8355-2D49C9E5E3C4}" name="TN550 I (O2)" dataDxfId="32"/>
    <tableColumn id="14" xr3:uid="{5DB064D5-56D2-45C6-B134-535334FB4B3B}" name="TN120 GAN Recovery" dataDxfId="31"/>
    <tableColumn id="15" xr3:uid="{F1FCE8EE-363C-498D-9EF7-3D37346CCA1B}" name="TN550 I GAN Recovery" dataDxfId="30"/>
    <tableColumn id="10" xr3:uid="{7E50ECD6-F92B-4584-A394-0C6808FDBFC3}" name="TN550 I (O2) Recovery" dataDxfId="29" dataCellStyle="Percent">
      <calculatedColumnFormula>Table1[[#This Row],[TN550 I (O2)]]/(Table1[[#This Row],[Flowmeter A]]+Table1[[#This Row],[Flowmeter B]])</calculatedColumnFormula>
    </tableColumn>
    <tableColumn id="21" xr3:uid="{6C819AE9-4B4B-40F2-A1E8-63C0BDADA716}" name="TN120 Venting" dataDxfId="28" dataCellStyle="Percent">
      <calculatedColumnFormula>Table1[[#This Row],[TN120 Venting2]]/100</calculatedColumnFormula>
    </tableColumn>
    <tableColumn id="20" xr3:uid="{A3B280DC-D980-419F-A12F-99F3D44B76AA}" name="TN550 I Venting" dataDxfId="27" dataCellStyle="Percent">
      <calculatedColumnFormula>Table1[[#This Row],[TN550 I Venting2]]/100</calculatedColumnFormula>
    </tableColumn>
    <tableColumn id="19" xr3:uid="{0DA46C94-D746-4C63-91EC-73F8AE226558}" name="TN550 I (O2) Venting" dataDxfId="26" dataCellStyle="Percent">
      <calculatedColumnFormula>(Table1[[#This Row],[TN550 I (O2)]]-Table1[[#This Row],[O2]])/Table1[[#This Row],[TN550 I (O2)]]</calculatedColumnFormula>
    </tableColumn>
    <tableColumn id="26" xr3:uid="{4C822EDF-D17A-4BAF-9542-B517ED2A2AF2}" name="N2" dataDxfId="25">
      <calculatedColumnFormula>Table1[[#This Row],[M-N2]]+Table1[[#This Row],[TEN-N2]]</calculatedColumnFormula>
    </tableColumn>
    <tableColumn id="27" xr3:uid="{F72733EE-5615-49ED-A025-8A253752C3EA}" name="O2"/>
    <tableColumn id="22" xr3:uid="{B8C51411-DF21-4EE6-B3FA-F9098560603D}" name="CDA" dataDxfId="24">
      <calculatedColumnFormula>SUM(Table1[[#This Row],[TEN-CDA]:[TEN-CDA WWT]])</calculatedColumnFormula>
    </tableColumn>
    <tableColumn id="25" xr3:uid="{AB0B71A1-AE3A-427F-B660-8ECAF7BD061A}" name="Ar"/>
    <tableColumn id="18" xr3:uid="{CF9B5336-E111-42CA-83B2-6C909E004B97}" name="H2"/>
    <tableColumn id="17" xr3:uid="{663EE5B2-7115-4809-BD76-0CD02248CF35}" name="He"/>
    <tableColumn id="44" xr3:uid="{A4BD802C-EA66-423E-8DF8-BA3A1174DC7C}" name="TN120 Venting2" dataDxfId="23" dataCellStyle="Comma"/>
    <tableColumn id="45" xr3:uid="{D45E78BA-8199-463D-917C-CD8CEE38FF61}" name="TN550 I Venting2" dataDxfId="22" dataCellStyle="Comma"/>
    <tableColumn id="23" xr3:uid="{98C07A2C-D3A4-4756-B5D4-DCE28D3084BC}" name="Flowmeter A" dataDxfId="21"/>
    <tableColumn id="24" xr3:uid="{6F38D2DB-18F7-4C02-B56B-F2E8A2B67644}" name="Flowmeter B" dataDxfId="20"/>
    <tableColumn id="28" xr3:uid="{32CA251C-1B04-4221-88D4-EBA7EF2FF9C3}" name="M-N2" dataDxfId="19"/>
    <tableColumn id="29" xr3:uid="{46795DB7-E37F-4804-8275-32561C15CAED}" name="TEN-N2" dataDxfId="18"/>
    <tableColumn id="30" xr3:uid="{32500721-DFA4-4A64-9A51-E6979D8D777C}" name="TEN-CDA" dataDxfId="17"/>
    <tableColumn id="31" xr3:uid="{171E7324-F423-4938-AEAC-281EC93EB7CE}" name="M-CDA OTHER" dataDxfId="16"/>
    <tableColumn id="32" xr3:uid="{13B63059-C995-47A8-A90F-BF1396A4F3EE}" name="M-CDA PHOTO" dataDxfId="15"/>
    <tableColumn id="33" xr3:uid="{C1DF9349-C61A-4775-9D92-590203595264}" name="M-CDA IA" dataDxfId="14"/>
    <tableColumn id="34" xr3:uid="{27792772-4606-4B77-8CEA-910863BCA754}" name="TEN-CDA WWT" dataDxfId="13"/>
    <tableColumn id="35" xr3:uid="{7353FA6F-7996-4224-A52C-8AF064CF953C}" name="Column6" dataDxfId="12"/>
    <tableColumn id="36" xr3:uid="{31B1DC91-171B-4437-9EA0-EBCD25B39BB3}" name="Column7" dataDxfId="11"/>
    <tableColumn id="37" xr3:uid="{0EB0230C-6B83-40B6-819D-17811F56039E}" name="Column8" dataDxfId="10"/>
    <tableColumn id="38" xr3:uid="{0C66BD9A-2DBF-46C4-9AAE-928A1F61B288}" name="Column9" dataDxfId="9"/>
    <tableColumn id="39" xr3:uid="{174050F1-9FC2-4B3C-84C9-77F54D750A93}" name="Column10" dataDxfId="8"/>
    <tableColumn id="40" xr3:uid="{A5B578AC-5E86-40F1-98D4-9CFF03D68940}" name="Column11" dataDxfId="7"/>
    <tableColumn id="41" xr3:uid="{833B9871-2E2A-4687-8E14-16FCF3AC82CF}" name="Column12" dataDxfId="6"/>
    <tableColumn id="42" xr3:uid="{3D7981E3-E300-4FE2-8F4F-554B3299AF48}" name="Column13" dataDxfId="5"/>
    <tableColumn id="43" xr3:uid="{9333B887-E93D-48DA-9030-F4FC033F23C0}" name="Column14"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49E9-B07B-4C7D-B740-ABEAB9B44598}">
  <dimension ref="A2:N35"/>
  <sheetViews>
    <sheetView topLeftCell="A6" workbookViewId="0">
      <selection activeCell="K3" sqref="K3:N33"/>
    </sheetView>
  </sheetViews>
  <sheetFormatPr defaultRowHeight="14.4" x14ac:dyDescent="0.3"/>
  <cols>
    <col min="1" max="1" width="14.77734375" bestFit="1" customWidth="1"/>
    <col min="2" max="2" width="12.77734375" bestFit="1" customWidth="1"/>
    <col min="3" max="4" width="18.109375" bestFit="1" customWidth="1"/>
    <col min="5" max="5" width="14.44140625" bestFit="1" customWidth="1"/>
    <col min="6" max="6" width="17.44140625" bestFit="1" customWidth="1"/>
    <col min="7" max="7" width="15.33203125" bestFit="1" customWidth="1"/>
    <col min="8" max="8" width="15.88671875" bestFit="1" customWidth="1"/>
    <col min="11" max="11" width="10.88671875" customWidth="1"/>
    <col min="13" max="13" width="11.33203125" customWidth="1"/>
    <col min="14" max="14" width="11.44140625" customWidth="1"/>
  </cols>
  <sheetData>
    <row r="2" spans="1:14" ht="15" thickBot="1" x14ac:dyDescent="0.35"/>
    <row r="3" spans="1:14" x14ac:dyDescent="0.3">
      <c r="A3" s="4" t="s">
        <v>4</v>
      </c>
      <c r="B3" t="s">
        <v>20</v>
      </c>
      <c r="C3" t="s">
        <v>21</v>
      </c>
      <c r="D3" t="s">
        <v>22</v>
      </c>
      <c r="E3" t="s">
        <v>23</v>
      </c>
      <c r="F3" t="s">
        <v>24</v>
      </c>
      <c r="G3" t="s">
        <v>25</v>
      </c>
      <c r="H3" t="s">
        <v>26</v>
      </c>
      <c r="L3" s="12" t="s">
        <v>9</v>
      </c>
      <c r="M3" s="12" t="s">
        <v>27</v>
      </c>
      <c r="N3" s="12" t="s">
        <v>28</v>
      </c>
    </row>
    <row r="4" spans="1:14" x14ac:dyDescent="0.3">
      <c r="A4" s="3">
        <v>44197</v>
      </c>
      <c r="B4" s="5">
        <v>11168.723430180864</v>
      </c>
      <c r="C4" s="5">
        <v>53602.995361836402</v>
      </c>
      <c r="D4" s="5">
        <v>1749.953876058564</v>
      </c>
      <c r="E4" s="5">
        <v>0</v>
      </c>
      <c r="F4" s="5">
        <v>0</v>
      </c>
      <c r="G4" s="5">
        <v>1.9805726105351151</v>
      </c>
      <c r="H4" s="5">
        <v>7506.7247306829022</v>
      </c>
      <c r="J4">
        <v>1</v>
      </c>
      <c r="K4" s="6">
        <f t="shared" ref="K4:K31" ca="1" si="0">K5-1</f>
        <v>44204</v>
      </c>
      <c r="L4">
        <f ca="1">VLOOKUP($K4,$A$4:$D$3500,2)</f>
        <v>12350.824415960056</v>
      </c>
      <c r="M4">
        <f ca="1">VLOOKUP($K4,$A$4:$D$3500,3)</f>
        <v>54247.874810244619</v>
      </c>
      <c r="N4">
        <f ca="1">VLOOKUP($K4,$A$4:$D$3500,4)</f>
        <v>1763.9484914955706</v>
      </c>
    </row>
    <row r="5" spans="1:14" x14ac:dyDescent="0.3">
      <c r="A5" s="3">
        <v>44198</v>
      </c>
      <c r="B5" s="5">
        <v>11154.438652124298</v>
      </c>
      <c r="C5" s="5">
        <v>53712.01856620836</v>
      </c>
      <c r="D5" s="5">
        <v>1749.9808694388121</v>
      </c>
      <c r="E5" s="5">
        <v>0</v>
      </c>
      <c r="F5" s="5">
        <v>0</v>
      </c>
      <c r="G5" s="5">
        <v>2777.5813128842319</v>
      </c>
      <c r="H5" s="5">
        <v>7505.960007020949</v>
      </c>
      <c r="J5">
        <v>2</v>
      </c>
      <c r="K5" s="6">
        <f t="shared" ca="1" si="0"/>
        <v>44205</v>
      </c>
      <c r="L5">
        <f t="shared" ref="L5:L33" ca="1" si="1">VLOOKUP($K5,$A$4:$D$3500,2)</f>
        <v>12346.393150101923</v>
      </c>
      <c r="M5">
        <f t="shared" ref="M5:M33" ca="1" si="2">VLOOKUP($K5,$A$4:$D$3500,3)</f>
        <v>56798.080374956626</v>
      </c>
      <c r="N5">
        <f t="shared" ref="N5:N33" ca="1" si="3">VLOOKUP($K5,$A$4:$D$3500,4)</f>
        <v>1750.0867265096397</v>
      </c>
    </row>
    <row r="6" spans="1:14" x14ac:dyDescent="0.3">
      <c r="A6" s="3">
        <v>44199</v>
      </c>
      <c r="B6" s="5">
        <v>10894.660404965083</v>
      </c>
      <c r="C6" s="5">
        <v>53805.234185244619</v>
      </c>
      <c r="D6" s="5">
        <v>1750.1340570072596</v>
      </c>
      <c r="E6" s="5">
        <v>0</v>
      </c>
      <c r="F6" s="5">
        <v>0</v>
      </c>
      <c r="G6" s="5">
        <v>5981.0085744256057</v>
      </c>
      <c r="H6" s="5">
        <v>7611.5392885122092</v>
      </c>
      <c r="J6">
        <v>3</v>
      </c>
      <c r="K6" s="6">
        <f t="shared" ca="1" si="0"/>
        <v>44206</v>
      </c>
      <c r="L6">
        <f t="shared" ca="1" si="1"/>
        <v>12339.852291025112</v>
      </c>
      <c r="M6">
        <f t="shared" ca="1" si="2"/>
        <v>56800.688624978313</v>
      </c>
      <c r="N6">
        <f t="shared" ca="1" si="3"/>
        <v>1750.0712988044056</v>
      </c>
    </row>
    <row r="7" spans="1:14" x14ac:dyDescent="0.3">
      <c r="A7" s="3">
        <v>44200</v>
      </c>
      <c r="B7" s="5">
        <v>11866.506024055559</v>
      </c>
      <c r="C7" s="5">
        <v>55370.806129640878</v>
      </c>
      <c r="D7" s="5">
        <v>1813.7195184245695</v>
      </c>
      <c r="E7" s="5">
        <v>0</v>
      </c>
      <c r="F7" s="5">
        <v>181</v>
      </c>
      <c r="G7" s="5">
        <v>1.5019514603239124</v>
      </c>
      <c r="H7" s="5">
        <v>7616.4469040732356</v>
      </c>
      <c r="J7">
        <v>4</v>
      </c>
      <c r="K7" s="6">
        <f t="shared" ca="1" si="0"/>
        <v>44207</v>
      </c>
      <c r="L7">
        <f t="shared" ca="1" si="1"/>
        <v>12345.014615908009</v>
      </c>
      <c r="M7">
        <f t="shared" ca="1" si="2"/>
        <v>56777.861193940837</v>
      </c>
      <c r="N7">
        <f t="shared" ca="1" si="3"/>
        <v>1749.9537382317781</v>
      </c>
    </row>
    <row r="8" spans="1:14" x14ac:dyDescent="0.3">
      <c r="A8" s="3">
        <v>44201</v>
      </c>
      <c r="B8" s="5">
        <v>12338.983248666293</v>
      </c>
      <c r="C8" s="5">
        <v>56600.531672883415</v>
      </c>
      <c r="D8" s="5">
        <v>1899.7858391152247</v>
      </c>
      <c r="E8" s="5">
        <v>0</v>
      </c>
      <c r="F8" s="5">
        <v>240.11</v>
      </c>
      <c r="G8" s="5">
        <v>1.9919348451348331</v>
      </c>
      <c r="H8" s="5">
        <v>7576.0186604083538</v>
      </c>
      <c r="J8">
        <v>5</v>
      </c>
      <c r="K8" s="6">
        <f t="shared" ca="1" si="0"/>
        <v>44208</v>
      </c>
      <c r="L8">
        <f t="shared" ca="1" si="1"/>
        <v>12392.042799325554</v>
      </c>
      <c r="M8">
        <f t="shared" ca="1" si="2"/>
        <v>57047.066265288864</v>
      </c>
      <c r="N8">
        <f t="shared" ca="1" si="3"/>
        <v>1805.3696436461769</v>
      </c>
    </row>
    <row r="9" spans="1:14" x14ac:dyDescent="0.3">
      <c r="A9" s="3">
        <v>44202</v>
      </c>
      <c r="B9" s="5">
        <v>12345.348880172189</v>
      </c>
      <c r="C9" s="5">
        <v>56847.365479701599</v>
      </c>
      <c r="D9" s="5">
        <v>1899.9961479658225</v>
      </c>
      <c r="E9" s="5">
        <v>0</v>
      </c>
      <c r="F9" s="5">
        <v>234.23</v>
      </c>
      <c r="G9" s="5">
        <v>1.8483767253421064</v>
      </c>
      <c r="H9" s="5">
        <v>7498.1933099030621</v>
      </c>
      <c r="J9">
        <v>6</v>
      </c>
      <c r="K9" s="6">
        <f t="shared" ca="1" si="0"/>
        <v>44209</v>
      </c>
      <c r="L9">
        <f t="shared" ca="1" si="1"/>
        <v>12431.295018785782</v>
      </c>
      <c r="M9">
        <f t="shared" ca="1" si="2"/>
        <v>57446.909489395395</v>
      </c>
      <c r="N9">
        <f t="shared" ca="1" si="3"/>
        <v>1899.9891554801352</v>
      </c>
    </row>
    <row r="10" spans="1:14" x14ac:dyDescent="0.3">
      <c r="A10" s="3">
        <v>44203</v>
      </c>
      <c r="B10" s="5">
        <v>12347.010401305515</v>
      </c>
      <c r="C10" s="5">
        <v>42022.614193558278</v>
      </c>
      <c r="D10" s="5">
        <v>1290.5763862869294</v>
      </c>
      <c r="E10" s="5">
        <v>0</v>
      </c>
      <c r="F10" s="5">
        <v>88.42</v>
      </c>
      <c r="G10" s="5">
        <v>4728.9179459828665</v>
      </c>
      <c r="H10" s="5">
        <v>6762.4647444672755</v>
      </c>
      <c r="J10">
        <v>7</v>
      </c>
      <c r="K10" s="6">
        <f t="shared" ca="1" si="0"/>
        <v>44210</v>
      </c>
      <c r="L10">
        <f t="shared" ca="1" si="1"/>
        <v>12751.931455613509</v>
      </c>
      <c r="M10">
        <f t="shared" ca="1" si="2"/>
        <v>57344.139876821653</v>
      </c>
      <c r="N10">
        <f t="shared" ca="1" si="3"/>
        <v>1899.9691351017632</v>
      </c>
    </row>
    <row r="11" spans="1:14" x14ac:dyDescent="0.3">
      <c r="A11" s="3">
        <v>44204</v>
      </c>
      <c r="B11" s="5">
        <v>12350.824415960056</v>
      </c>
      <c r="C11" s="5">
        <v>54247.874810244619</v>
      </c>
      <c r="D11" s="5">
        <v>1763.9484914955706</v>
      </c>
      <c r="E11" s="5">
        <v>0</v>
      </c>
      <c r="F11" s="5">
        <v>64.73</v>
      </c>
      <c r="G11" s="5">
        <v>6912.418265242778</v>
      </c>
      <c r="H11" s="5">
        <v>7325.8270247576556</v>
      </c>
      <c r="J11">
        <v>8</v>
      </c>
      <c r="K11" s="6">
        <f t="shared" ca="1" si="0"/>
        <v>44211</v>
      </c>
      <c r="L11">
        <f t="shared" ca="1" si="1"/>
        <v>12963.124858361163</v>
      </c>
      <c r="M11">
        <f t="shared" ca="1" si="2"/>
        <v>57501.353053435123</v>
      </c>
      <c r="N11">
        <f t="shared" ca="1" si="3"/>
        <v>1900.013214767848</v>
      </c>
    </row>
    <row r="12" spans="1:14" x14ac:dyDescent="0.3">
      <c r="A12" s="3">
        <v>44205</v>
      </c>
      <c r="B12" s="5">
        <v>12346.393150101923</v>
      </c>
      <c r="C12" s="5">
        <v>56798.080374956626</v>
      </c>
      <c r="D12" s="5">
        <v>1750.0867265096397</v>
      </c>
      <c r="E12" s="5">
        <v>0</v>
      </c>
      <c r="F12" s="5">
        <v>240.28</v>
      </c>
      <c r="G12" s="5">
        <v>2818.9764685571677</v>
      </c>
      <c r="H12" s="5">
        <v>7557.4181656212049</v>
      </c>
      <c r="J12">
        <v>9</v>
      </c>
      <c r="K12" s="6">
        <f t="shared" ca="1" si="0"/>
        <v>44212</v>
      </c>
      <c r="L12">
        <f t="shared" ca="1" si="1"/>
        <v>12927.870186990373</v>
      </c>
      <c r="M12">
        <f t="shared" ca="1" si="2"/>
        <v>57485.932292570265</v>
      </c>
      <c r="N12">
        <f t="shared" ca="1" si="3"/>
        <v>1900.1097910217245</v>
      </c>
    </row>
    <row r="13" spans="1:14" x14ac:dyDescent="0.3">
      <c r="A13" s="3">
        <v>44206</v>
      </c>
      <c r="B13" s="5">
        <v>12339.852291025112</v>
      </c>
      <c r="C13" s="5">
        <v>56800.688624978313</v>
      </c>
      <c r="D13" s="5">
        <v>1750.0712988044056</v>
      </c>
      <c r="E13" s="5">
        <v>0</v>
      </c>
      <c r="F13" s="5">
        <v>236.88</v>
      </c>
      <c r="G13" s="5">
        <v>1.4650738507323096</v>
      </c>
      <c r="H13" s="5">
        <v>7554.5762887778674</v>
      </c>
      <c r="J13">
        <v>10</v>
      </c>
      <c r="K13" s="6">
        <f t="shared" ca="1" si="0"/>
        <v>44213</v>
      </c>
      <c r="L13">
        <f t="shared" ca="1" si="1"/>
        <v>12925.533013369624</v>
      </c>
      <c r="M13">
        <f t="shared" ca="1" si="2"/>
        <v>57494.009682945871</v>
      </c>
      <c r="N13">
        <f t="shared" ca="1" si="3"/>
        <v>1900.080363096916</v>
      </c>
    </row>
    <row r="14" spans="1:14" x14ac:dyDescent="0.3">
      <c r="A14" s="3">
        <v>44207</v>
      </c>
      <c r="B14" s="5">
        <v>12345.014615908009</v>
      </c>
      <c r="C14" s="5">
        <v>56777.861193940837</v>
      </c>
      <c r="D14" s="5">
        <v>1749.9537382317781</v>
      </c>
      <c r="E14" s="5">
        <v>0</v>
      </c>
      <c r="F14" s="5">
        <v>240.1</v>
      </c>
      <c r="G14" s="5">
        <v>2.076420247141145</v>
      </c>
      <c r="H14" s="5">
        <v>7531.673893522835</v>
      </c>
      <c r="J14">
        <v>11</v>
      </c>
      <c r="K14" s="6">
        <f t="shared" ca="1" si="0"/>
        <v>44214</v>
      </c>
      <c r="L14">
        <f t="shared" ca="1" si="1"/>
        <v>12924.859479365456</v>
      </c>
      <c r="M14">
        <f t="shared" ca="1" si="2"/>
        <v>57501.843901804299</v>
      </c>
      <c r="N14">
        <f t="shared" ca="1" si="3"/>
        <v>1834.9301801862855</v>
      </c>
    </row>
    <row r="15" spans="1:14" x14ac:dyDescent="0.3">
      <c r="A15" s="3">
        <v>44208</v>
      </c>
      <c r="B15" s="5">
        <v>12392.042799325554</v>
      </c>
      <c r="C15" s="5">
        <v>57047.066265288864</v>
      </c>
      <c r="D15" s="5">
        <v>1805.3696436461769</v>
      </c>
      <c r="E15" s="5">
        <v>0</v>
      </c>
      <c r="F15" s="5">
        <v>257.37</v>
      </c>
      <c r="G15" s="5">
        <v>2.4203818065223395</v>
      </c>
      <c r="H15" s="5">
        <v>7532.966647781489</v>
      </c>
      <c r="J15">
        <v>12</v>
      </c>
      <c r="K15" s="6">
        <f t="shared" ca="1" si="0"/>
        <v>44215</v>
      </c>
      <c r="L15">
        <f t="shared" ca="1" si="1"/>
        <v>12936.358323213046</v>
      </c>
      <c r="M15">
        <f t="shared" ca="1" si="2"/>
        <v>57492.147664924531</v>
      </c>
      <c r="N15">
        <f t="shared" ca="1" si="3"/>
        <v>1700.017704176787</v>
      </c>
    </row>
    <row r="16" spans="1:14" x14ac:dyDescent="0.3">
      <c r="A16" s="3">
        <v>44209</v>
      </c>
      <c r="B16" s="5">
        <v>12431.295018785782</v>
      </c>
      <c r="C16" s="5">
        <v>57446.909489395395</v>
      </c>
      <c r="D16" s="5">
        <v>1899.9891554801352</v>
      </c>
      <c r="E16" s="5">
        <v>0</v>
      </c>
      <c r="F16" s="5">
        <v>294.45999999999998</v>
      </c>
      <c r="G16" s="5">
        <v>1.9095696563748792</v>
      </c>
      <c r="H16" s="5">
        <v>7560.197535348716</v>
      </c>
      <c r="J16">
        <v>13</v>
      </c>
      <c r="K16" s="6">
        <f t="shared" ca="1" si="0"/>
        <v>44216</v>
      </c>
      <c r="L16">
        <f t="shared" ca="1" si="1"/>
        <v>12924.384914040813</v>
      </c>
      <c r="M16">
        <f t="shared" ca="1" si="2"/>
        <v>57445.149576032272</v>
      </c>
      <c r="N16">
        <f t="shared" ca="1" si="3"/>
        <v>1700.1673090959241</v>
      </c>
    </row>
    <row r="17" spans="1:14" x14ac:dyDescent="0.3">
      <c r="A17" s="3">
        <v>44210</v>
      </c>
      <c r="B17" s="5">
        <v>12751.931455613509</v>
      </c>
      <c r="C17" s="5">
        <v>57344.139876821653</v>
      </c>
      <c r="D17" s="5">
        <v>1899.9691351017632</v>
      </c>
      <c r="E17" s="5">
        <v>0</v>
      </c>
      <c r="F17" s="5">
        <v>302.06</v>
      </c>
      <c r="G17" s="5">
        <v>1.5861577485737048</v>
      </c>
      <c r="H17" s="5">
        <v>7244.2143543306975</v>
      </c>
      <c r="J17">
        <v>14</v>
      </c>
      <c r="K17" s="6">
        <f t="shared" ca="1" si="0"/>
        <v>44217</v>
      </c>
      <c r="L17">
        <f t="shared" ca="1" si="1"/>
        <v>12919.344398556776</v>
      </c>
      <c r="M17">
        <f t="shared" ca="1" si="2"/>
        <v>57478.755570675741</v>
      </c>
      <c r="N17">
        <f t="shared" ca="1" si="3"/>
        <v>1668.3925698232022</v>
      </c>
    </row>
    <row r="18" spans="1:14" x14ac:dyDescent="0.3">
      <c r="A18" s="3">
        <v>44211</v>
      </c>
      <c r="B18" s="5">
        <v>12963.124858361163</v>
      </c>
      <c r="C18" s="5">
        <v>57501.353053435123</v>
      </c>
      <c r="D18" s="5">
        <v>1900.013214767848</v>
      </c>
      <c r="E18" s="5">
        <v>0</v>
      </c>
      <c r="F18" s="5">
        <v>304.8</v>
      </c>
      <c r="G18" s="5">
        <v>2.8916369242575564</v>
      </c>
      <c r="H18" s="5">
        <v>-0.4072937746802901</v>
      </c>
      <c r="J18">
        <v>15</v>
      </c>
      <c r="K18" s="6">
        <f t="shared" ca="1" si="0"/>
        <v>44218</v>
      </c>
      <c r="L18">
        <f t="shared" ca="1" si="1"/>
        <v>12929.092559962701</v>
      </c>
      <c r="M18">
        <f t="shared" ca="1" si="2"/>
        <v>57479.87134506119</v>
      </c>
      <c r="N18">
        <f t="shared" ca="1" si="3"/>
        <v>1564.5771314500928</v>
      </c>
    </row>
    <row r="19" spans="1:14" x14ac:dyDescent="0.3">
      <c r="A19" s="3">
        <v>44212</v>
      </c>
      <c r="B19" s="5">
        <v>12927.870186990373</v>
      </c>
      <c r="C19" s="5">
        <v>57485.932292570265</v>
      </c>
      <c r="D19" s="5">
        <v>1900.1097910217245</v>
      </c>
      <c r="E19" s="5">
        <v>0</v>
      </c>
      <c r="F19" s="5">
        <v>295.33</v>
      </c>
      <c r="G19" s="5">
        <v>3.3397373473123082</v>
      </c>
      <c r="H19" s="5">
        <v>-0.50134093386859824</v>
      </c>
      <c r="J19">
        <v>16</v>
      </c>
      <c r="K19" s="6">
        <f t="shared" ca="1" si="0"/>
        <v>44219</v>
      </c>
      <c r="L19">
        <f t="shared" ca="1" si="1"/>
        <v>12933.522206123134</v>
      </c>
      <c r="M19">
        <f t="shared" ca="1" si="2"/>
        <v>57496.914433878381</v>
      </c>
      <c r="N19">
        <f t="shared" ca="1" si="3"/>
        <v>1549.9826050228248</v>
      </c>
    </row>
    <row r="20" spans="1:14" x14ac:dyDescent="0.3">
      <c r="A20" s="3">
        <v>44213</v>
      </c>
      <c r="B20" s="5">
        <v>12925.533013369624</v>
      </c>
      <c r="C20" s="5">
        <v>57494.009682945871</v>
      </c>
      <c r="D20" s="5">
        <v>1900.080363096916</v>
      </c>
      <c r="E20" s="5">
        <v>0</v>
      </c>
      <c r="F20" s="5">
        <v>299.24</v>
      </c>
      <c r="G20" s="5">
        <v>3.1806687521570511</v>
      </c>
      <c r="H20" s="5">
        <v>2646.0395492463554</v>
      </c>
      <c r="J20">
        <v>17</v>
      </c>
      <c r="K20" s="6">
        <f t="shared" ca="1" si="0"/>
        <v>44220</v>
      </c>
      <c r="L20">
        <f t="shared" ca="1" si="1"/>
        <v>12932.111181064582</v>
      </c>
      <c r="M20">
        <f t="shared" ca="1" si="2"/>
        <v>57501.903880768565</v>
      </c>
      <c r="N20">
        <f t="shared" ca="1" si="3"/>
        <v>1641.3626475178642</v>
      </c>
    </row>
    <row r="21" spans="1:14" x14ac:dyDescent="0.3">
      <c r="A21" s="3">
        <v>44214</v>
      </c>
      <c r="B21" s="5">
        <v>12924.859479365456</v>
      </c>
      <c r="C21" s="5">
        <v>57501.843901804299</v>
      </c>
      <c r="D21" s="5">
        <v>1834.9301801862855</v>
      </c>
      <c r="E21" s="5">
        <v>0</v>
      </c>
      <c r="F21" s="5">
        <v>309.66000000000003</v>
      </c>
      <c r="G21" s="5">
        <v>2952.9876827856965</v>
      </c>
      <c r="H21" s="5">
        <v>7843.7789360009328</v>
      </c>
      <c r="J21">
        <v>18</v>
      </c>
      <c r="K21" s="6">
        <f t="shared" ca="1" si="0"/>
        <v>44221</v>
      </c>
      <c r="L21">
        <f t="shared" ca="1" si="1"/>
        <v>12923.887126724065</v>
      </c>
      <c r="M21">
        <f t="shared" ca="1" si="2"/>
        <v>57476.985017457497</v>
      </c>
      <c r="N21">
        <f t="shared" ca="1" si="3"/>
        <v>1700.9988525729475</v>
      </c>
    </row>
    <row r="22" spans="1:14" x14ac:dyDescent="0.3">
      <c r="A22" s="3">
        <v>44215</v>
      </c>
      <c r="B22" s="5">
        <v>12936.358323213046</v>
      </c>
      <c r="C22" s="5">
        <v>57492.147664924531</v>
      </c>
      <c r="D22" s="5">
        <v>1700.017704176787</v>
      </c>
      <c r="E22" s="5">
        <v>0</v>
      </c>
      <c r="F22" s="5">
        <v>267.91000000000003</v>
      </c>
      <c r="G22" s="5">
        <v>6976.9439354181122</v>
      </c>
      <c r="H22" s="5">
        <v>7903.9582568664337</v>
      </c>
      <c r="J22">
        <v>19</v>
      </c>
      <c r="K22" s="6">
        <f t="shared" ca="1" si="0"/>
        <v>44222</v>
      </c>
      <c r="L22">
        <f t="shared" ca="1" si="1"/>
        <v>11902.658058097675</v>
      </c>
      <c r="M22">
        <f t="shared" ca="1" si="2"/>
        <v>55638.630288753469</v>
      </c>
      <c r="N22">
        <f t="shared" ca="1" si="3"/>
        <v>1692.2094399573321</v>
      </c>
    </row>
    <row r="23" spans="1:14" x14ac:dyDescent="0.3">
      <c r="A23" s="3">
        <v>44216</v>
      </c>
      <c r="B23" s="5">
        <v>12924.384914040813</v>
      </c>
      <c r="C23" s="5">
        <v>57445.149576032272</v>
      </c>
      <c r="D23" s="5">
        <v>1700.1673090959241</v>
      </c>
      <c r="E23" s="5">
        <v>0</v>
      </c>
      <c r="F23" s="5">
        <v>275.99</v>
      </c>
      <c r="G23" s="5">
        <v>6866.2417530957237</v>
      </c>
      <c r="H23" s="5">
        <v>8009.0814026853086</v>
      </c>
      <c r="J23">
        <v>20</v>
      </c>
      <c r="K23" s="6">
        <f t="shared" ca="1" si="0"/>
        <v>44223</v>
      </c>
      <c r="L23">
        <f t="shared" ca="1" si="1"/>
        <v>11200.867563622269</v>
      </c>
      <c r="M23">
        <f t="shared" ca="1" si="2"/>
        <v>53301.921449405789</v>
      </c>
      <c r="N23">
        <f t="shared" ca="1" si="3"/>
        <v>1600.0373386062738</v>
      </c>
    </row>
    <row r="24" spans="1:14" x14ac:dyDescent="0.3">
      <c r="A24" s="3">
        <v>44217</v>
      </c>
      <c r="B24" s="5">
        <v>12919.344398556776</v>
      </c>
      <c r="C24" s="5">
        <v>57478.755570675741</v>
      </c>
      <c r="D24" s="5">
        <v>1668.3925698232022</v>
      </c>
      <c r="E24" s="5">
        <v>0</v>
      </c>
      <c r="F24" s="5">
        <v>280.10000000000002</v>
      </c>
      <c r="G24" s="5">
        <v>7000.7526548810501</v>
      </c>
      <c r="H24" s="5">
        <v>7963.439035324318</v>
      </c>
      <c r="J24">
        <v>21</v>
      </c>
      <c r="K24" s="6">
        <f t="shared" ca="1" si="0"/>
        <v>44224</v>
      </c>
      <c r="L24">
        <f t="shared" ca="1" si="1"/>
        <v>11466.310089428998</v>
      </c>
      <c r="M24">
        <f t="shared" ca="1" si="2"/>
        <v>53301.272971243925</v>
      </c>
      <c r="N24">
        <f t="shared" ca="1" si="3"/>
        <v>1599.9668282185223</v>
      </c>
    </row>
    <row r="25" spans="1:14" x14ac:dyDescent="0.3">
      <c r="A25" s="3">
        <v>44218</v>
      </c>
      <c r="B25" s="5">
        <v>12929.092559962701</v>
      </c>
      <c r="C25" s="5">
        <v>57479.87134506119</v>
      </c>
      <c r="D25" s="5">
        <v>1564.5771314500928</v>
      </c>
      <c r="E25" s="5">
        <v>0</v>
      </c>
      <c r="F25" s="5">
        <v>274.74</v>
      </c>
      <c r="G25" s="5">
        <v>6879.8883943577594</v>
      </c>
      <c r="H25" s="5">
        <v>7917.8049284215604</v>
      </c>
      <c r="J25">
        <v>22</v>
      </c>
      <c r="K25" s="6">
        <f t="shared" ca="1" si="0"/>
        <v>44225</v>
      </c>
      <c r="L25">
        <f t="shared" ca="1" si="1"/>
        <v>11526.928167423879</v>
      </c>
      <c r="M25">
        <f t="shared" ca="1" si="2"/>
        <v>53644.961954046667</v>
      </c>
      <c r="N25">
        <f t="shared" ca="1" si="3"/>
        <v>1599.9135371147966</v>
      </c>
    </row>
    <row r="26" spans="1:14" x14ac:dyDescent="0.3">
      <c r="A26" s="3">
        <v>44219</v>
      </c>
      <c r="B26" s="5">
        <v>12933.522206123134</v>
      </c>
      <c r="C26" s="5">
        <v>57496.914433878381</v>
      </c>
      <c r="D26" s="5">
        <v>1549.9826050228248</v>
      </c>
      <c r="E26" s="5">
        <v>0</v>
      </c>
      <c r="F26" s="5">
        <v>280.92</v>
      </c>
      <c r="G26" s="5">
        <v>5852.8842603613484</v>
      </c>
      <c r="H26" s="5">
        <v>7531.673893522835</v>
      </c>
      <c r="J26">
        <v>23</v>
      </c>
      <c r="K26" s="6">
        <f t="shared" ca="1" si="0"/>
        <v>44226</v>
      </c>
      <c r="L26">
        <f t="shared" ca="1" si="1"/>
        <v>11163.346851145036</v>
      </c>
      <c r="M26">
        <f t="shared" ca="1" si="2"/>
        <v>53873.524036584837</v>
      </c>
      <c r="N26">
        <f t="shared" ca="1" si="3"/>
        <v>1599.9226499474107</v>
      </c>
    </row>
    <row r="27" spans="1:14" x14ac:dyDescent="0.3">
      <c r="A27" s="3">
        <v>44220</v>
      </c>
      <c r="B27" s="5">
        <v>12932.111181064582</v>
      </c>
      <c r="C27" s="5">
        <v>57501.903880768565</v>
      </c>
      <c r="D27" s="5">
        <v>1641.3626475178642</v>
      </c>
      <c r="E27" s="5">
        <v>0</v>
      </c>
      <c r="F27" s="5">
        <v>278.07</v>
      </c>
      <c r="G27" s="5">
        <v>2.3123488887823926</v>
      </c>
      <c r="H27" s="5">
        <v>7532.966647781489</v>
      </c>
      <c r="J27">
        <v>24</v>
      </c>
      <c r="K27" s="6">
        <f t="shared" ca="1" si="0"/>
        <v>44227</v>
      </c>
      <c r="L27">
        <f t="shared" ca="1" si="1"/>
        <v>10931.475598136059</v>
      </c>
      <c r="M27">
        <f t="shared" ca="1" si="2"/>
        <v>54001.473564365027</v>
      </c>
      <c r="N27">
        <f t="shared" ca="1" si="3"/>
        <v>1600.0238053204698</v>
      </c>
    </row>
    <row r="28" spans="1:14" x14ac:dyDescent="0.3">
      <c r="A28" s="3">
        <v>44221</v>
      </c>
      <c r="B28" s="5">
        <v>12923.887126724065</v>
      </c>
      <c r="C28" s="5">
        <v>57476.985017457497</v>
      </c>
      <c r="D28" s="5">
        <v>1700.9988525729475</v>
      </c>
      <c r="E28" s="5">
        <v>0</v>
      </c>
      <c r="F28" s="5">
        <v>283.60000000000002</v>
      </c>
      <c r="G28" s="5">
        <v>2.8725671310709382</v>
      </c>
      <c r="H28" s="5">
        <v>7560.197535348716</v>
      </c>
      <c r="J28">
        <v>25</v>
      </c>
      <c r="K28" s="6">
        <f t="shared" ca="1" si="0"/>
        <v>44228</v>
      </c>
      <c r="L28">
        <f t="shared" ca="1" si="1"/>
        <v>10931.475598136059</v>
      </c>
      <c r="M28">
        <f t="shared" ca="1" si="2"/>
        <v>54001.473564365027</v>
      </c>
      <c r="N28">
        <f t="shared" ca="1" si="3"/>
        <v>1600.0238053204698</v>
      </c>
    </row>
    <row r="29" spans="1:14" x14ac:dyDescent="0.3">
      <c r="A29" s="3">
        <v>44222</v>
      </c>
      <c r="B29" s="5">
        <v>11902.658058097675</v>
      </c>
      <c r="C29" s="5">
        <v>55638.630288753469</v>
      </c>
      <c r="D29" s="5">
        <v>1692.2094399573321</v>
      </c>
      <c r="E29" s="5">
        <v>0</v>
      </c>
      <c r="F29" s="5">
        <v>169.95</v>
      </c>
      <c r="G29" s="5">
        <v>2.7537472792419604</v>
      </c>
      <c r="H29" s="5">
        <v>7244.2143543306975</v>
      </c>
      <c r="J29">
        <v>26</v>
      </c>
      <c r="K29" s="6">
        <f t="shared" ca="1" si="0"/>
        <v>44229</v>
      </c>
      <c r="L29">
        <f t="shared" ca="1" si="1"/>
        <v>10931.475598136059</v>
      </c>
      <c r="M29">
        <f t="shared" ca="1" si="2"/>
        <v>54001.473564365027</v>
      </c>
      <c r="N29">
        <f t="shared" ca="1" si="3"/>
        <v>1600.0238053204698</v>
      </c>
    </row>
    <row r="30" spans="1:14" x14ac:dyDescent="0.3">
      <c r="A30" s="3">
        <v>44223</v>
      </c>
      <c r="B30" s="5">
        <v>11200.867563622269</v>
      </c>
      <c r="C30" s="5">
        <v>53301.921449405789</v>
      </c>
      <c r="D30" s="5">
        <v>1600.0373386062738</v>
      </c>
      <c r="E30" s="5">
        <v>0</v>
      </c>
      <c r="F30" s="5">
        <v>0</v>
      </c>
      <c r="G30" s="5">
        <v>2.6679603883907417</v>
      </c>
      <c r="H30" s="5">
        <v>-0.4072937746802901</v>
      </c>
      <c r="J30">
        <v>27</v>
      </c>
      <c r="K30" s="6">
        <f t="shared" ca="1" si="0"/>
        <v>44230</v>
      </c>
      <c r="L30">
        <f t="shared" ca="1" si="1"/>
        <v>10931.475598136059</v>
      </c>
      <c r="M30">
        <f t="shared" ca="1" si="2"/>
        <v>54001.473564365027</v>
      </c>
      <c r="N30">
        <f t="shared" ca="1" si="3"/>
        <v>1600.0238053204698</v>
      </c>
    </row>
    <row r="31" spans="1:14" x14ac:dyDescent="0.3">
      <c r="A31" s="3">
        <v>44224</v>
      </c>
      <c r="B31" s="5">
        <v>11466.310089428998</v>
      </c>
      <c r="C31" s="5">
        <v>53301.272971243925</v>
      </c>
      <c r="D31" s="5">
        <v>1599.9668282185223</v>
      </c>
      <c r="E31" s="5">
        <v>0</v>
      </c>
      <c r="F31" s="5">
        <v>0</v>
      </c>
      <c r="G31" s="5">
        <v>7000.7526548810501</v>
      </c>
      <c r="H31" s="5">
        <v>-0.50134093386859824</v>
      </c>
      <c r="J31">
        <v>28</v>
      </c>
      <c r="K31" s="6">
        <f t="shared" ca="1" si="0"/>
        <v>44231</v>
      </c>
      <c r="L31">
        <f t="shared" ca="1" si="1"/>
        <v>10931.475598136059</v>
      </c>
      <c r="M31">
        <f t="shared" ca="1" si="2"/>
        <v>54001.473564365027</v>
      </c>
      <c r="N31">
        <f t="shared" ca="1" si="3"/>
        <v>1600.0238053204698</v>
      </c>
    </row>
    <row r="32" spans="1:14" x14ac:dyDescent="0.3">
      <c r="A32" s="3">
        <v>44225</v>
      </c>
      <c r="B32" s="5">
        <v>11526.928167423879</v>
      </c>
      <c r="C32" s="5">
        <v>53644.961954046667</v>
      </c>
      <c r="D32" s="5">
        <v>1599.9135371147966</v>
      </c>
      <c r="E32" s="5">
        <v>0</v>
      </c>
      <c r="F32" s="5">
        <v>0</v>
      </c>
      <c r="G32" s="5">
        <v>6879.8883943577594</v>
      </c>
      <c r="H32" s="5">
        <v>2646.0395492463554</v>
      </c>
      <c r="J32">
        <v>29</v>
      </c>
      <c r="K32" s="6">
        <f ca="1">K33-1</f>
        <v>44232</v>
      </c>
      <c r="L32">
        <f t="shared" ca="1" si="1"/>
        <v>10931.475598136059</v>
      </c>
      <c r="M32">
        <f t="shared" ca="1" si="2"/>
        <v>54001.473564365027</v>
      </c>
      <c r="N32">
        <f t="shared" ca="1" si="3"/>
        <v>1600.0238053204698</v>
      </c>
    </row>
    <row r="33" spans="1:14" x14ac:dyDescent="0.3">
      <c r="A33" s="3">
        <v>44226</v>
      </c>
      <c r="B33" s="5">
        <v>11163.346851145036</v>
      </c>
      <c r="C33" s="5">
        <v>53873.524036584837</v>
      </c>
      <c r="D33" s="5">
        <v>1599.9226499474107</v>
      </c>
      <c r="E33" s="5">
        <v>0</v>
      </c>
      <c r="F33" s="5">
        <v>0</v>
      </c>
      <c r="G33" s="5">
        <v>5852.8842603613484</v>
      </c>
      <c r="H33" s="5">
        <v>7843.7789360009328</v>
      </c>
      <c r="J33">
        <v>30</v>
      </c>
      <c r="K33" s="6">
        <f ca="1">TODAY()-1</f>
        <v>44233</v>
      </c>
      <c r="L33">
        <f t="shared" ca="1" si="1"/>
        <v>10931.475598136059</v>
      </c>
      <c r="M33">
        <f t="shared" ca="1" si="2"/>
        <v>54001.473564365027</v>
      </c>
      <c r="N33">
        <f t="shared" ca="1" si="3"/>
        <v>1600.0238053204698</v>
      </c>
    </row>
    <row r="34" spans="1:14" x14ac:dyDescent="0.3">
      <c r="A34" s="3">
        <v>44227</v>
      </c>
      <c r="B34" s="5">
        <v>10931.475598136059</v>
      </c>
      <c r="C34" s="5">
        <v>54001.473564365027</v>
      </c>
      <c r="D34" s="5">
        <v>1600.0238053204698</v>
      </c>
      <c r="E34" s="5">
        <v>0</v>
      </c>
      <c r="F34" s="5">
        <v>0</v>
      </c>
      <c r="G34" s="5">
        <v>2.3123488887823926</v>
      </c>
      <c r="H34" s="5">
        <v>7903.9582568664337</v>
      </c>
    </row>
    <row r="35" spans="1:14" x14ac:dyDescent="0.3">
      <c r="A35" s="3" t="s">
        <v>5</v>
      </c>
      <c r="B35" s="5">
        <v>379504.69936381542</v>
      </c>
      <c r="C35" s="5">
        <v>1724540.8369086531</v>
      </c>
      <c r="D35" s="5">
        <v>53526.240851463874</v>
      </c>
      <c r="E35" s="5">
        <v>0</v>
      </c>
      <c r="F35" s="5">
        <v>5699.95</v>
      </c>
      <c r="G35" s="5">
        <v>79521.238012143163</v>
      </c>
      <c r="H35" s="5">
        <v>194929.33556743371</v>
      </c>
    </row>
  </sheetData>
  <pageMargins left="0.7" right="0.7" top="0.75" bottom="0.75" header="0.3" footer="0.3"/>
  <pageSetup paperSize="9" orientation="portrait" r:id="rId2"/>
  <headerFooter>
    <oddFooter>&amp;CAir Products Internal Use Only</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392E0-DA5C-4A3D-AF53-0F0BDA42E245}">
  <dimension ref="A3:B35"/>
  <sheetViews>
    <sheetView workbookViewId="0">
      <selection activeCell="N12" sqref="N12"/>
    </sheetView>
  </sheetViews>
  <sheetFormatPr defaultRowHeight="14.4" x14ac:dyDescent="0.3"/>
  <cols>
    <col min="1" max="1" width="14.77734375" bestFit="1" customWidth="1"/>
    <col min="2" max="2" width="12.77734375" bestFit="1" customWidth="1"/>
    <col min="3" max="3" width="25" bestFit="1" customWidth="1"/>
  </cols>
  <sheetData>
    <row r="3" spans="1:2" x14ac:dyDescent="0.3">
      <c r="A3" s="4" t="s">
        <v>4</v>
      </c>
      <c r="B3" t="s">
        <v>19</v>
      </c>
    </row>
    <row r="4" spans="1:2" x14ac:dyDescent="0.3">
      <c r="A4" s="3">
        <v>44197</v>
      </c>
      <c r="B4" s="5">
        <v>14.120783679440647</v>
      </c>
    </row>
    <row r="5" spans="1:2" x14ac:dyDescent="0.3">
      <c r="A5" s="3">
        <v>44198</v>
      </c>
      <c r="B5" s="5">
        <v>14.844815719631356</v>
      </c>
    </row>
    <row r="6" spans="1:2" x14ac:dyDescent="0.3">
      <c r="A6" s="3">
        <v>44199</v>
      </c>
      <c r="B6" s="5">
        <v>14.828254712281504</v>
      </c>
    </row>
    <row r="7" spans="1:2" x14ac:dyDescent="0.3">
      <c r="A7" s="3">
        <v>44200</v>
      </c>
      <c r="B7" s="5">
        <v>12.807401530036159</v>
      </c>
    </row>
    <row r="8" spans="1:2" x14ac:dyDescent="0.3">
      <c r="A8" s="3">
        <v>44201</v>
      </c>
      <c r="B8" s="5">
        <v>12.98477523546927</v>
      </c>
    </row>
    <row r="9" spans="1:2" x14ac:dyDescent="0.3">
      <c r="A9" s="3">
        <v>44202</v>
      </c>
      <c r="B9" s="5">
        <v>12.893324765953896</v>
      </c>
    </row>
    <row r="10" spans="1:2" x14ac:dyDescent="0.3">
      <c r="A10" s="3">
        <v>44203</v>
      </c>
      <c r="B10" s="5">
        <v>12.836806032576552</v>
      </c>
    </row>
    <row r="11" spans="1:2" x14ac:dyDescent="0.3">
      <c r="A11" s="3">
        <v>44204</v>
      </c>
      <c r="B11" s="5">
        <v>13.519954098999955</v>
      </c>
    </row>
    <row r="12" spans="1:2" x14ac:dyDescent="0.3">
      <c r="A12" s="3">
        <v>44205</v>
      </c>
      <c r="B12" s="5">
        <v>14.221789225036282</v>
      </c>
    </row>
    <row r="13" spans="1:2" x14ac:dyDescent="0.3">
      <c r="A13" s="3">
        <v>44206</v>
      </c>
      <c r="B13" s="5">
        <v>15.167929646043955</v>
      </c>
    </row>
    <row r="14" spans="1:2" x14ac:dyDescent="0.3">
      <c r="A14" s="3">
        <v>44207</v>
      </c>
      <c r="B14" s="5">
        <v>14.500132939287724</v>
      </c>
    </row>
    <row r="15" spans="1:2" x14ac:dyDescent="0.3">
      <c r="A15" s="3">
        <v>44208</v>
      </c>
      <c r="B15" s="5">
        <v>13.222168034931425</v>
      </c>
    </row>
    <row r="16" spans="1:2" x14ac:dyDescent="0.3">
      <c r="A16" s="3">
        <v>44209</v>
      </c>
      <c r="B16" s="5">
        <v>14.363689089053048</v>
      </c>
    </row>
    <row r="17" spans="1:2" x14ac:dyDescent="0.3">
      <c r="A17" s="3">
        <v>44210</v>
      </c>
      <c r="B17" s="5">
        <v>13.33244041400515</v>
      </c>
    </row>
    <row r="18" spans="1:2" x14ac:dyDescent="0.3">
      <c r="A18" s="3">
        <v>44211</v>
      </c>
      <c r="B18" s="5">
        <v>13.237997197343772</v>
      </c>
    </row>
    <row r="19" spans="1:2" x14ac:dyDescent="0.3">
      <c r="A19" s="3">
        <v>44212</v>
      </c>
      <c r="B19" s="5">
        <v>12.9931532365427</v>
      </c>
    </row>
    <row r="20" spans="1:2" x14ac:dyDescent="0.3">
      <c r="A20" s="3">
        <v>44213</v>
      </c>
      <c r="B20" s="5">
        <v>12.992537732756359</v>
      </c>
    </row>
    <row r="21" spans="1:2" x14ac:dyDescent="0.3">
      <c r="A21" s="3">
        <v>44214</v>
      </c>
      <c r="B21" s="5">
        <v>13.117191613837299</v>
      </c>
    </row>
    <row r="22" spans="1:2" x14ac:dyDescent="0.3">
      <c r="A22" s="3">
        <v>44215</v>
      </c>
      <c r="B22" s="5">
        <v>12.617754466991968</v>
      </c>
    </row>
    <row r="23" spans="1:2" x14ac:dyDescent="0.3">
      <c r="A23" s="3">
        <v>44216</v>
      </c>
      <c r="B23" s="5">
        <v>13.181691638965065</v>
      </c>
    </row>
    <row r="24" spans="1:2" x14ac:dyDescent="0.3">
      <c r="A24" s="3">
        <v>44217</v>
      </c>
      <c r="B24" s="5">
        <v>13.99187008925894</v>
      </c>
    </row>
    <row r="25" spans="1:2" x14ac:dyDescent="0.3">
      <c r="A25" s="3">
        <v>44218</v>
      </c>
      <c r="B25" s="5">
        <v>13.281581855836572</v>
      </c>
    </row>
    <row r="26" spans="1:2" x14ac:dyDescent="0.3">
      <c r="A26" s="3">
        <v>44219</v>
      </c>
      <c r="B26" s="5">
        <v>13.004362705265128</v>
      </c>
    </row>
    <row r="27" spans="1:2" x14ac:dyDescent="0.3">
      <c r="A27" s="3">
        <v>44220</v>
      </c>
      <c r="B27" s="5">
        <v>13.022980289604828</v>
      </c>
    </row>
    <row r="28" spans="1:2" x14ac:dyDescent="0.3">
      <c r="A28" s="3">
        <v>44221</v>
      </c>
      <c r="B28" s="5">
        <v>13.313094628841656</v>
      </c>
    </row>
    <row r="29" spans="1:2" x14ac:dyDescent="0.3">
      <c r="A29" s="3">
        <v>44222</v>
      </c>
      <c r="B29" s="5">
        <v>13.039982587905662</v>
      </c>
    </row>
    <row r="30" spans="1:2" x14ac:dyDescent="0.3">
      <c r="A30" s="3">
        <v>44223</v>
      </c>
      <c r="B30" s="5">
        <v>13.010154286000068</v>
      </c>
    </row>
    <row r="31" spans="1:2" x14ac:dyDescent="0.3">
      <c r="A31" s="3">
        <v>44224</v>
      </c>
      <c r="B31" s="5">
        <v>12.986461645360626</v>
      </c>
    </row>
    <row r="32" spans="1:2" x14ac:dyDescent="0.3">
      <c r="A32" s="3">
        <v>44225</v>
      </c>
      <c r="B32" s="5">
        <v>12.856187332677475</v>
      </c>
    </row>
    <row r="33" spans="1:2" x14ac:dyDescent="0.3">
      <c r="A33" s="3">
        <v>44226</v>
      </c>
      <c r="B33" s="5">
        <v>13.339514109593642</v>
      </c>
    </row>
    <row r="34" spans="1:2" x14ac:dyDescent="0.3">
      <c r="A34" s="3">
        <v>44227</v>
      </c>
      <c r="B34" s="5">
        <v>13.56280021548354</v>
      </c>
    </row>
    <row r="35" spans="1:2" x14ac:dyDescent="0.3">
      <c r="A35" s="3" t="s">
        <v>5</v>
      </c>
      <c r="B35" s="5">
        <v>417.19358075501225</v>
      </c>
    </row>
  </sheetData>
  <pageMargins left="0.7" right="0.7" top="0.75" bottom="0.75" header="0.3" footer="0.3"/>
  <pageSetup paperSize="9" orientation="portrait" r:id="rId2"/>
  <headerFooter>
    <oddFooter>&amp;CAir Products Internal Use Only</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084C8-571F-44E5-AA62-E442E51EE5E8}">
  <dimension ref="A3:C35"/>
  <sheetViews>
    <sheetView topLeftCell="A13" workbookViewId="0">
      <selection activeCell="A6" sqref="A6"/>
    </sheetView>
  </sheetViews>
  <sheetFormatPr defaultRowHeight="14.4" x14ac:dyDescent="0.3"/>
  <cols>
    <col min="1" max="1" width="14.77734375" bestFit="1" customWidth="1"/>
    <col min="2" max="2" width="25.77734375" bestFit="1" customWidth="1"/>
    <col min="3" max="3" width="25" bestFit="1" customWidth="1"/>
  </cols>
  <sheetData>
    <row r="3" spans="1:3" x14ac:dyDescent="0.3">
      <c r="A3" s="4" t="s">
        <v>4</v>
      </c>
      <c r="B3" t="s">
        <v>17</v>
      </c>
      <c r="C3" t="s">
        <v>18</v>
      </c>
    </row>
    <row r="4" spans="1:3" x14ac:dyDescent="0.3">
      <c r="A4" s="3">
        <v>44197</v>
      </c>
      <c r="B4" s="5">
        <v>0.19700000000000001</v>
      </c>
      <c r="C4" s="5">
        <v>0.13</v>
      </c>
    </row>
    <row r="5" spans="1:3" x14ac:dyDescent="0.3">
      <c r="A5" s="3">
        <v>44198</v>
      </c>
      <c r="B5" s="5">
        <v>0.19800000000000001</v>
      </c>
      <c r="C5" s="5">
        <v>0.13400000000000001</v>
      </c>
    </row>
    <row r="6" spans="1:3" x14ac:dyDescent="0.3">
      <c r="A6" s="3">
        <v>44199</v>
      </c>
      <c r="B6" s="5">
        <v>0.2</v>
      </c>
      <c r="C6" s="5">
        <v>0.13300000000000001</v>
      </c>
    </row>
    <row r="7" spans="1:3" x14ac:dyDescent="0.3">
      <c r="A7" s="3">
        <v>44200</v>
      </c>
      <c r="B7" s="5">
        <v>0.247</v>
      </c>
      <c r="C7" s="5">
        <v>0.13400000000000001</v>
      </c>
    </row>
    <row r="8" spans="1:3" x14ac:dyDescent="0.3">
      <c r="A8" s="3">
        <v>44201</v>
      </c>
      <c r="B8" s="5">
        <v>0.20899999999999999</v>
      </c>
      <c r="C8" s="5">
        <v>0.13300000000000001</v>
      </c>
    </row>
    <row r="9" spans="1:3" x14ac:dyDescent="0.3">
      <c r="A9" s="3">
        <v>44202</v>
      </c>
      <c r="B9" s="5">
        <v>0.21099999999999999</v>
      </c>
      <c r="C9" s="5">
        <v>0.13100000000000001</v>
      </c>
    </row>
    <row r="10" spans="1:3" x14ac:dyDescent="0.3">
      <c r="A10" s="3">
        <v>44203</v>
      </c>
      <c r="B10" s="5">
        <v>0.56399999999999995</v>
      </c>
      <c r="C10" s="5">
        <v>0.13200000000000001</v>
      </c>
    </row>
    <row r="11" spans="1:3" x14ac:dyDescent="0.3">
      <c r="A11" s="3">
        <v>44204</v>
      </c>
      <c r="B11" s="5">
        <v>0.59299999999999997</v>
      </c>
      <c r="C11" s="5">
        <v>0.13</v>
      </c>
    </row>
    <row r="12" spans="1:3" x14ac:dyDescent="0.3">
      <c r="A12" s="3">
        <v>44205</v>
      </c>
      <c r="B12" s="5">
        <v>0.21099999999999999</v>
      </c>
      <c r="C12" s="5">
        <v>0.124</v>
      </c>
    </row>
    <row r="13" spans="1:3" x14ac:dyDescent="0.3">
      <c r="A13" s="3">
        <v>44206</v>
      </c>
      <c r="B13" s="5">
        <v>0.21299999999999999</v>
      </c>
      <c r="C13" s="5">
        <v>0.13200000000000001</v>
      </c>
    </row>
    <row r="14" spans="1:3" x14ac:dyDescent="0.3">
      <c r="A14" s="3">
        <v>44207</v>
      </c>
      <c r="B14" s="5">
        <v>0.216</v>
      </c>
      <c r="C14" s="5">
        <v>0.13200000000000001</v>
      </c>
    </row>
    <row r="15" spans="1:3" x14ac:dyDescent="0.3">
      <c r="A15" s="3">
        <v>44208</v>
      </c>
      <c r="B15" s="5">
        <v>0.214</v>
      </c>
      <c r="C15" s="5">
        <v>0.14199999999999999</v>
      </c>
    </row>
    <row r="16" spans="1:3" x14ac:dyDescent="0.3">
      <c r="A16" s="3">
        <v>44209</v>
      </c>
      <c r="B16" s="5">
        <v>0.21299999999999999</v>
      </c>
      <c r="C16" s="5">
        <v>0.13500000000000001</v>
      </c>
    </row>
    <row r="17" spans="1:3" x14ac:dyDescent="0.3">
      <c r="A17" s="3">
        <v>44210</v>
      </c>
      <c r="B17" s="5">
        <v>0.21299999999999999</v>
      </c>
      <c r="C17" s="5">
        <v>0.13700000000000001</v>
      </c>
    </row>
    <row r="18" spans="1:3" x14ac:dyDescent="0.3">
      <c r="A18" s="3">
        <v>44211</v>
      </c>
      <c r="B18" s="5">
        <v>0.21</v>
      </c>
      <c r="C18" s="5">
        <v>0.123</v>
      </c>
    </row>
    <row r="19" spans="1:3" x14ac:dyDescent="0.3">
      <c r="A19" s="3">
        <v>44212</v>
      </c>
      <c r="B19" s="5">
        <v>0.20599999999999999</v>
      </c>
      <c r="C19" s="5">
        <v>0.13200000000000001</v>
      </c>
    </row>
    <row r="20" spans="1:3" x14ac:dyDescent="0.3">
      <c r="A20" s="3">
        <v>44213</v>
      </c>
      <c r="B20" s="5">
        <v>0.20899999999999999</v>
      </c>
      <c r="C20" s="5">
        <v>0.13300000000000001</v>
      </c>
    </row>
    <row r="21" spans="1:3" x14ac:dyDescent="0.3">
      <c r="A21" s="3">
        <v>44214</v>
      </c>
      <c r="B21" s="5">
        <v>0.21199999999999999</v>
      </c>
      <c r="C21" s="5">
        <v>0.13400000000000001</v>
      </c>
    </row>
    <row r="22" spans="1:3" x14ac:dyDescent="0.3">
      <c r="A22" s="3">
        <v>44215</v>
      </c>
      <c r="B22" s="5">
        <v>0.216</v>
      </c>
      <c r="C22" s="5">
        <v>0.13200000000000001</v>
      </c>
    </row>
    <row r="23" spans="1:3" x14ac:dyDescent="0.3">
      <c r="A23" s="3">
        <v>44216</v>
      </c>
      <c r="B23" s="5">
        <v>0.21299999999999999</v>
      </c>
      <c r="C23" s="5">
        <v>0.13300000000000001</v>
      </c>
    </row>
    <row r="24" spans="1:3" x14ac:dyDescent="0.3">
      <c r="A24" s="3">
        <v>44217</v>
      </c>
      <c r="B24" s="5">
        <v>0.21199999999999999</v>
      </c>
      <c r="C24" s="5">
        <v>0.13400000000000001</v>
      </c>
    </row>
    <row r="25" spans="1:3" x14ac:dyDescent="0.3">
      <c r="A25" s="3">
        <v>44218</v>
      </c>
      <c r="B25" s="5">
        <v>0.21199999999999999</v>
      </c>
      <c r="C25" s="5">
        <v>0.13500000000000001</v>
      </c>
    </row>
    <row r="26" spans="1:3" x14ac:dyDescent="0.3">
      <c r="A26" s="3">
        <v>44219</v>
      </c>
      <c r="B26" s="5">
        <v>0.214</v>
      </c>
      <c r="C26" s="5">
        <v>0.13300000000000001</v>
      </c>
    </row>
    <row r="27" spans="1:3" x14ac:dyDescent="0.3">
      <c r="A27" s="3">
        <v>44220</v>
      </c>
      <c r="B27" s="5">
        <v>0.20899999999999999</v>
      </c>
      <c r="C27" s="5">
        <v>0.13600000000000001</v>
      </c>
    </row>
    <row r="28" spans="1:3" x14ac:dyDescent="0.3">
      <c r="A28" s="3">
        <v>44221</v>
      </c>
      <c r="B28" s="5">
        <v>0.20699999999999999</v>
      </c>
      <c r="C28" s="5">
        <v>0.13100000000000001</v>
      </c>
    </row>
    <row r="29" spans="1:3" x14ac:dyDescent="0.3">
      <c r="A29" s="3">
        <v>44222</v>
      </c>
      <c r="B29" s="5">
        <v>0.20300000000000001</v>
      </c>
      <c r="C29" s="5">
        <v>0.13500000000000001</v>
      </c>
    </row>
    <row r="30" spans="1:3" x14ac:dyDescent="0.3">
      <c r="A30" s="3">
        <v>44223</v>
      </c>
      <c r="B30" s="5">
        <v>0.19700000000000001</v>
      </c>
      <c r="C30" s="5">
        <v>0.13600000000000001</v>
      </c>
    </row>
    <row r="31" spans="1:3" x14ac:dyDescent="0.3">
      <c r="A31" s="3">
        <v>44224</v>
      </c>
      <c r="B31" s="5">
        <v>0.19900000000000001</v>
      </c>
      <c r="C31" s="5">
        <v>0.13600000000000001</v>
      </c>
    </row>
    <row r="32" spans="1:3" x14ac:dyDescent="0.3">
      <c r="A32" s="3">
        <v>44225</v>
      </c>
      <c r="B32" s="5">
        <v>0.19800000000000001</v>
      </c>
      <c r="C32" s="5">
        <v>0.13500000000000001</v>
      </c>
    </row>
    <row r="33" spans="1:3" x14ac:dyDescent="0.3">
      <c r="A33" s="3">
        <v>44226</v>
      </c>
      <c r="B33" s="5">
        <v>0.20499999999999999</v>
      </c>
      <c r="C33" s="5">
        <v>0.14000000000000001</v>
      </c>
    </row>
    <row r="34" spans="1:3" x14ac:dyDescent="0.3">
      <c r="A34" s="3">
        <v>44227</v>
      </c>
      <c r="B34" s="5">
        <v>0.19900000000000001</v>
      </c>
      <c r="C34" s="5">
        <v>0.13700000000000001</v>
      </c>
    </row>
    <row r="35" spans="1:3" x14ac:dyDescent="0.3">
      <c r="A35" s="3" t="s">
        <v>5</v>
      </c>
      <c r="B35" s="5">
        <v>7.22</v>
      </c>
      <c r="C35" s="5">
        <v>4.1340000000000003</v>
      </c>
    </row>
  </sheetData>
  <pageMargins left="0.7" right="0.7" top="0.75" bottom="0.75" header="0.3" footer="0.3"/>
  <pageSetup paperSize="9" orientation="portrait" r:id="rId2"/>
  <headerFooter>
    <oddFooter>&amp;CAir Products Internal Use Only</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9E0D7-8D3D-4982-9BD8-EBF1EA5E84EA}">
  <sheetPr codeName="Sheet3"/>
  <dimension ref="A1:CL408"/>
  <sheetViews>
    <sheetView zoomScaleNormal="100" workbookViewId="0">
      <pane xSplit="3" ySplit="5" topLeftCell="AP15" activePane="bottomRight" state="frozen"/>
      <selection pane="topRight" activeCell="D1" sqref="D1"/>
      <selection pane="bottomLeft" activeCell="A7" sqref="A7"/>
      <selection pane="bottomRight" activeCell="AU24" sqref="AU24"/>
    </sheetView>
  </sheetViews>
  <sheetFormatPr defaultRowHeight="14.4" x14ac:dyDescent="0.3"/>
  <cols>
    <col min="1" max="1" width="13.33203125" customWidth="1"/>
    <col min="2" max="2" width="10.5546875" customWidth="1"/>
    <col min="3" max="3" width="13.77734375" customWidth="1"/>
    <col min="4" max="4" width="21.44140625" customWidth="1"/>
    <col min="5" max="5" width="13.5546875" customWidth="1"/>
    <col min="6" max="6" width="17.109375" customWidth="1"/>
    <col min="7" max="7" width="17.77734375" customWidth="1"/>
    <col min="8" max="9" width="14.33203125" customWidth="1"/>
    <col min="10" max="10" width="10.33203125" style="22" customWidth="1"/>
    <col min="11" max="11" width="14.33203125" customWidth="1"/>
    <col min="12" max="12" width="9.33203125" style="33" customWidth="1"/>
    <col min="13" max="15" width="14.33203125" style="33" customWidth="1"/>
    <col min="16" max="21" width="14.33203125" customWidth="1"/>
    <col min="22" max="23" width="18.109375" customWidth="1"/>
    <col min="24" max="24" width="17" customWidth="1"/>
    <col min="25" max="25" width="14.88671875" customWidth="1"/>
    <col min="26" max="26" width="13" customWidth="1"/>
    <col min="27" max="27" width="12" customWidth="1"/>
    <col min="29" max="29" width="12.77734375" customWidth="1"/>
    <col min="30" max="30" width="12.6640625" customWidth="1"/>
    <col min="31" max="31" width="11.33203125" customWidth="1"/>
    <col min="32" max="32" width="9.44140625" customWidth="1"/>
    <col min="33" max="42" width="6.33203125" customWidth="1"/>
    <col min="43" max="43" width="9.6640625" customWidth="1"/>
    <col min="44" max="44" width="15.5546875" customWidth="1"/>
    <col min="45" max="45" width="14.88671875" customWidth="1"/>
    <col min="46" max="46" width="14.44140625" customWidth="1"/>
    <col min="47" max="47" width="10.5546875" bestFit="1" customWidth="1"/>
    <col min="48" max="48" width="12.21875" customWidth="1"/>
    <col min="49" max="49" width="7" bestFit="1" customWidth="1"/>
    <col min="50" max="50" width="13.109375" customWidth="1"/>
    <col min="51" max="51" width="12.88671875" customWidth="1"/>
    <col min="52" max="52" width="12.44140625" customWidth="1"/>
    <col min="53" max="53" width="11.77734375" bestFit="1" customWidth="1"/>
    <col min="54" max="54" width="13.109375" customWidth="1"/>
    <col min="55" max="56" width="11.77734375" customWidth="1"/>
    <col min="57" max="57" width="3.88671875" customWidth="1"/>
    <col min="58" max="58" width="17.44140625" customWidth="1"/>
    <col min="59" max="59" width="13" customWidth="1"/>
    <col min="60" max="60" width="6.5546875" customWidth="1"/>
    <col min="61" max="61" width="10.109375" customWidth="1"/>
    <col min="62" max="89" width="2.44140625" customWidth="1"/>
  </cols>
  <sheetData>
    <row r="1" spans="1:90" ht="15" thickBot="1" x14ac:dyDescent="0.35">
      <c r="A1" s="2" t="s">
        <v>35</v>
      </c>
      <c r="B1" s="2"/>
      <c r="C1" s="2"/>
      <c r="D1" s="2" t="s">
        <v>0</v>
      </c>
      <c r="E1" s="2"/>
      <c r="F1" s="2"/>
      <c r="G1" s="2"/>
      <c r="H1" s="2"/>
      <c r="I1" s="2"/>
      <c r="J1" s="19"/>
      <c r="K1" s="2"/>
      <c r="L1" s="29"/>
      <c r="M1" s="29"/>
      <c r="N1" s="29"/>
      <c r="O1" s="29"/>
      <c r="P1" s="2"/>
      <c r="Q1" s="2"/>
      <c r="R1" s="2"/>
      <c r="S1" s="2"/>
      <c r="T1" s="2"/>
      <c r="U1" s="2"/>
      <c r="V1" s="2"/>
      <c r="W1" s="2"/>
    </row>
    <row r="2" spans="1:90" x14ac:dyDescent="0.3">
      <c r="A2" s="2"/>
      <c r="B2" s="2"/>
      <c r="C2" s="2"/>
      <c r="D2" s="2"/>
      <c r="E2" s="2"/>
      <c r="F2" s="2"/>
      <c r="G2" s="37" t="s">
        <v>29</v>
      </c>
      <c r="H2" s="2"/>
      <c r="I2" s="2"/>
      <c r="J2" s="38" t="s">
        <v>57</v>
      </c>
      <c r="K2" s="2"/>
      <c r="L2" s="29"/>
      <c r="M2" s="29" t="s">
        <v>34</v>
      </c>
      <c r="N2" s="29"/>
      <c r="O2" s="29"/>
      <c r="P2" s="37" t="s">
        <v>58</v>
      </c>
      <c r="Q2" s="2"/>
      <c r="R2" s="2"/>
      <c r="S2" s="2"/>
      <c r="T2" s="2"/>
      <c r="U2" s="2"/>
      <c r="V2" s="2"/>
      <c r="W2" s="2"/>
      <c r="AQ2" s="55" t="s">
        <v>117</v>
      </c>
      <c r="AS2" t="s">
        <v>104</v>
      </c>
    </row>
    <row r="3" spans="1:90" ht="30" customHeight="1" x14ac:dyDescent="0.3">
      <c r="A3" s="2"/>
      <c r="B3" s="2"/>
      <c r="C3" s="2"/>
      <c r="D3" s="23" t="s">
        <v>36</v>
      </c>
      <c r="E3" s="23" t="s">
        <v>37</v>
      </c>
      <c r="F3" s="23" t="s">
        <v>38</v>
      </c>
      <c r="G3" s="24" t="s">
        <v>39</v>
      </c>
      <c r="H3" s="24" t="s">
        <v>40</v>
      </c>
      <c r="I3" s="24" t="s">
        <v>14</v>
      </c>
      <c r="J3" s="23" t="s">
        <v>12</v>
      </c>
      <c r="K3" s="23" t="s">
        <v>13</v>
      </c>
      <c r="L3" s="34" t="s">
        <v>50</v>
      </c>
      <c r="M3" s="34" t="s">
        <v>50</v>
      </c>
      <c r="N3" s="34" t="s">
        <v>50</v>
      </c>
      <c r="O3" s="34" t="s">
        <v>50</v>
      </c>
      <c r="P3" s="34" t="s">
        <v>50</v>
      </c>
      <c r="Q3" s="36" t="s">
        <v>72</v>
      </c>
      <c r="R3" s="34" t="s">
        <v>50</v>
      </c>
      <c r="S3" s="23" t="s">
        <v>95</v>
      </c>
      <c r="T3" s="23" t="s">
        <v>97</v>
      </c>
      <c r="U3" s="23" t="s">
        <v>99</v>
      </c>
      <c r="V3" s="40" t="s">
        <v>55</v>
      </c>
      <c r="W3" s="36" t="s">
        <v>56</v>
      </c>
      <c r="X3" s="23" t="s">
        <v>15</v>
      </c>
      <c r="Y3" s="23" t="s">
        <v>16</v>
      </c>
      <c r="Z3" s="23" t="s">
        <v>68</v>
      </c>
      <c r="AA3" s="23" t="s">
        <v>70</v>
      </c>
      <c r="AB3" s="23" t="s">
        <v>85</v>
      </c>
      <c r="AC3" s="23" t="s">
        <v>87</v>
      </c>
      <c r="AD3" s="23" t="s">
        <v>89</v>
      </c>
      <c r="AE3" s="23" t="s">
        <v>91</v>
      </c>
      <c r="AF3" s="23" t="s">
        <v>93</v>
      </c>
      <c r="AS3" s="17" t="s">
        <v>115</v>
      </c>
      <c r="AT3" s="60" t="s">
        <v>133</v>
      </c>
      <c r="AU3" s="17" t="s">
        <v>115</v>
      </c>
      <c r="AV3" s="60" t="s">
        <v>112</v>
      </c>
      <c r="AW3" s="17" t="s">
        <v>115</v>
      </c>
      <c r="AX3" s="60" t="s">
        <v>111</v>
      </c>
      <c r="AY3" s="17" t="s">
        <v>115</v>
      </c>
      <c r="AZ3" s="60" t="s">
        <v>114</v>
      </c>
      <c r="BA3" s="61" t="s">
        <v>121</v>
      </c>
      <c r="BB3" s="17" t="s">
        <v>115</v>
      </c>
      <c r="BC3" s="17" t="s">
        <v>115</v>
      </c>
      <c r="BD3" s="17" t="s">
        <v>115</v>
      </c>
    </row>
    <row r="4" spans="1:90" ht="13.8" customHeight="1" x14ac:dyDescent="0.3">
      <c r="A4" s="2"/>
      <c r="B4" s="2"/>
      <c r="C4" s="2"/>
      <c r="D4" s="23"/>
      <c r="E4" s="23"/>
      <c r="F4" s="25" t="s">
        <v>41</v>
      </c>
      <c r="G4" s="26" t="s">
        <v>42</v>
      </c>
      <c r="H4" s="25" t="s">
        <v>43</v>
      </c>
      <c r="I4" s="25" t="s">
        <v>44</v>
      </c>
      <c r="J4" s="23"/>
      <c r="K4" s="23"/>
      <c r="L4" s="30"/>
      <c r="M4" s="30"/>
      <c r="N4" s="30"/>
      <c r="O4" s="30"/>
      <c r="P4" s="27"/>
      <c r="Q4" s="25" t="s">
        <v>71</v>
      </c>
      <c r="R4" s="27"/>
      <c r="S4" s="25" t="s">
        <v>94</v>
      </c>
      <c r="T4" s="25" t="s">
        <v>96</v>
      </c>
      <c r="U4" s="25" t="s">
        <v>98</v>
      </c>
      <c r="V4" s="41"/>
      <c r="W4" s="27"/>
      <c r="X4" s="25" t="s">
        <v>45</v>
      </c>
      <c r="Y4" s="25" t="s">
        <v>46</v>
      </c>
      <c r="Z4" s="25" t="s">
        <v>67</v>
      </c>
      <c r="AA4" s="25" t="s">
        <v>69</v>
      </c>
      <c r="AB4" s="25" t="s">
        <v>84</v>
      </c>
      <c r="AC4" s="25" t="s">
        <v>86</v>
      </c>
      <c r="AD4" s="25" t="s">
        <v>88</v>
      </c>
      <c r="AE4" s="25" t="s">
        <v>90</v>
      </c>
      <c r="AF4" s="25" t="s">
        <v>92</v>
      </c>
      <c r="AR4" s="6">
        <f ca="1">TODAY()</f>
        <v>44234</v>
      </c>
      <c r="AS4" s="17" t="s">
        <v>107</v>
      </c>
      <c r="AT4" s="17" t="s">
        <v>103</v>
      </c>
      <c r="AU4" s="17" t="s">
        <v>106</v>
      </c>
      <c r="AV4" s="17" t="s">
        <v>105</v>
      </c>
      <c r="AW4" s="17" t="s">
        <v>108</v>
      </c>
      <c r="AX4" s="17" t="s">
        <v>110</v>
      </c>
      <c r="AY4" s="17" t="s">
        <v>109</v>
      </c>
      <c r="AZ4" s="17" t="s">
        <v>113</v>
      </c>
      <c r="BA4" s="17" t="s">
        <v>120</v>
      </c>
      <c r="BB4" s="17" t="s">
        <v>122</v>
      </c>
      <c r="BC4" s="17" t="s">
        <v>134</v>
      </c>
      <c r="BD4" s="17" t="s">
        <v>135</v>
      </c>
    </row>
    <row r="5" spans="1:90" ht="15" thickBot="1" x14ac:dyDescent="0.35">
      <c r="A5" s="9" t="s">
        <v>1</v>
      </c>
      <c r="B5" s="9" t="s">
        <v>2</v>
      </c>
      <c r="C5" s="10" t="s">
        <v>3</v>
      </c>
      <c r="D5" s="9" t="s">
        <v>6</v>
      </c>
      <c r="E5" s="9" t="s">
        <v>7</v>
      </c>
      <c r="F5" s="9" t="s">
        <v>8</v>
      </c>
      <c r="G5" s="9" t="s">
        <v>9</v>
      </c>
      <c r="H5" s="9" t="s">
        <v>10</v>
      </c>
      <c r="I5" s="9" t="s">
        <v>11</v>
      </c>
      <c r="J5" s="20" t="s">
        <v>12</v>
      </c>
      <c r="K5" s="9" t="s">
        <v>13</v>
      </c>
      <c r="L5" s="31" t="s">
        <v>51</v>
      </c>
      <c r="M5" s="31" t="s">
        <v>52</v>
      </c>
      <c r="N5" s="31" t="s">
        <v>53</v>
      </c>
      <c r="O5" s="31" t="s">
        <v>54</v>
      </c>
      <c r="P5" s="9" t="s">
        <v>59</v>
      </c>
      <c r="Q5" s="9" t="s">
        <v>60</v>
      </c>
      <c r="R5" s="9" t="s">
        <v>61</v>
      </c>
      <c r="S5" s="9" t="s">
        <v>62</v>
      </c>
      <c r="T5" s="9" t="s">
        <v>63</v>
      </c>
      <c r="U5" s="9" t="s">
        <v>64</v>
      </c>
      <c r="V5" s="42" t="s">
        <v>100</v>
      </c>
      <c r="W5" s="9" t="s">
        <v>101</v>
      </c>
      <c r="X5" s="9" t="s">
        <v>15</v>
      </c>
      <c r="Y5" s="9" t="s">
        <v>16</v>
      </c>
      <c r="Z5" s="9" t="s">
        <v>65</v>
      </c>
      <c r="AA5" s="2" t="s">
        <v>66</v>
      </c>
      <c r="AB5" s="2" t="s">
        <v>73</v>
      </c>
      <c r="AC5" s="2" t="s">
        <v>80</v>
      </c>
      <c r="AD5" s="2" t="s">
        <v>81</v>
      </c>
      <c r="AE5" s="2" t="s">
        <v>82</v>
      </c>
      <c r="AF5" s="2" t="s">
        <v>83</v>
      </c>
      <c r="AG5" s="2" t="s">
        <v>47</v>
      </c>
      <c r="AH5" s="2" t="s">
        <v>48</v>
      </c>
      <c r="AI5" s="2" t="s">
        <v>49</v>
      </c>
      <c r="AJ5" s="2" t="s">
        <v>74</v>
      </c>
      <c r="AK5" s="2" t="s">
        <v>75</v>
      </c>
      <c r="AL5" s="2" t="s">
        <v>76</v>
      </c>
      <c r="AM5" s="2" t="s">
        <v>77</v>
      </c>
      <c r="AN5" s="2" t="s">
        <v>78</v>
      </c>
      <c r="AO5" s="2" t="s">
        <v>79</v>
      </c>
      <c r="AP5" s="2"/>
      <c r="AQ5" s="1" t="s">
        <v>116</v>
      </c>
      <c r="AR5" s="6">
        <f ca="1">TODAY()-1</f>
        <v>44233</v>
      </c>
      <c r="AS5" s="33" t="e">
        <f ca="1">AT5/43.254/100</f>
        <v>#NAME?</v>
      </c>
      <c r="AT5" t="e" cm="1">
        <f t="array" aca="1" ref="AT5" ca="1">_xll.PPMAddin.Functions.PPMDailyTag(A1,AT3,AR5)</f>
        <v>#NAME?</v>
      </c>
      <c r="AU5" s="33" t="e">
        <f ca="1">AV5/43.254/100</f>
        <v>#NAME?</v>
      </c>
      <c r="AV5" t="e" cm="1">
        <f t="array" aca="1" ref="AV5" ca="1">_xll.PPMAddin.Functions.PPMDailyTag(A1,AV3,AR5)</f>
        <v>#NAME?</v>
      </c>
      <c r="AW5" s="33" t="e">
        <f ca="1">AX5/1.32958/100</f>
        <v>#NAME?</v>
      </c>
      <c r="AX5" t="e" cm="1">
        <f t="array" aca="1" ref="AX5" ca="1">_xll.PPMAddin.Functions.PPMDailyTag(A1,AX3,AR5)</f>
        <v>#NAME?</v>
      </c>
      <c r="AY5" s="33" t="e">
        <f ca="1">AZ5/1.32958/100</f>
        <v>#NAME?</v>
      </c>
      <c r="AZ5" t="e" cm="1">
        <f t="array" aca="1" ref="AZ5" ca="1">_xll.PPMAddin.Functions.PPMDailyTag(A1,AZ3,AR5)</f>
        <v>#NAME?</v>
      </c>
      <c r="BA5" t="e" cm="1">
        <f t="array" aca="1" ref="BA5" ca="1">_xll.PPMAddin.Functions.PPMDailyMetric(A1,BA3,AR4)</f>
        <v>#NAME?</v>
      </c>
      <c r="BB5" t="e">
        <f ca="1">SUM(AT5,AV5,AX5,AZ5)</f>
        <v>#NAME?</v>
      </c>
      <c r="BC5" s="22" t="e">
        <f ca="1">(BB5*1000-0.15*8400000)/1.25/CL19</f>
        <v>#NAME?</v>
      </c>
      <c r="BD5" s="22" t="e">
        <f ca="1">BB5*1000/1.25/CL19</f>
        <v>#NAME?</v>
      </c>
    </row>
    <row r="6" spans="1:90" ht="28.8" x14ac:dyDescent="0.3">
      <c r="A6" s="9">
        <f>YEAR(C6)</f>
        <v>2020</v>
      </c>
      <c r="B6" s="9">
        <f>MONTH(C6)</f>
        <v>1</v>
      </c>
      <c r="C6" s="10">
        <v>43831</v>
      </c>
      <c r="D6" s="9">
        <v>0.21299999999999999</v>
      </c>
      <c r="E6" s="9">
        <v>0.154</v>
      </c>
      <c r="F6" s="9">
        <v>11.680934232278965</v>
      </c>
      <c r="G6" s="9">
        <v>10427.121551873701</v>
      </c>
      <c r="H6" s="9">
        <v>54596.671183748265</v>
      </c>
      <c r="I6" s="9">
        <v>1491.8296357577744</v>
      </c>
      <c r="J6" s="20">
        <v>70.849999999999994</v>
      </c>
      <c r="K6" s="9">
        <v>71.790000000000006</v>
      </c>
      <c r="L6" s="31">
        <f>Table1[[#This Row],[TN550 I (O2)]]/(Table1[[#This Row],[Flowmeter A]]+Table1[[#This Row],[Flowmeter B]])</f>
        <v>1.9615182705229852E-2</v>
      </c>
      <c r="M6" s="33">
        <f>Table1[[#This Row],[TN120 Venting2]]/100</f>
        <v>2.4900000000000002E-2</v>
      </c>
      <c r="N6" s="31">
        <f>Table1[[#This Row],[TN550 I Venting2]]/100</f>
        <v>0</v>
      </c>
      <c r="O6" s="31">
        <f>(Table1[[#This Row],[TN550 I (O2)]]-Table1[[#This Row],[O2]])/Table1[[#This Row],[TN550 I (O2)]]</f>
        <v>1.5310114226677274E-2</v>
      </c>
      <c r="P6" s="9">
        <f>Table1[[#This Row],[M-N2]]+Table1[[#This Row],[TEN-N2]]</f>
        <v>63365.46040347415</v>
      </c>
      <c r="Q6" s="9">
        <v>1468.9895536275806</v>
      </c>
      <c r="R6" s="9">
        <f>SUM(Table1[[#This Row],[TEN-CDA]:[TEN-CDA WWT]])</f>
        <v>99664.888221053741</v>
      </c>
      <c r="S6" s="9">
        <v>432.87574097780941</v>
      </c>
      <c r="T6" s="9">
        <v>258.95285297846482</v>
      </c>
      <c r="U6" s="9">
        <v>38.617467465953311</v>
      </c>
      <c r="V6" s="42">
        <v>2.4900000000000002</v>
      </c>
      <c r="W6" s="9">
        <v>0</v>
      </c>
      <c r="X6" s="9">
        <v>74504.658255985429</v>
      </c>
      <c r="Y6" s="9">
        <v>1550.184473571142</v>
      </c>
      <c r="Z6">
        <v>61267.675621313327</v>
      </c>
      <c r="AA6">
        <v>2097.7847821608257</v>
      </c>
      <c r="AB6">
        <v>34942.560315102361</v>
      </c>
      <c r="AC6">
        <v>54739.336528452463</v>
      </c>
      <c r="AD6" s="1">
        <v>7101.3394422140655</v>
      </c>
      <c r="AE6" s="1">
        <v>2872.9480675108975</v>
      </c>
      <c r="AF6" s="1">
        <v>8.7038677739474526</v>
      </c>
      <c r="AG6" s="1"/>
      <c r="AH6" s="1"/>
      <c r="AI6" s="1"/>
      <c r="AJ6" s="1"/>
      <c r="AK6" s="1"/>
      <c r="AL6" s="1"/>
      <c r="AM6" s="1"/>
      <c r="AN6" s="1"/>
      <c r="AO6" s="1"/>
      <c r="AP6" s="1"/>
      <c r="AQ6" s="1"/>
      <c r="AR6" s="6">
        <f ca="1">AR5-1</f>
        <v>44232</v>
      </c>
      <c r="AS6" t="s">
        <v>115</v>
      </c>
      <c r="AT6" s="60" t="s">
        <v>138</v>
      </c>
      <c r="AU6" t="s">
        <v>115</v>
      </c>
      <c r="AV6" s="60" t="s">
        <v>141</v>
      </c>
      <c r="AW6" t="s">
        <v>115</v>
      </c>
      <c r="AX6" t="s">
        <v>115</v>
      </c>
      <c r="AY6" t="s">
        <v>115</v>
      </c>
      <c r="AZ6" t="s">
        <v>115</v>
      </c>
      <c r="BF6" s="55" t="s">
        <v>123</v>
      </c>
      <c r="BH6" s="1"/>
      <c r="BI6" s="39">
        <f t="shared" ref="BI6:CK6" ca="1" si="0">BJ6-1</f>
        <v>44204</v>
      </c>
      <c r="BJ6" s="6">
        <f t="shared" ca="1" si="0"/>
        <v>44205</v>
      </c>
      <c r="BK6" s="6">
        <f t="shared" ca="1" si="0"/>
        <v>44206</v>
      </c>
      <c r="BL6" s="6">
        <f t="shared" ca="1" si="0"/>
        <v>44207</v>
      </c>
      <c r="BM6" s="6">
        <f t="shared" ca="1" si="0"/>
        <v>44208</v>
      </c>
      <c r="BN6" s="6">
        <f t="shared" ca="1" si="0"/>
        <v>44209</v>
      </c>
      <c r="BO6" s="6">
        <f t="shared" ca="1" si="0"/>
        <v>44210</v>
      </c>
      <c r="BP6" s="6">
        <f t="shared" ca="1" si="0"/>
        <v>44211</v>
      </c>
      <c r="BQ6" s="6">
        <f t="shared" ca="1" si="0"/>
        <v>44212</v>
      </c>
      <c r="BR6" s="6">
        <f t="shared" ca="1" si="0"/>
        <v>44213</v>
      </c>
      <c r="BS6" s="6">
        <f t="shared" ca="1" si="0"/>
        <v>44214</v>
      </c>
      <c r="BT6" s="6">
        <f t="shared" ca="1" si="0"/>
        <v>44215</v>
      </c>
      <c r="BU6" s="6">
        <f t="shared" ca="1" si="0"/>
        <v>44216</v>
      </c>
      <c r="BV6" s="6">
        <f t="shared" ca="1" si="0"/>
        <v>44217</v>
      </c>
      <c r="BW6" s="6">
        <f t="shared" ca="1" si="0"/>
        <v>44218</v>
      </c>
      <c r="BX6" s="6">
        <f t="shared" ca="1" si="0"/>
        <v>44219</v>
      </c>
      <c r="BY6" s="6">
        <f t="shared" ca="1" si="0"/>
        <v>44220</v>
      </c>
      <c r="BZ6" s="6">
        <f t="shared" ca="1" si="0"/>
        <v>44221</v>
      </c>
      <c r="CA6" s="6">
        <f t="shared" ca="1" si="0"/>
        <v>44222</v>
      </c>
      <c r="CB6" s="6">
        <f t="shared" ca="1" si="0"/>
        <v>44223</v>
      </c>
      <c r="CC6" s="6">
        <f t="shared" ca="1" si="0"/>
        <v>44224</v>
      </c>
      <c r="CD6" s="6">
        <f t="shared" ca="1" si="0"/>
        <v>44225</v>
      </c>
      <c r="CE6" s="6">
        <f t="shared" ca="1" si="0"/>
        <v>44226</v>
      </c>
      <c r="CF6" s="6">
        <f t="shared" ca="1" si="0"/>
        <v>44227</v>
      </c>
      <c r="CG6" s="6">
        <f t="shared" ca="1" si="0"/>
        <v>44228</v>
      </c>
      <c r="CH6" s="6">
        <f t="shared" ca="1" si="0"/>
        <v>44229</v>
      </c>
      <c r="CI6" s="6">
        <f t="shared" ca="1" si="0"/>
        <v>44230</v>
      </c>
      <c r="CJ6" s="6">
        <f t="shared" ca="1" si="0"/>
        <v>44231</v>
      </c>
      <c r="CK6" s="6">
        <f t="shared" ca="1" si="0"/>
        <v>44232</v>
      </c>
      <c r="CL6" s="6">
        <f ca="1">TODAY()-1</f>
        <v>44233</v>
      </c>
    </row>
    <row r="7" spans="1:90" ht="17.399999999999999" customHeight="1" x14ac:dyDescent="0.3">
      <c r="A7" s="9">
        <f t="shared" ref="A7:A70" si="1">YEAR(C7)</f>
        <v>2020</v>
      </c>
      <c r="B7" s="9">
        <f t="shared" ref="B7:B70" si="2">MONTH(C7)</f>
        <v>1</v>
      </c>
      <c r="C7" s="10">
        <v>43832</v>
      </c>
      <c r="D7" s="9">
        <v>0.218</v>
      </c>
      <c r="E7" s="9">
        <v>0.157</v>
      </c>
      <c r="F7" s="9">
        <v>13.141996618611046</v>
      </c>
      <c r="G7" s="9">
        <v>10668.879398258588</v>
      </c>
      <c r="H7" s="9">
        <v>54602.855522965823</v>
      </c>
      <c r="I7" s="9">
        <v>1542.4779173872853</v>
      </c>
      <c r="J7" s="20">
        <v>70.91</v>
      </c>
      <c r="K7" s="9">
        <v>71.819999999999993</v>
      </c>
      <c r="L7" s="31">
        <f>Table1[[#This Row],[TN550 I (O2)]]/(Table1[[#This Row],[Flowmeter A]]+Table1[[#This Row],[Flowmeter B]])</f>
        <v>2.0287507658388704E-2</v>
      </c>
      <c r="M7" s="33">
        <f>Table1[[#This Row],[TN120 Venting2]]/100</f>
        <v>1.4499999999999999E-2</v>
      </c>
      <c r="N7" s="31">
        <f>Table1[[#This Row],[TN550 I Venting2]]/100</f>
        <v>0</v>
      </c>
      <c r="O7" s="31">
        <f>(Table1[[#This Row],[TN550 I (O2)]]-Table1[[#This Row],[O2]])/Table1[[#This Row],[TN550 I (O2)]]</f>
        <v>4.1988472050533014E-2</v>
      </c>
      <c r="P7" s="9">
        <f>Table1[[#This Row],[M-N2]]+Table1[[#This Row],[TEN-N2]]</f>
        <v>63495.762908533165</v>
      </c>
      <c r="Q7" s="9">
        <v>1477.7116264645049</v>
      </c>
      <c r="R7" s="9">
        <f>SUM(Table1[[#This Row],[TEN-CDA]:[TEN-CDA WWT]])</f>
        <v>98701.349322400216</v>
      </c>
      <c r="S7" s="9">
        <v>432.22208507784035</v>
      </c>
      <c r="T7" s="9">
        <v>260.73099717425441</v>
      </c>
      <c r="U7" s="9">
        <v>40.224296046990979</v>
      </c>
      <c r="V7" s="42">
        <v>1.45</v>
      </c>
      <c r="W7" s="9">
        <v>0</v>
      </c>
      <c r="X7" s="9">
        <v>74481.331621920544</v>
      </c>
      <c r="Y7" s="9">
        <v>1549.5906264062228</v>
      </c>
      <c r="Z7">
        <v>61385.597217101837</v>
      </c>
      <c r="AA7">
        <v>2110.1656914313248</v>
      </c>
      <c r="AB7">
        <v>33859.169889345503</v>
      </c>
      <c r="AC7">
        <v>54848.638646122483</v>
      </c>
      <c r="AD7" s="1">
        <v>7139.0298566533656</v>
      </c>
      <c r="AE7" s="1">
        <v>2843.7674585113414</v>
      </c>
      <c r="AF7" s="1">
        <v>10.743471767538788</v>
      </c>
      <c r="AG7" s="1"/>
      <c r="AH7" s="1"/>
      <c r="AI7" s="1"/>
      <c r="AJ7" s="1"/>
      <c r="AK7" s="1"/>
      <c r="AL7" s="1"/>
      <c r="AM7" s="1"/>
      <c r="AN7" s="1"/>
      <c r="AO7" s="1"/>
      <c r="AP7" s="1"/>
      <c r="AQ7" s="1" t="s">
        <v>118</v>
      </c>
      <c r="AS7" t="s">
        <v>136</v>
      </c>
      <c r="AT7" t="s">
        <v>137</v>
      </c>
      <c r="AU7" t="s">
        <v>140</v>
      </c>
      <c r="AV7" t="s">
        <v>139</v>
      </c>
      <c r="AW7" s="17" t="s">
        <v>120</v>
      </c>
      <c r="AX7" t="s">
        <v>122</v>
      </c>
      <c r="AY7" s="17" t="s">
        <v>142</v>
      </c>
      <c r="AZ7" s="17" t="s">
        <v>143</v>
      </c>
      <c r="BF7" s="1"/>
      <c r="BG7" s="1" t="s">
        <v>30</v>
      </c>
      <c r="BH7" s="1" t="str">
        <f>Table1[[#Headers],[TN120]]</f>
        <v>TN120</v>
      </c>
      <c r="BI7" s="1">
        <f ca="1">VLOOKUP(BI$6,$C$6:$AO$3502,5)</f>
        <v>12350.824415960056</v>
      </c>
      <c r="BJ7" s="1">
        <f t="shared" ref="BJ7:CL7" ca="1" si="3">VLOOKUP(BJ$6,$C$6:$AO$3502,5)</f>
        <v>12346.393150101923</v>
      </c>
      <c r="BK7" s="1">
        <f t="shared" ca="1" si="3"/>
        <v>12339.852291025112</v>
      </c>
      <c r="BL7" s="1">
        <f t="shared" ca="1" si="3"/>
        <v>12345.014615908009</v>
      </c>
      <c r="BM7" s="1">
        <f t="shared" ca="1" si="3"/>
        <v>12392.042799325554</v>
      </c>
      <c r="BN7" s="1">
        <f t="shared" ca="1" si="3"/>
        <v>12431.295018785782</v>
      </c>
      <c r="BO7" s="1">
        <f t="shared" ca="1" si="3"/>
        <v>12751.931455613509</v>
      </c>
      <c r="BP7" s="1">
        <f t="shared" ca="1" si="3"/>
        <v>12963.124858361163</v>
      </c>
      <c r="BQ7" s="1">
        <f t="shared" ca="1" si="3"/>
        <v>12927.870186990373</v>
      </c>
      <c r="BR7" s="1">
        <f t="shared" ca="1" si="3"/>
        <v>12925.533013369624</v>
      </c>
      <c r="BS7" s="1">
        <f t="shared" ca="1" si="3"/>
        <v>12924.859479365456</v>
      </c>
      <c r="BT7" s="1">
        <f t="shared" ca="1" si="3"/>
        <v>12936.358323213046</v>
      </c>
      <c r="BU7" s="1">
        <f t="shared" ca="1" si="3"/>
        <v>12924.384914040813</v>
      </c>
      <c r="BV7" s="1">
        <f t="shared" ca="1" si="3"/>
        <v>12919.344398556776</v>
      </c>
      <c r="BW7" s="1">
        <f t="shared" ca="1" si="3"/>
        <v>12929.092559962701</v>
      </c>
      <c r="BX7" s="1">
        <f t="shared" ca="1" si="3"/>
        <v>12933.522206123134</v>
      </c>
      <c r="BY7" s="1">
        <f t="shared" ca="1" si="3"/>
        <v>12932.111181064582</v>
      </c>
      <c r="BZ7" s="1">
        <f t="shared" ca="1" si="3"/>
        <v>12923.887126724065</v>
      </c>
      <c r="CA7" s="1">
        <f t="shared" ca="1" si="3"/>
        <v>11902.658058097675</v>
      </c>
      <c r="CB7" s="1">
        <f t="shared" ca="1" si="3"/>
        <v>11200.867563622269</v>
      </c>
      <c r="CC7" s="1">
        <f t="shared" ca="1" si="3"/>
        <v>11466.310089428998</v>
      </c>
      <c r="CD7" s="1">
        <f t="shared" ca="1" si="3"/>
        <v>11526.928167423879</v>
      </c>
      <c r="CE7" s="1">
        <f t="shared" ca="1" si="3"/>
        <v>11163.346851145036</v>
      </c>
      <c r="CF7" s="1">
        <f t="shared" ca="1" si="3"/>
        <v>10931.475598136059</v>
      </c>
      <c r="CG7" s="1">
        <f t="shared" ca="1" si="3"/>
        <v>10713.029975250478</v>
      </c>
      <c r="CH7" s="1">
        <f t="shared" ca="1" si="3"/>
        <v>10645.161056910349</v>
      </c>
      <c r="CI7" s="1">
        <f t="shared" ca="1" si="3"/>
        <v>10702.152702929823</v>
      </c>
      <c r="CJ7" s="1">
        <f t="shared" ca="1" si="3"/>
        <v>10931.475598136059</v>
      </c>
      <c r="CK7" s="1">
        <f t="shared" ca="1" si="3"/>
        <v>10645.161056910349</v>
      </c>
      <c r="CL7" s="1">
        <f t="shared" ca="1" si="3"/>
        <v>10702.152702929823</v>
      </c>
    </row>
    <row r="8" spans="1:90" x14ac:dyDescent="0.3">
      <c r="A8" s="9">
        <f t="shared" si="1"/>
        <v>2020</v>
      </c>
      <c r="B8" s="9">
        <f t="shared" si="2"/>
        <v>1</v>
      </c>
      <c r="C8" s="10">
        <v>43833</v>
      </c>
      <c r="D8" s="9">
        <v>0.21</v>
      </c>
      <c r="E8" s="9">
        <v>0.152</v>
      </c>
      <c r="F8" s="9">
        <v>13.300396698204532</v>
      </c>
      <c r="G8" s="9">
        <v>10691.624695036</v>
      </c>
      <c r="H8" s="9">
        <v>54600.007465518735</v>
      </c>
      <c r="I8" s="9">
        <v>1477.6279907650123</v>
      </c>
      <c r="J8" s="20">
        <v>70.959999999999994</v>
      </c>
      <c r="K8" s="9">
        <v>71.8</v>
      </c>
      <c r="L8" s="31">
        <f>Table1[[#This Row],[TN550 I (O2)]]/(Table1[[#This Row],[Flowmeter A]]+Table1[[#This Row],[Flowmeter B]])</f>
        <v>1.9432211982037328E-2</v>
      </c>
      <c r="M8" s="33">
        <f>Table1[[#This Row],[TN120 Venting2]]/100</f>
        <v>1.8200000000000001E-2</v>
      </c>
      <c r="N8" s="31">
        <f>Table1[[#This Row],[TN550 I Venting2]]/100</f>
        <v>0</v>
      </c>
      <c r="O8" s="31">
        <f>(Table1[[#This Row],[TN550 I (O2)]]-Table1[[#This Row],[O2]])/Table1[[#This Row],[TN550 I (O2)]]</f>
        <v>1.0589942757146996E-2</v>
      </c>
      <c r="P8" s="9">
        <f>Table1[[#This Row],[M-N2]]+Table1[[#This Row],[TEN-N2]]</f>
        <v>63362.556154045742</v>
      </c>
      <c r="Q8" s="9">
        <v>1461.9799949264527</v>
      </c>
      <c r="R8" s="9">
        <f>SUM(Table1[[#This Row],[TEN-CDA]:[TEN-CDA WWT]])</f>
        <v>98209.10277990569</v>
      </c>
      <c r="S8" s="9">
        <v>432.19786714145113</v>
      </c>
      <c r="T8" s="9">
        <v>258.80287995610917</v>
      </c>
      <c r="U8" s="9">
        <v>38.49954677394458</v>
      </c>
      <c r="V8" s="42">
        <v>1.82</v>
      </c>
      <c r="W8" s="9">
        <v>0</v>
      </c>
      <c r="X8" s="9">
        <v>74490.467844595769</v>
      </c>
      <c r="Y8" s="9">
        <v>1549.6655242093975</v>
      </c>
      <c r="Z8">
        <v>61205.611956612724</v>
      </c>
      <c r="AA8">
        <v>2156.9441974330161</v>
      </c>
      <c r="AB8">
        <v>33752.225211170626</v>
      </c>
      <c r="AC8">
        <v>54693.601985037669</v>
      </c>
      <c r="AD8" s="1">
        <v>6936.2120506940573</v>
      </c>
      <c r="AE8" s="1">
        <v>2813.3492186846051</v>
      </c>
      <c r="AF8" s="1">
        <v>13.714314318728023</v>
      </c>
      <c r="AG8" s="1"/>
      <c r="AH8" s="1"/>
      <c r="AI8" s="1"/>
      <c r="AJ8" s="1"/>
      <c r="AK8" s="1"/>
      <c r="AL8" s="1"/>
      <c r="AM8" s="1"/>
      <c r="AN8" s="1"/>
      <c r="AO8" s="1"/>
      <c r="AP8" s="1"/>
      <c r="AQ8" s="1"/>
      <c r="AS8" s="33" t="e">
        <f ca="1">AT8/9.1/100</f>
        <v>#NAME?</v>
      </c>
      <c r="AT8" s="22" t="e" cm="1">
        <f t="array" aca="1" ref="AT8" ca="1">_xll.PPMAddin.Functions.PPMDailyTag(A1,AT6,AR5)</f>
        <v>#NAME?</v>
      </c>
      <c r="AU8" s="33" t="e">
        <f ca="1">AV8/0.9716/100</f>
        <v>#NAME?</v>
      </c>
      <c r="AV8" s="22" t="e" cm="1">
        <f t="array" aca="1" ref="AV8" ca="1">_xll.PPMAddin.Functions.PPMDailyTag(A1,AV6,AR5)</f>
        <v>#NAME?</v>
      </c>
      <c r="AW8" s="22" t="e">
        <f ca="1">(AT8+AV8)-(AT9+AV9)</f>
        <v>#NAME?</v>
      </c>
      <c r="AX8" s="22" t="e">
        <f ca="1">AT8+AV8</f>
        <v>#NAME?</v>
      </c>
      <c r="AY8" s="22" t="e">
        <f ca="1">(AX8-900*0.15)*1000/1.43/CL20</f>
        <v>#NAME?</v>
      </c>
      <c r="AZ8" s="22" t="e">
        <f ca="1">AX8*1000/1.43/CL20</f>
        <v>#NAME?</v>
      </c>
      <c r="BF8" s="1"/>
      <c r="BG8" s="1"/>
      <c r="BH8" s="1" t="str">
        <f>Table1[[#Headers],[TN550 I (N2)]]</f>
        <v>TN550 I (N2)</v>
      </c>
      <c r="BI8" s="1">
        <f ca="1">VLOOKUP(BI$6,$C$6:$AO$3502,6)</f>
        <v>54247.874810244619</v>
      </c>
      <c r="BJ8" s="1">
        <f t="shared" ref="BJ8:CL8" ca="1" si="4">VLOOKUP(BJ$6,$C$6:$AO$3502,6)</f>
        <v>56798.080374956626</v>
      </c>
      <c r="BK8" s="1">
        <f t="shared" ca="1" si="4"/>
        <v>56800.688624978313</v>
      </c>
      <c r="BL8" s="1">
        <f t="shared" ca="1" si="4"/>
        <v>56777.861193940837</v>
      </c>
      <c r="BM8" s="1">
        <f t="shared" ca="1" si="4"/>
        <v>57047.066265288864</v>
      </c>
      <c r="BN8" s="1">
        <f t="shared" ca="1" si="4"/>
        <v>57446.909489395395</v>
      </c>
      <c r="BO8" s="1">
        <f t="shared" ca="1" si="4"/>
        <v>57344.139876821653</v>
      </c>
      <c r="BP8" s="1">
        <f t="shared" ca="1" si="4"/>
        <v>57501.353053435123</v>
      </c>
      <c r="BQ8" s="1">
        <f t="shared" ca="1" si="4"/>
        <v>57485.932292570265</v>
      </c>
      <c r="BR8" s="1">
        <f t="shared" ca="1" si="4"/>
        <v>57494.009682945871</v>
      </c>
      <c r="BS8" s="1">
        <f t="shared" ca="1" si="4"/>
        <v>57501.843901804299</v>
      </c>
      <c r="BT8" s="1">
        <f t="shared" ca="1" si="4"/>
        <v>57492.147664924531</v>
      </c>
      <c r="BU8" s="1">
        <f t="shared" ca="1" si="4"/>
        <v>57445.149576032272</v>
      </c>
      <c r="BV8" s="1">
        <f t="shared" ca="1" si="4"/>
        <v>57478.755570675741</v>
      </c>
      <c r="BW8" s="1">
        <f t="shared" ca="1" si="4"/>
        <v>57479.87134506119</v>
      </c>
      <c r="BX8" s="1">
        <f t="shared" ca="1" si="4"/>
        <v>57496.914433878381</v>
      </c>
      <c r="BY8" s="1">
        <f t="shared" ca="1" si="4"/>
        <v>57501.903880768565</v>
      </c>
      <c r="BZ8" s="1">
        <f t="shared" ca="1" si="4"/>
        <v>57476.985017457497</v>
      </c>
      <c r="CA8" s="1">
        <f t="shared" ca="1" si="4"/>
        <v>55638.630288753469</v>
      </c>
      <c r="CB8" s="1">
        <f t="shared" ca="1" si="4"/>
        <v>53301.921449405789</v>
      </c>
      <c r="CC8" s="1">
        <f t="shared" ca="1" si="4"/>
        <v>53301.272971243925</v>
      </c>
      <c r="CD8" s="1">
        <f t="shared" ca="1" si="4"/>
        <v>53644.961954046667</v>
      </c>
      <c r="CE8" s="1">
        <f t="shared" ca="1" si="4"/>
        <v>53873.524036584837</v>
      </c>
      <c r="CF8" s="1">
        <f t="shared" ca="1" si="4"/>
        <v>54001.473564365027</v>
      </c>
      <c r="CG8" s="1">
        <f t="shared" ca="1" si="4"/>
        <v>54001.184181991674</v>
      </c>
      <c r="CH8" s="1">
        <f t="shared" ca="1" si="4"/>
        <v>53995.56682371183</v>
      </c>
      <c r="CI8" s="1">
        <f t="shared" ca="1" si="4"/>
        <v>53999.073733518388</v>
      </c>
      <c r="CJ8" s="1">
        <f t="shared" ca="1" si="4"/>
        <v>54001.473564365027</v>
      </c>
      <c r="CK8" s="1">
        <f t="shared" ca="1" si="4"/>
        <v>53995.56682371183</v>
      </c>
      <c r="CL8" s="1">
        <f t="shared" ca="1" si="4"/>
        <v>53999.073733518388</v>
      </c>
    </row>
    <row r="9" spans="1:90" x14ac:dyDescent="0.3">
      <c r="A9" s="9">
        <f t="shared" si="1"/>
        <v>2020</v>
      </c>
      <c r="B9" s="9">
        <f t="shared" si="2"/>
        <v>1</v>
      </c>
      <c r="C9" s="10">
        <v>43834</v>
      </c>
      <c r="D9" s="9">
        <v>0.21299999999999999</v>
      </c>
      <c r="E9" s="9">
        <v>0.14799999999999999</v>
      </c>
      <c r="F9" s="9">
        <v>11.893637084034395</v>
      </c>
      <c r="G9" s="9">
        <v>10583.776100174577</v>
      </c>
      <c r="H9" s="9">
        <v>54602.447041984735</v>
      </c>
      <c r="I9" s="9">
        <v>1466.2049616456941</v>
      </c>
      <c r="J9" s="20">
        <v>70.98</v>
      </c>
      <c r="K9" s="9">
        <v>71.790000000000006</v>
      </c>
      <c r="L9" s="31">
        <f>Table1[[#This Row],[TN550 I (O2)]]/(Table1[[#This Row],[Flowmeter A]]+Table1[[#This Row],[Flowmeter B]])</f>
        <v>1.92784691794625E-2</v>
      </c>
      <c r="M9" s="33">
        <f>Table1[[#This Row],[TN120 Venting2]]/100</f>
        <v>1.7000000000000001E-2</v>
      </c>
      <c r="N9" s="31">
        <f>Table1[[#This Row],[TN550 I Venting2]]/100</f>
        <v>0</v>
      </c>
      <c r="O9" s="31">
        <f>(Table1[[#This Row],[TN550 I (O2)]]-Table1[[#This Row],[O2]])/Table1[[#This Row],[TN550 I (O2)]]</f>
        <v>1.0090340953747414E-2</v>
      </c>
      <c r="P9" s="9">
        <f>Table1[[#This Row],[M-N2]]+Table1[[#This Row],[TEN-N2]]</f>
        <v>63492.228252254703</v>
      </c>
      <c r="Q9" s="9">
        <v>1451.4104536746129</v>
      </c>
      <c r="R9" s="9">
        <f>SUM(Table1[[#This Row],[TEN-CDA]:[TEN-CDA WWT]])</f>
        <v>99959.705452085007</v>
      </c>
      <c r="S9" s="9">
        <v>436.47100273095265</v>
      </c>
      <c r="T9" s="9">
        <v>267.01984404988127</v>
      </c>
      <c r="U9" s="9">
        <v>38.233663589403413</v>
      </c>
      <c r="V9" s="42">
        <v>1.7</v>
      </c>
      <c r="W9" s="9">
        <v>0</v>
      </c>
      <c r="X9" s="9">
        <v>74504.325967210272</v>
      </c>
      <c r="Y9" s="9">
        <v>1549.6878653638153</v>
      </c>
      <c r="Z9">
        <v>61288.420465388619</v>
      </c>
      <c r="AA9">
        <v>2203.8077868660816</v>
      </c>
      <c r="AB9">
        <v>35382.200042830496</v>
      </c>
      <c r="AC9">
        <v>54757.334354397986</v>
      </c>
      <c r="AD9" s="1">
        <v>6983.0515941484864</v>
      </c>
      <c r="AE9" s="1">
        <v>2826.3060764415982</v>
      </c>
      <c r="AF9" s="1">
        <v>10.813384266444828</v>
      </c>
      <c r="AG9" s="1"/>
      <c r="AH9" s="1"/>
      <c r="AI9" s="1"/>
      <c r="AJ9" s="1"/>
      <c r="AK9" s="1"/>
      <c r="AL9" s="1"/>
      <c r="AM9" s="1"/>
      <c r="AN9" s="1"/>
      <c r="AO9" s="1"/>
      <c r="AP9" s="1"/>
      <c r="AQ9" s="1"/>
      <c r="AT9" t="e" cm="1">
        <f t="array" aca="1" ref="AT9" ca="1">_xll.PPMAddin.Functions.PPMDailyTag(A1,AT6,AR6)</f>
        <v>#NAME?</v>
      </c>
      <c r="AU9" s="18"/>
      <c r="AV9" t="e" cm="1">
        <f t="array" aca="1" ref="AV9" ca="1">_xll.PPMAddin.Functions.PPMDailyTag(A1,AV6,AR6)</f>
        <v>#NAME?</v>
      </c>
      <c r="BF9" s="1"/>
      <c r="BG9" s="1"/>
      <c r="BH9" s="1" t="str">
        <f>Table1[[#Headers],[TN550 I (O2)]]</f>
        <v>TN550 I (O2)</v>
      </c>
      <c r="BI9" s="1">
        <f ca="1">VLOOKUP(BI$6,$C$6:$AO$3502,7)</f>
        <v>1763.9484914955706</v>
      </c>
      <c r="BJ9" s="1">
        <f t="shared" ref="BJ9:CL9" ca="1" si="5">VLOOKUP(BJ$6,$C$6:$AO$3502,7)</f>
        <v>1750.0867265096397</v>
      </c>
      <c r="BK9" s="1">
        <f t="shared" ca="1" si="5"/>
        <v>1750.0712988044056</v>
      </c>
      <c r="BL9" s="1">
        <f t="shared" ca="1" si="5"/>
        <v>1749.9537382317781</v>
      </c>
      <c r="BM9" s="1">
        <f t="shared" ca="1" si="5"/>
        <v>1805.3696436461769</v>
      </c>
      <c r="BN9" s="1">
        <f t="shared" ca="1" si="5"/>
        <v>1899.9891554801352</v>
      </c>
      <c r="BO9" s="1">
        <f t="shared" ca="1" si="5"/>
        <v>1899.9691351017632</v>
      </c>
      <c r="BP9" s="1">
        <f t="shared" ca="1" si="5"/>
        <v>1900.013214767848</v>
      </c>
      <c r="BQ9" s="1">
        <f t="shared" ca="1" si="5"/>
        <v>1900.1097910217245</v>
      </c>
      <c r="BR9" s="1">
        <f t="shared" ca="1" si="5"/>
        <v>1900.080363096916</v>
      </c>
      <c r="BS9" s="1">
        <f t="shared" ca="1" si="5"/>
        <v>1834.9301801862855</v>
      </c>
      <c r="BT9" s="1">
        <f t="shared" ca="1" si="5"/>
        <v>1700.017704176787</v>
      </c>
      <c r="BU9" s="1">
        <f t="shared" ca="1" si="5"/>
        <v>1700.1673090959241</v>
      </c>
      <c r="BV9" s="1">
        <f t="shared" ca="1" si="5"/>
        <v>1668.3925698232022</v>
      </c>
      <c r="BW9" s="1">
        <f t="shared" ca="1" si="5"/>
        <v>1564.5771314500928</v>
      </c>
      <c r="BX9" s="1">
        <f t="shared" ca="1" si="5"/>
        <v>1549.9826050228248</v>
      </c>
      <c r="BY9" s="1">
        <f t="shared" ca="1" si="5"/>
        <v>1641.3626475178642</v>
      </c>
      <c r="BZ9" s="1">
        <f t="shared" ca="1" si="5"/>
        <v>1700.9988525729475</v>
      </c>
      <c r="CA9" s="1">
        <f t="shared" ca="1" si="5"/>
        <v>1692.2094399573321</v>
      </c>
      <c r="CB9" s="1">
        <f t="shared" ca="1" si="5"/>
        <v>1600.0373386062738</v>
      </c>
      <c r="CC9" s="1">
        <f t="shared" ca="1" si="5"/>
        <v>1599.9668282185223</v>
      </c>
      <c r="CD9" s="1">
        <f t="shared" ca="1" si="5"/>
        <v>1599.9135371147966</v>
      </c>
      <c r="CE9" s="1">
        <f t="shared" ca="1" si="5"/>
        <v>1599.9226499474107</v>
      </c>
      <c r="CF9" s="1">
        <f t="shared" ca="1" si="5"/>
        <v>1600.0238053204698</v>
      </c>
      <c r="CG9" s="1">
        <f t="shared" ca="1" si="5"/>
        <v>1600.152094611354</v>
      </c>
      <c r="CH9" s="1">
        <f t="shared" ca="1" si="5"/>
        <v>1605.1055900579024</v>
      </c>
      <c r="CI9" s="1">
        <f t="shared" ca="1" si="5"/>
        <v>1650.0885323200848</v>
      </c>
      <c r="CJ9" s="1">
        <f t="shared" ca="1" si="5"/>
        <v>1600.0238053204698</v>
      </c>
      <c r="CK9" s="1">
        <f t="shared" ca="1" si="5"/>
        <v>1605.1055900579024</v>
      </c>
      <c r="CL9" s="1">
        <f t="shared" ca="1" si="5"/>
        <v>1650.0885323200848</v>
      </c>
    </row>
    <row r="10" spans="1:90" ht="13.2" customHeight="1" x14ac:dyDescent="0.3">
      <c r="A10" s="9">
        <f t="shared" si="1"/>
        <v>2020</v>
      </c>
      <c r="B10" s="9">
        <f t="shared" si="2"/>
        <v>1</v>
      </c>
      <c r="C10" s="10">
        <v>43835</v>
      </c>
      <c r="D10" s="9">
        <v>0.21199999999999999</v>
      </c>
      <c r="E10" s="9">
        <v>0.15</v>
      </c>
      <c r="F10" s="9">
        <v>11.692888594103886</v>
      </c>
      <c r="G10" s="9">
        <v>10567.560412013139</v>
      </c>
      <c r="H10" s="9">
        <v>54599.256587222415</v>
      </c>
      <c r="I10" s="9">
        <v>1473.2878521317662</v>
      </c>
      <c r="J10" s="20">
        <v>70.989999999999995</v>
      </c>
      <c r="K10" s="9">
        <v>71.790000000000006</v>
      </c>
      <c r="L10" s="31">
        <f>Table1[[#This Row],[TN550 I (O2)]]/(Table1[[#This Row],[Flowmeter A]]+Table1[[#This Row],[Flowmeter B]])</f>
        <v>1.9371452047202538E-2</v>
      </c>
      <c r="M10" s="33">
        <f>Table1[[#This Row],[TN120 Venting2]]/100</f>
        <v>1.55E-2</v>
      </c>
      <c r="N10" s="31">
        <f>Table1[[#This Row],[TN550 I Venting2]]/100</f>
        <v>0</v>
      </c>
      <c r="O10" s="31">
        <f>(Table1[[#This Row],[TN550 I (O2)]]-Table1[[#This Row],[O2]])/Table1[[#This Row],[TN550 I (O2)]]</f>
        <v>1.0826949585036124E-2</v>
      </c>
      <c r="P10" s="9">
        <f>Table1[[#This Row],[M-N2]]+Table1[[#This Row],[TEN-N2]]</f>
        <v>63534.66794808022</v>
      </c>
      <c r="Q10" s="9">
        <v>1457.3366388324894</v>
      </c>
      <c r="R10" s="9">
        <f>SUM(Table1[[#This Row],[TEN-CDA]:[TEN-CDA WWT]])</f>
        <v>100390.55800353263</v>
      </c>
      <c r="S10" s="9">
        <v>433.28152717839174</v>
      </c>
      <c r="T10" s="9">
        <v>261.34730325416922</v>
      </c>
      <c r="U10" s="9">
        <v>39.054647052561059</v>
      </c>
      <c r="V10" s="42">
        <v>1.55</v>
      </c>
      <c r="W10" s="9">
        <v>0</v>
      </c>
      <c r="X10" s="9">
        <v>74504.693062543374</v>
      </c>
      <c r="Y10" s="9">
        <v>1549.8974008765342</v>
      </c>
      <c r="Z10">
        <v>61303.063402693442</v>
      </c>
      <c r="AA10">
        <v>2231.6045453867755</v>
      </c>
      <c r="AB10">
        <v>35693.224361337612</v>
      </c>
      <c r="AC10">
        <v>54846.036140267177</v>
      </c>
      <c r="AD10" s="1">
        <v>7024.327691951119</v>
      </c>
      <c r="AE10" s="1">
        <v>2823.1070752325859</v>
      </c>
      <c r="AF10" s="1">
        <v>3.8627347441242801</v>
      </c>
      <c r="AG10" s="1"/>
      <c r="AH10" s="1"/>
      <c r="AI10" s="1"/>
      <c r="AJ10" s="1"/>
      <c r="AK10" s="1"/>
      <c r="AL10" s="1"/>
      <c r="AM10" s="1"/>
      <c r="AN10" s="1"/>
      <c r="AO10" s="1"/>
      <c r="AP10" s="1"/>
      <c r="AQ10" s="1"/>
      <c r="AS10" t="s">
        <v>115</v>
      </c>
      <c r="AT10" s="60" t="s">
        <v>146</v>
      </c>
      <c r="AU10" s="18" t="s">
        <v>115</v>
      </c>
      <c r="AV10" s="60" t="s">
        <v>148</v>
      </c>
      <c r="AW10" t="s">
        <v>115</v>
      </c>
      <c r="AX10" s="61" t="s">
        <v>149</v>
      </c>
      <c r="AY10" s="61" t="s">
        <v>151</v>
      </c>
      <c r="AZ10" t="s">
        <v>115</v>
      </c>
      <c r="BA10" t="s">
        <v>115</v>
      </c>
      <c r="BF10" s="1"/>
      <c r="BG10" s="1" t="s">
        <v>32</v>
      </c>
      <c r="BH10" s="1" t="str">
        <f>Table1[[#Headers],[TN120]]</f>
        <v>TN120</v>
      </c>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row>
    <row r="11" spans="1:90" ht="13.8" customHeight="1" x14ac:dyDescent="0.3">
      <c r="A11" s="9">
        <f t="shared" si="1"/>
        <v>2020</v>
      </c>
      <c r="B11" s="9">
        <f t="shared" si="2"/>
        <v>1</v>
      </c>
      <c r="C11" s="10">
        <v>43836</v>
      </c>
      <c r="D11" s="9">
        <v>0.21299999999999999</v>
      </c>
      <c r="E11" s="9">
        <v>0.151</v>
      </c>
      <c r="F11" s="9">
        <v>11.85068828905729</v>
      </c>
      <c r="G11" s="9">
        <v>10434.84590778973</v>
      </c>
      <c r="H11" s="9">
        <v>54601.412766741843</v>
      </c>
      <c r="I11" s="9">
        <v>1471.0666346341516</v>
      </c>
      <c r="J11" s="20">
        <v>70.89</v>
      </c>
      <c r="K11" s="9">
        <v>71.8</v>
      </c>
      <c r="L11" s="31">
        <f>Table1[[#This Row],[TN550 I (O2)]]/(Table1[[#This Row],[Flowmeter A]]+Table1[[#This Row],[Flowmeter B]])</f>
        <v>1.9343453271279117E-2</v>
      </c>
      <c r="M11" s="33">
        <f>Table1[[#This Row],[TN120 Venting2]]/100</f>
        <v>2.0499999999999997E-2</v>
      </c>
      <c r="N11" s="31">
        <f>Table1[[#This Row],[TN550 I Venting2]]/100</f>
        <v>0</v>
      </c>
      <c r="O11" s="31">
        <f>(Table1[[#This Row],[TN550 I (O2)]]-Table1[[#This Row],[O2]])/Table1[[#This Row],[TN550 I (O2)]]</f>
        <v>9.6399255510797033E-3</v>
      </c>
      <c r="P11" s="9">
        <f>Table1[[#This Row],[M-N2]]+Table1[[#This Row],[TEN-N2]]</f>
        <v>63345.405755958316</v>
      </c>
      <c r="Q11" s="9">
        <v>1456.885661795601</v>
      </c>
      <c r="R11" s="9">
        <f>SUM(Table1[[#This Row],[TEN-CDA]:[TEN-CDA WWT]])</f>
        <v>100510.37821893094</v>
      </c>
      <c r="S11" s="9">
        <v>429.47242000878975</v>
      </c>
      <c r="T11" s="9">
        <v>252.16344602797943</v>
      </c>
      <c r="U11" s="9">
        <v>39.528423558168328</v>
      </c>
      <c r="V11" s="42">
        <v>2.0499999999999998</v>
      </c>
      <c r="W11" s="9">
        <v>0</v>
      </c>
      <c r="X11" s="9">
        <v>74499.732618407361</v>
      </c>
      <c r="Y11" s="9">
        <v>1550.1129806910349</v>
      </c>
      <c r="Z11">
        <v>61083.679194136013</v>
      </c>
      <c r="AA11">
        <v>2261.7265618223023</v>
      </c>
      <c r="AB11">
        <v>35757.079968337959</v>
      </c>
      <c r="AC11">
        <v>54785.114888749129</v>
      </c>
      <c r="AD11" s="1">
        <v>7121.4845752596939</v>
      </c>
      <c r="AE11" s="1">
        <v>2844.4757419774137</v>
      </c>
      <c r="AF11" s="1">
        <v>2.2230446067619951</v>
      </c>
      <c r="AG11" s="1"/>
      <c r="AH11" s="1"/>
      <c r="AI11" s="1"/>
      <c r="AJ11" s="1"/>
      <c r="AK11" s="1"/>
      <c r="AL11" s="1"/>
      <c r="AM11" s="1"/>
      <c r="AN11" s="1"/>
      <c r="AO11" s="1"/>
      <c r="AP11" s="1"/>
      <c r="AQ11" s="1" t="s">
        <v>119</v>
      </c>
      <c r="AS11" t="s">
        <v>144</v>
      </c>
      <c r="AT11" t="s">
        <v>145</v>
      </c>
      <c r="AU11" s="18" t="s">
        <v>153</v>
      </c>
      <c r="AV11" t="s">
        <v>147</v>
      </c>
      <c r="AW11" s="17" t="s">
        <v>120</v>
      </c>
      <c r="AX11" s="17" t="s">
        <v>150</v>
      </c>
      <c r="AY11" t="s">
        <v>122</v>
      </c>
      <c r="AZ11" t="s">
        <v>152</v>
      </c>
      <c r="BA11" t="s">
        <v>154</v>
      </c>
      <c r="BF11" s="1"/>
      <c r="BG11" s="1"/>
      <c r="BH11" s="1" t="str">
        <f>Table1[[#Headers],[TN550 I (N2)]]</f>
        <v>TN550 I (N2)</v>
      </c>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row>
    <row r="12" spans="1:90" x14ac:dyDescent="0.3">
      <c r="A12" s="9">
        <f t="shared" si="1"/>
        <v>2020</v>
      </c>
      <c r="B12" s="9">
        <f t="shared" si="2"/>
        <v>1</v>
      </c>
      <c r="C12" s="10">
        <v>43837</v>
      </c>
      <c r="D12" s="9">
        <v>0.21</v>
      </c>
      <c r="E12" s="9">
        <v>0.14699999999999999</v>
      </c>
      <c r="F12" s="9">
        <v>11.90541963226509</v>
      </c>
      <c r="G12" s="9">
        <v>10510.064229484731</v>
      </c>
      <c r="H12" s="9">
        <v>54602.105344053605</v>
      </c>
      <c r="I12" s="9">
        <v>1481.2660884605689</v>
      </c>
      <c r="J12" s="20">
        <v>70.94</v>
      </c>
      <c r="K12" s="9">
        <v>71.790000000000006</v>
      </c>
      <c r="L12" s="31">
        <f>Table1[[#This Row],[TN550 I (O2)]]/(Table1[[#This Row],[Flowmeter A]]+Table1[[#This Row],[Flowmeter B]])</f>
        <v>1.9474825490059508E-2</v>
      </c>
      <c r="M12" s="33">
        <f>Table1[[#This Row],[TN120 Venting2]]/100</f>
        <v>2.2400000000000003E-2</v>
      </c>
      <c r="N12" s="31">
        <f>Table1[[#This Row],[TN550 I Venting2]]/100</f>
        <v>0</v>
      </c>
      <c r="O12" s="31">
        <f>(Table1[[#This Row],[TN550 I (O2)]]-Table1[[#This Row],[O2]])/Table1[[#This Row],[TN550 I (O2)]]</f>
        <v>7.7215221062524623E-3</v>
      </c>
      <c r="P12" s="9">
        <f>Table1[[#This Row],[M-N2]]+Table1[[#This Row],[TEN-N2]]</f>
        <v>63798.200068413593</v>
      </c>
      <c r="Q12" s="9">
        <v>1469.8284596132785</v>
      </c>
      <c r="R12" s="9">
        <f>SUM(Table1[[#This Row],[TEN-CDA]:[TEN-CDA WWT]])</f>
        <v>99839.673423710177</v>
      </c>
      <c r="S12" s="9">
        <v>423.82789953842007</v>
      </c>
      <c r="T12" s="9">
        <v>252.54039809407664</v>
      </c>
      <c r="U12" s="9">
        <v>39.000041711504139</v>
      </c>
      <c r="V12" s="42">
        <v>2.2400000000000002</v>
      </c>
      <c r="W12" s="9">
        <v>0</v>
      </c>
      <c r="X12" s="9">
        <v>74510.525665770299</v>
      </c>
      <c r="Y12" s="9">
        <v>1550.0320638303208</v>
      </c>
      <c r="Z12">
        <v>61548.682327810551</v>
      </c>
      <c r="AA12">
        <v>2249.5177406030425</v>
      </c>
      <c r="AB12">
        <v>35256.942265570782</v>
      </c>
      <c r="AC12">
        <v>54818.782551179735</v>
      </c>
      <c r="AD12" s="1">
        <v>6912.8248591744014</v>
      </c>
      <c r="AE12" s="1">
        <v>2846.2690514399724</v>
      </c>
      <c r="AF12" s="1">
        <v>4.854696345279649</v>
      </c>
      <c r="AG12" s="1"/>
      <c r="AH12" s="1"/>
      <c r="AI12" s="1"/>
      <c r="AJ12" s="1"/>
      <c r="AK12" s="1"/>
      <c r="AL12" s="1"/>
      <c r="AM12" s="1"/>
      <c r="AN12" s="1"/>
      <c r="AO12" s="1"/>
      <c r="AP12" s="1"/>
      <c r="AQ12" s="1"/>
      <c r="AS12" s="28" t="e">
        <f ca="1">AT12/1.749168/100</f>
        <v>#NAME?</v>
      </c>
      <c r="AT12" t="e" cm="1">
        <f t="array" aca="1" ref="AT12" ca="1">_xll.PPMAddin.Functions.PPMDailyTag(A1,AT10,AR5)</f>
        <v>#NAME?</v>
      </c>
      <c r="AU12" s="28" t="e">
        <f ca="1">AV12/1.74863/100</f>
        <v>#NAME?</v>
      </c>
      <c r="AV12" t="e" cm="1">
        <f t="array" aca="1" ref="AV12" ca="1">_xll.PPMAddin.Functions.PPMDailyTag(A1,AV10,AR5)</f>
        <v>#NAME?</v>
      </c>
      <c r="AW12" t="e">
        <f ca="1">AY13-AY12+AX12</f>
        <v>#NAME?</v>
      </c>
      <c r="AX12" t="e" cm="1">
        <f t="array" aca="1" ref="AX12" ca="1">_xll.PPMAddin.Functions.PPMDailyMetric(A1,AX10,AR4)</f>
        <v>#NAME?</v>
      </c>
      <c r="AY12" t="e" cm="1">
        <f t="array" aca="1" ref="AY12" ca="1">_xll.PPMAddin.Functions.PPMDailyMetric(A1,AY10,AR4)</f>
        <v>#NAME?</v>
      </c>
      <c r="AZ12" s="22" t="e">
        <f ca="1">(AY12-0.15*350)*1000/1.783339/CL22</f>
        <v>#NAME?</v>
      </c>
      <c r="BA12" s="22" t="e">
        <f ca="1">AY12*1000/1.783339/CL22</f>
        <v>#NAME?</v>
      </c>
      <c r="BF12" s="1"/>
      <c r="BG12" s="1"/>
      <c r="BH12" s="1" t="str">
        <f>Table1[[#Headers],[TN550 I (O2)]]</f>
        <v>TN550 I (O2)</v>
      </c>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row>
    <row r="13" spans="1:90" ht="13.8" customHeight="1" x14ac:dyDescent="0.3">
      <c r="A13" s="9">
        <f t="shared" si="1"/>
        <v>2020</v>
      </c>
      <c r="B13" s="9">
        <f t="shared" si="2"/>
        <v>1</v>
      </c>
      <c r="C13" s="10">
        <v>43838</v>
      </c>
      <c r="D13" s="9">
        <v>0.20799999999999999</v>
      </c>
      <c r="E13" s="9">
        <v>0.14599999999999999</v>
      </c>
      <c r="F13" s="9">
        <v>11.532388369462955</v>
      </c>
      <c r="G13" s="9">
        <v>10502.601398497138</v>
      </c>
      <c r="H13" s="9">
        <v>54602.54062391568</v>
      </c>
      <c r="I13" s="9">
        <v>1485.21977154469</v>
      </c>
      <c r="J13" s="20">
        <v>70.8</v>
      </c>
      <c r="K13" s="9">
        <v>71.8</v>
      </c>
      <c r="L13" s="31">
        <f>Table1[[#This Row],[TN550 I (O2)]]/(Table1[[#This Row],[Flowmeter A]]+Table1[[#This Row],[Flowmeter B]])</f>
        <v>1.9531192641417561E-2</v>
      </c>
      <c r="M13" s="33">
        <f>Table1[[#This Row],[TN120 Venting2]]/100</f>
        <v>2.3799999999999998E-2</v>
      </c>
      <c r="N13" s="31">
        <f>Table1[[#This Row],[TN550 I Venting2]]/100</f>
        <v>0</v>
      </c>
      <c r="O13" s="31">
        <f>(Table1[[#This Row],[TN550 I (O2)]]-Table1[[#This Row],[O2]])/Table1[[#This Row],[TN550 I (O2)]]</f>
        <v>1.10369742504801E-2</v>
      </c>
      <c r="P13" s="9">
        <f>Table1[[#This Row],[M-N2]]+Table1[[#This Row],[TEN-N2]]</f>
        <v>63987.075031479064</v>
      </c>
      <c r="Q13" s="9">
        <v>1468.8274391698474</v>
      </c>
      <c r="R13" s="9">
        <f>SUM(Table1[[#This Row],[TEN-CDA]:[TEN-CDA WWT]])</f>
        <v>100196.58979730087</v>
      </c>
      <c r="S13" s="9">
        <v>423.63971711793431</v>
      </c>
      <c r="T13" s="9">
        <v>253.4223690310921</v>
      </c>
      <c r="U13" s="9">
        <v>38.86095024098298</v>
      </c>
      <c r="V13" s="42">
        <v>2.38</v>
      </c>
      <c r="W13" s="9">
        <v>0</v>
      </c>
      <c r="X13" s="9">
        <v>74493.38242756766</v>
      </c>
      <c r="Y13" s="9">
        <v>1550.0931969139001</v>
      </c>
      <c r="Z13">
        <v>61736.855108214782</v>
      </c>
      <c r="AA13">
        <v>2250.2199232642806</v>
      </c>
      <c r="AB13">
        <v>35680.624365674877</v>
      </c>
      <c r="AC13">
        <v>54655.851158592122</v>
      </c>
      <c r="AD13" s="1">
        <v>7000.3796561225927</v>
      </c>
      <c r="AE13" s="1">
        <v>2857.3812248235276</v>
      </c>
      <c r="AF13" s="1">
        <v>2.353392087743281</v>
      </c>
      <c r="AG13" s="1"/>
      <c r="AH13" s="1"/>
      <c r="AI13" s="1"/>
      <c r="AJ13" s="1"/>
      <c r="AK13" s="1"/>
      <c r="AL13" s="1"/>
      <c r="AM13" s="1"/>
      <c r="AN13" s="1"/>
      <c r="AO13" s="1"/>
      <c r="AP13" s="1"/>
      <c r="AQ13" s="1"/>
      <c r="AU13" s="18"/>
      <c r="AY13" t="e" cm="1">
        <f t="array" aca="1" ref="AY13" ca="1">_xll.PPMAddin.Functions.PPMDailyMetric(A1,AY10,AR5)</f>
        <v>#NAME?</v>
      </c>
      <c r="BF13" s="1"/>
      <c r="BG13" s="1" t="s">
        <v>33</v>
      </c>
      <c r="BH13" s="1" t="str">
        <f>Table1[[#Headers],[TN120]]</f>
        <v>TN120</v>
      </c>
      <c r="BI13" s="1">
        <f ca="1">VLOOKUP(BI$6,$C$6:$AO$3502,8)</f>
        <v>71.400000000000006</v>
      </c>
      <c r="BJ13" s="1">
        <f t="shared" ref="BJ13:CL13" ca="1" si="6">VLOOKUP(BJ$6,$C$6:$AO$3502,8)</f>
        <v>71.37</v>
      </c>
      <c r="BK13" s="1">
        <f t="shared" ca="1" si="6"/>
        <v>71.33</v>
      </c>
      <c r="BL13" s="1">
        <f t="shared" ca="1" si="6"/>
        <v>71.349999999999994</v>
      </c>
      <c r="BM13" s="1">
        <f t="shared" ca="1" si="6"/>
        <v>71.63</v>
      </c>
      <c r="BN13" s="1">
        <f t="shared" ca="1" si="6"/>
        <v>71.86</v>
      </c>
      <c r="BO13" s="1">
        <f t="shared" ca="1" si="6"/>
        <v>72.55</v>
      </c>
      <c r="BP13" s="1">
        <f t="shared" ca="1" si="6"/>
        <v>72.84</v>
      </c>
      <c r="BQ13" s="1">
        <f t="shared" ca="1" si="6"/>
        <v>72.63</v>
      </c>
      <c r="BR13" s="1">
        <f t="shared" ca="1" si="6"/>
        <v>72.61</v>
      </c>
      <c r="BS13" s="1">
        <f t="shared" ca="1" si="6"/>
        <v>72.680000000000007</v>
      </c>
      <c r="BT13" s="1">
        <f t="shared" ca="1" si="6"/>
        <v>72.67</v>
      </c>
      <c r="BU13" s="1">
        <f t="shared" ca="1" si="6"/>
        <v>72.62</v>
      </c>
      <c r="BV13" s="1">
        <f t="shared" ca="1" si="6"/>
        <v>72.59</v>
      </c>
      <c r="BW13" s="1">
        <f t="shared" ca="1" si="6"/>
        <v>72.64</v>
      </c>
      <c r="BX13" s="1">
        <f t="shared" ca="1" si="6"/>
        <v>72.67</v>
      </c>
      <c r="BY13" s="1">
        <f t="shared" ca="1" si="6"/>
        <v>72.650000000000006</v>
      </c>
      <c r="BZ13" s="1">
        <f t="shared" ca="1" si="6"/>
        <v>72.61</v>
      </c>
      <c r="CA13" s="1">
        <f t="shared" ca="1" si="6"/>
        <v>72.040000000000006</v>
      </c>
      <c r="CB13" s="1">
        <f t="shared" ca="1" si="6"/>
        <v>70.83</v>
      </c>
      <c r="CC13" s="1">
        <f t="shared" ca="1" si="6"/>
        <v>70.599999999999994</v>
      </c>
      <c r="CD13" s="1">
        <f t="shared" ca="1" si="6"/>
        <v>70.87</v>
      </c>
      <c r="CE13" s="1">
        <f t="shared" ca="1" si="6"/>
        <v>71</v>
      </c>
      <c r="CF13" s="1">
        <f t="shared" ca="1" si="6"/>
        <v>71.03</v>
      </c>
      <c r="CG13" s="1">
        <f t="shared" ca="1" si="6"/>
        <v>70.89</v>
      </c>
      <c r="CH13" s="1">
        <f t="shared" ca="1" si="6"/>
        <v>71.09</v>
      </c>
      <c r="CI13" s="1">
        <f t="shared" ca="1" si="6"/>
        <v>71.05</v>
      </c>
      <c r="CJ13" s="1">
        <f t="shared" ca="1" si="6"/>
        <v>70.88</v>
      </c>
      <c r="CK13" s="1">
        <f t="shared" ca="1" si="6"/>
        <v>71.09</v>
      </c>
      <c r="CL13" s="1">
        <f t="shared" ca="1" si="6"/>
        <v>71.05</v>
      </c>
    </row>
    <row r="14" spans="1:90" x14ac:dyDescent="0.3">
      <c r="A14" s="9">
        <f t="shared" si="1"/>
        <v>2020</v>
      </c>
      <c r="B14" s="9">
        <f t="shared" si="2"/>
        <v>1</v>
      </c>
      <c r="C14" s="10">
        <v>43839</v>
      </c>
      <c r="D14" s="9">
        <v>0.20799999999999999</v>
      </c>
      <c r="E14" s="9">
        <v>0.15</v>
      </c>
      <c r="F14" s="9">
        <v>11.693080200576516</v>
      </c>
      <c r="G14" s="9">
        <v>10691.752269609862</v>
      </c>
      <c r="H14" s="9">
        <v>54466.42673273768</v>
      </c>
      <c r="I14" s="9">
        <v>1489.3439180690491</v>
      </c>
      <c r="J14" s="20">
        <v>70.849999999999994</v>
      </c>
      <c r="K14" s="9">
        <v>71.81</v>
      </c>
      <c r="L14" s="31">
        <f>Table1[[#This Row],[TN550 I (O2)]]/(Table1[[#This Row],[Flowmeter A]]+Table1[[#This Row],[Flowmeter B]])</f>
        <v>1.9634961920809577E-2</v>
      </c>
      <c r="M14" s="33">
        <f>Table1[[#This Row],[TN120 Venting2]]/100</f>
        <v>1.3500000000000002E-2</v>
      </c>
      <c r="N14" s="31">
        <f>Table1[[#This Row],[TN550 I Venting2]]/100</f>
        <v>0</v>
      </c>
      <c r="O14" s="31">
        <f>(Table1[[#This Row],[TN550 I (O2)]]-Table1[[#This Row],[O2]])/Table1[[#This Row],[TN550 I (O2)]]</f>
        <v>1.9357611005279073E-2</v>
      </c>
      <c r="P14" s="9">
        <f>Table1[[#This Row],[M-N2]]+Table1[[#This Row],[TEN-N2]]</f>
        <v>64068.864639525775</v>
      </c>
      <c r="Q14" s="9">
        <v>1460.5137778499902</v>
      </c>
      <c r="R14" s="9">
        <f>SUM(Table1[[#This Row],[TEN-CDA]:[TEN-CDA WWT]])</f>
        <v>99770.614298217566</v>
      </c>
      <c r="S14" s="9">
        <v>428.91951436685406</v>
      </c>
      <c r="T14" s="9">
        <v>258.34294973422385</v>
      </c>
      <c r="U14" s="9">
        <v>37.121574845271006</v>
      </c>
      <c r="V14" s="42">
        <v>1.35</v>
      </c>
      <c r="W14" s="9">
        <v>0</v>
      </c>
      <c r="X14" s="9">
        <v>74301.585270645388</v>
      </c>
      <c r="Y14" s="9">
        <v>1550.04734650823</v>
      </c>
      <c r="Z14">
        <v>61809.599231219639</v>
      </c>
      <c r="AA14">
        <v>2259.2654083061352</v>
      </c>
      <c r="AB14">
        <v>35370.71243656749</v>
      </c>
      <c r="AC14">
        <v>54611.583917960619</v>
      </c>
      <c r="AD14" s="1">
        <v>6945.0903543952763</v>
      </c>
      <c r="AE14" s="1">
        <v>2839.6769441793895</v>
      </c>
      <c r="AF14" s="1">
        <v>3.5506451147906404</v>
      </c>
      <c r="AG14" s="1"/>
      <c r="AH14" s="1"/>
      <c r="AI14" s="1"/>
      <c r="AJ14" s="1"/>
      <c r="AK14" s="1"/>
      <c r="AL14" s="1"/>
      <c r="AM14" s="1"/>
      <c r="AN14" s="1"/>
      <c r="AO14" s="1"/>
      <c r="AP14" s="1"/>
      <c r="AQ14" s="1"/>
      <c r="AU14" s="18"/>
      <c r="BF14" s="1"/>
      <c r="BG14" s="1"/>
      <c r="BH14" s="1" t="str">
        <f>Table1[[#Headers],[TN550 I (N2)]]</f>
        <v>TN550 I (N2)</v>
      </c>
      <c r="BI14" s="1">
        <f ca="1">VLOOKUP(BI$6,$C$6:$AO$3502,9)</f>
        <v>71.53</v>
      </c>
      <c r="BJ14" s="1">
        <f t="shared" ref="BJ14:CL14" ca="1" si="7">VLOOKUP(BJ$6,$C$6:$AO$3502,9)</f>
        <v>71.849999999999994</v>
      </c>
      <c r="BK14" s="1">
        <f t="shared" ca="1" si="7"/>
        <v>71.81</v>
      </c>
      <c r="BL14" s="1">
        <f t="shared" ca="1" si="7"/>
        <v>71.819999999999993</v>
      </c>
      <c r="BM14" s="1">
        <f t="shared" ca="1" si="7"/>
        <v>71.81</v>
      </c>
      <c r="BN14" s="1">
        <f t="shared" ca="1" si="7"/>
        <v>71.900000000000006</v>
      </c>
      <c r="BO14" s="1">
        <f t="shared" ca="1" si="7"/>
        <v>72</v>
      </c>
      <c r="BP14" s="1">
        <f t="shared" ca="1" si="7"/>
        <v>72.099999999999994</v>
      </c>
      <c r="BQ14" s="1">
        <f t="shared" ca="1" si="7"/>
        <v>72.069999999999993</v>
      </c>
      <c r="BR14" s="1">
        <f t="shared" ca="1" si="7"/>
        <v>72.09</v>
      </c>
      <c r="BS14" s="1">
        <f t="shared" ca="1" si="7"/>
        <v>72.099999999999994</v>
      </c>
      <c r="BT14" s="1">
        <f t="shared" ca="1" si="7"/>
        <v>72.08</v>
      </c>
      <c r="BU14" s="1">
        <f t="shared" ca="1" si="7"/>
        <v>72.02</v>
      </c>
      <c r="BV14" s="1">
        <f t="shared" ca="1" si="7"/>
        <v>72.14</v>
      </c>
      <c r="BW14" s="1">
        <f t="shared" ca="1" si="7"/>
        <v>72.28</v>
      </c>
      <c r="BX14" s="1">
        <f t="shared" ca="1" si="7"/>
        <v>72.27</v>
      </c>
      <c r="BY14" s="1">
        <f t="shared" ca="1" si="7"/>
        <v>72.290000000000006</v>
      </c>
      <c r="BZ14" s="1">
        <f t="shared" ca="1" si="7"/>
        <v>72.260000000000005</v>
      </c>
      <c r="CA14" s="1">
        <f t="shared" ca="1" si="7"/>
        <v>72.099999999999994</v>
      </c>
      <c r="CB14" s="1">
        <f t="shared" ca="1" si="7"/>
        <v>71.83</v>
      </c>
      <c r="CC14" s="1">
        <f t="shared" ca="1" si="7"/>
        <v>71.84</v>
      </c>
      <c r="CD14" s="1">
        <f t="shared" ca="1" si="7"/>
        <v>71.58</v>
      </c>
      <c r="CE14" s="1">
        <f t="shared" ca="1" si="7"/>
        <v>71.540000000000006</v>
      </c>
      <c r="CF14" s="1">
        <f t="shared" ca="1" si="7"/>
        <v>71.540000000000006</v>
      </c>
      <c r="CG14" s="1">
        <f t="shared" ca="1" si="7"/>
        <v>71.510000000000005</v>
      </c>
      <c r="CH14" s="1">
        <f t="shared" ca="1" si="7"/>
        <v>71.52</v>
      </c>
      <c r="CI14" s="1">
        <f t="shared" ca="1" si="7"/>
        <v>71.53</v>
      </c>
      <c r="CJ14" s="1">
        <f t="shared" ca="1" si="7"/>
        <v>71.510000000000005</v>
      </c>
      <c r="CK14" s="1">
        <f t="shared" ca="1" si="7"/>
        <v>71.52</v>
      </c>
      <c r="CL14" s="1">
        <f t="shared" ca="1" si="7"/>
        <v>71.53</v>
      </c>
    </row>
    <row r="15" spans="1:90" x14ac:dyDescent="0.3">
      <c r="A15" s="9">
        <f t="shared" si="1"/>
        <v>2020</v>
      </c>
      <c r="B15" s="9">
        <f t="shared" si="2"/>
        <v>1</v>
      </c>
      <c r="C15" s="10">
        <v>43840</v>
      </c>
      <c r="D15" s="9">
        <v>0.21099999999999999</v>
      </c>
      <c r="E15" s="9">
        <v>0.14699999999999999</v>
      </c>
      <c r="F15" s="9">
        <v>11.972044318686915</v>
      </c>
      <c r="G15" s="9">
        <v>11304.040082435158</v>
      </c>
      <c r="H15" s="9">
        <v>54533.433750975892</v>
      </c>
      <c r="I15" s="9">
        <v>1538.3026101021696</v>
      </c>
      <c r="J15" s="20">
        <v>71.040000000000006</v>
      </c>
      <c r="K15" s="9">
        <v>71.849999999999994</v>
      </c>
      <c r="L15" s="31">
        <f>Table1[[#This Row],[TN550 I (O2)]]/(Table1[[#This Row],[Flowmeter A]]+Table1[[#This Row],[Flowmeter B]])</f>
        <v>2.0268423292520127E-2</v>
      </c>
      <c r="M15" s="33">
        <f>Table1[[#This Row],[TN120 Venting2]]/100</f>
        <v>2.5999999999999999E-3</v>
      </c>
      <c r="N15" s="31">
        <f>Table1[[#This Row],[TN550 I Venting2]]/100</f>
        <v>0</v>
      </c>
      <c r="O15" s="31">
        <f>(Table1[[#This Row],[TN550 I (O2)]]-Table1[[#This Row],[O2]])/Table1[[#This Row],[TN550 I (O2)]]</f>
        <v>5.1915322837696766E-2</v>
      </c>
      <c r="P15" s="9">
        <f>Table1[[#This Row],[M-N2]]+Table1[[#This Row],[TEN-N2]]</f>
        <v>64665.058791722462</v>
      </c>
      <c r="Q15" s="9">
        <v>1458.4411334766439</v>
      </c>
      <c r="R15" s="9">
        <f>SUM(Table1[[#This Row],[TEN-CDA]:[TEN-CDA WWT]])</f>
        <v>99795.659074875948</v>
      </c>
      <c r="S15" s="9">
        <v>434.43290537848065</v>
      </c>
      <c r="T15" s="9">
        <v>257.61458249327046</v>
      </c>
      <c r="U15" s="9">
        <v>37.833006189731485</v>
      </c>
      <c r="V15" s="42">
        <v>0.26</v>
      </c>
      <c r="W15" s="9">
        <v>0</v>
      </c>
      <c r="X15" s="9">
        <v>74346.756202290082</v>
      </c>
      <c r="Y15" s="9">
        <v>1549.754734989672</v>
      </c>
      <c r="Z15">
        <v>62408.319824557599</v>
      </c>
      <c r="AA15">
        <v>2256.7389671648648</v>
      </c>
      <c r="AB15">
        <v>35541.147022467034</v>
      </c>
      <c r="AC15">
        <v>54460.861708991149</v>
      </c>
      <c r="AD15" s="1">
        <v>6964.2098731756378</v>
      </c>
      <c r="AE15" s="1">
        <v>2824.8754017053589</v>
      </c>
      <c r="AF15" s="1">
        <v>4.565068536752797</v>
      </c>
      <c r="AG15" s="1"/>
      <c r="AH15" s="1"/>
      <c r="AI15" s="1"/>
      <c r="AJ15" s="1"/>
      <c r="AK15" s="1"/>
      <c r="AL15" s="1"/>
      <c r="AM15" s="1"/>
      <c r="AN15" s="1"/>
      <c r="AO15" s="1"/>
      <c r="AP15" s="1"/>
      <c r="AQ15" s="1"/>
      <c r="AT15" t="str">
        <f>AS4</f>
        <v>T721A</v>
      </c>
      <c r="AU15" s="18" t="str">
        <f>AU4</f>
        <v>T721B</v>
      </c>
      <c r="AV15" t="str">
        <f>AS7</f>
        <v>T621</v>
      </c>
      <c r="AW15" t="str">
        <f>AU7</f>
        <v>T631</v>
      </c>
      <c r="AX15" t="str">
        <f>AS11</f>
        <v>T472</v>
      </c>
      <c r="AY15" s="18" t="str">
        <f>AU11</f>
        <v>T472B</v>
      </c>
      <c r="BF15" s="1"/>
      <c r="BG15" s="1"/>
      <c r="BH15" s="1" t="str">
        <f>Table1[[#Headers],[TN550 I (O2)]]</f>
        <v>TN550 I (O2)</v>
      </c>
      <c r="BI15" s="1">
        <f ca="1">VLOOKUP(BI$6,$C$6:$AO$3502,10)</f>
        <v>2.3259695072781757E-2</v>
      </c>
      <c r="BJ15" s="1">
        <f t="shared" ref="BJ15:CL15" ca="1" si="8">VLOOKUP(BJ$6,$C$6:$AO$3502,10)</f>
        <v>2.2139786720071167E-2</v>
      </c>
      <c r="BK15" s="1">
        <f t="shared" ca="1" si="8"/>
        <v>2.2126655791725687E-2</v>
      </c>
      <c r="BL15" s="1">
        <f t="shared" ca="1" si="8"/>
        <v>2.2135688873015449E-2</v>
      </c>
      <c r="BM15" s="1">
        <f t="shared" ca="1" si="8"/>
        <v>2.2727257618861314E-2</v>
      </c>
      <c r="BN15" s="1">
        <f t="shared" ca="1" si="8"/>
        <v>2.3780837212561703E-2</v>
      </c>
      <c r="BO15" s="1">
        <f t="shared" ca="1" si="8"/>
        <v>2.3854978742447564E-2</v>
      </c>
      <c r="BP15" s="1">
        <f t="shared" ca="1" si="8"/>
        <v>2.3823899079938399E-2</v>
      </c>
      <c r="BQ15" s="1">
        <f t="shared" ca="1" si="8"/>
        <v>2.3821993613210354E-2</v>
      </c>
      <c r="BR15" s="1">
        <f t="shared" ca="1" si="8"/>
        <v>2.3825617743235383E-2</v>
      </c>
      <c r="BS15" s="1">
        <f t="shared" ca="1" si="8"/>
        <v>2.3006340723623994E-2</v>
      </c>
      <c r="BT15" s="1">
        <f t="shared" ca="1" si="8"/>
        <v>2.131487213516008E-2</v>
      </c>
      <c r="BU15" s="1">
        <f t="shared" ca="1" si="8"/>
        <v>2.1316022026605128E-2</v>
      </c>
      <c r="BV15" s="1">
        <f t="shared" ca="1" si="8"/>
        <v>2.0939951452486359E-2</v>
      </c>
      <c r="BW15" s="1">
        <f t="shared" ca="1" si="8"/>
        <v>1.9673632979221506E-2</v>
      </c>
      <c r="BX15" s="1">
        <f t="shared" ca="1" si="8"/>
        <v>1.9482054210447599E-2</v>
      </c>
      <c r="BY15" s="1">
        <f t="shared" ca="1" si="8"/>
        <v>2.063421987771482E-2</v>
      </c>
      <c r="BZ15" s="1">
        <f t="shared" ca="1" si="8"/>
        <v>2.1384335483260547E-2</v>
      </c>
      <c r="CA15" s="1">
        <f t="shared" ca="1" si="8"/>
        <v>2.1929133801978119E-2</v>
      </c>
      <c r="CB15" s="1">
        <f t="shared" ca="1" si="8"/>
        <v>2.1561334195211269E-2</v>
      </c>
      <c r="CC15" s="1">
        <f t="shared" ca="1" si="8"/>
        <v>2.156507708107375E-2</v>
      </c>
      <c r="CD15" s="1">
        <f t="shared" ca="1" si="8"/>
        <v>2.1348261135189756E-2</v>
      </c>
      <c r="CE15" s="1">
        <f t="shared" ca="1" si="8"/>
        <v>2.1246463474344082E-2</v>
      </c>
      <c r="CF15" s="1">
        <f t="shared" ca="1" si="8"/>
        <v>2.1195737244955753E-2</v>
      </c>
      <c r="CG15" s="1">
        <f t="shared" ca="1" si="8"/>
        <v>2.1190371889972151E-2</v>
      </c>
      <c r="CH15" s="1">
        <f t="shared" ca="1" si="8"/>
        <v>2.126100977165004E-2</v>
      </c>
      <c r="CI15" s="1">
        <f t="shared" ca="1" si="8"/>
        <v>2.1857164564077849E-2</v>
      </c>
      <c r="CJ15" s="1">
        <f t="shared" ca="1" si="8"/>
        <v>2.1195737244955753E-2</v>
      </c>
      <c r="CK15" s="1">
        <f t="shared" ca="1" si="8"/>
        <v>2.1263056352128957E-2</v>
      </c>
      <c r="CL15" s="1">
        <f t="shared" ca="1" si="8"/>
        <v>2.1857164564077849E-2</v>
      </c>
    </row>
    <row r="16" spans="1:90" ht="14.4" customHeight="1" x14ac:dyDescent="0.3">
      <c r="A16" s="9">
        <f t="shared" si="1"/>
        <v>2020</v>
      </c>
      <c r="B16" s="9">
        <f t="shared" si="2"/>
        <v>1</v>
      </c>
      <c r="C16" s="10">
        <v>43841</v>
      </c>
      <c r="D16" s="9">
        <v>0.21</v>
      </c>
      <c r="E16" s="9">
        <v>0.14399999999999999</v>
      </c>
      <c r="F16" s="9">
        <v>12.804021289330402</v>
      </c>
      <c r="G16" s="9">
        <v>11515.064060737986</v>
      </c>
      <c r="H16" s="9">
        <v>54599.270786346286</v>
      </c>
      <c r="I16" s="9">
        <v>1488.9041341428208</v>
      </c>
      <c r="J16" s="20">
        <v>71.03</v>
      </c>
      <c r="K16" s="9">
        <v>71.61</v>
      </c>
      <c r="L16" s="31">
        <f>Table1[[#This Row],[TN550 I (O2)]]/(Table1[[#This Row],[Flowmeter A]]+Table1[[#This Row],[Flowmeter B]])</f>
        <v>1.9528092931676996E-2</v>
      </c>
      <c r="M16" s="33">
        <f>Table1[[#This Row],[TN120 Venting2]]/100</f>
        <v>2.7000000000000001E-3</v>
      </c>
      <c r="N16" s="31">
        <f>Table1[[#This Row],[TN550 I Venting2]]/100</f>
        <v>0</v>
      </c>
      <c r="O16" s="31">
        <f>(Table1[[#This Row],[TN550 I (O2)]]-Table1[[#This Row],[O2]])/Table1[[#This Row],[TN550 I (O2)]]</f>
        <v>2.3459416297893759E-2</v>
      </c>
      <c r="P16" s="9">
        <f>Table1[[#This Row],[M-N2]]+Table1[[#This Row],[TEN-N2]]</f>
        <v>64588.745215792529</v>
      </c>
      <c r="Q16" s="9">
        <v>1453.9753122323093</v>
      </c>
      <c r="R16" s="9">
        <f>SUM(Table1[[#This Row],[TEN-CDA]:[TEN-CDA WWT]])</f>
        <v>99837.156361386835</v>
      </c>
      <c r="S16" s="9">
        <v>434.20526627084598</v>
      </c>
      <c r="T16" s="9">
        <v>256.08410608528555</v>
      </c>
      <c r="U16" s="9">
        <v>40.848517396067848</v>
      </c>
      <c r="V16" s="42">
        <v>0.27</v>
      </c>
      <c r="W16" s="9">
        <v>0</v>
      </c>
      <c r="X16" s="9">
        <v>74694.514768390014</v>
      </c>
      <c r="Y16" s="9">
        <v>1549.7011595070155</v>
      </c>
      <c r="Z16">
        <v>62354.08651489851</v>
      </c>
      <c r="AA16">
        <v>2234.6587008940187</v>
      </c>
      <c r="AB16">
        <v>35639.058013640701</v>
      </c>
      <c r="AC16">
        <v>54526.681644691183</v>
      </c>
      <c r="AD16" s="1">
        <v>6898.6783639562373</v>
      </c>
      <c r="AE16" s="1">
        <v>2769.6648055956152</v>
      </c>
      <c r="AF16" s="1">
        <v>3.0735335031021478</v>
      </c>
      <c r="AG16" s="1"/>
      <c r="AH16" s="1"/>
      <c r="AI16" s="1"/>
      <c r="AJ16" s="1"/>
      <c r="AK16" s="1"/>
      <c r="AL16" s="1"/>
      <c r="AM16" s="1"/>
      <c r="AN16" s="1"/>
      <c r="AO16" s="1"/>
      <c r="AP16" s="1"/>
      <c r="AQ16" s="1"/>
      <c r="AS16" t="s">
        <v>155</v>
      </c>
      <c r="AT16" s="62" t="e">
        <f ca="1">AS5</f>
        <v>#NAME?</v>
      </c>
      <c r="AU16" s="62" t="e">
        <f ca="1">AU5</f>
        <v>#NAME?</v>
      </c>
      <c r="AV16" s="62" t="e">
        <f ca="1">AS8</f>
        <v>#NAME?</v>
      </c>
      <c r="AW16" s="62" t="e">
        <f ca="1">AU8</f>
        <v>#NAME?</v>
      </c>
      <c r="AX16" s="63" t="e">
        <f ca="1">AS12</f>
        <v>#NAME?</v>
      </c>
      <c r="AY16" s="63" t="e">
        <f ca="1">AU12</f>
        <v>#NAME?</v>
      </c>
      <c r="BF16" s="1"/>
      <c r="BG16" s="46" t="s">
        <v>102</v>
      </c>
      <c r="BH16" s="1" t="str">
        <f>Table1[[#Headers],[TN120]]</f>
        <v>TN120</v>
      </c>
      <c r="BI16" s="45">
        <f ca="1">VLOOKUP(BI$6,$C$6:$AO$3502,11,0)</f>
        <v>0</v>
      </c>
      <c r="BJ16" s="45">
        <f t="shared" ref="BJ16:CL16" ca="1" si="9">VLOOKUP(BJ$6,$C$6:$AO$3502,11,0)</f>
        <v>0</v>
      </c>
      <c r="BK16" s="45">
        <f t="shared" ca="1" si="9"/>
        <v>0</v>
      </c>
      <c r="BL16" s="45">
        <f t="shared" ca="1" si="9"/>
        <v>0</v>
      </c>
      <c r="BM16" s="45">
        <f t="shared" ca="1" si="9"/>
        <v>0</v>
      </c>
      <c r="BN16" s="45">
        <f t="shared" ca="1" si="9"/>
        <v>0</v>
      </c>
      <c r="BO16" s="45">
        <f t="shared" ca="1" si="9"/>
        <v>0</v>
      </c>
      <c r="BP16" s="45">
        <f t="shared" ca="1" si="9"/>
        <v>0</v>
      </c>
      <c r="BQ16" s="45">
        <f t="shared" ca="1" si="9"/>
        <v>0</v>
      </c>
      <c r="BR16" s="45">
        <f t="shared" ca="1" si="9"/>
        <v>0</v>
      </c>
      <c r="BS16" s="45">
        <f t="shared" ca="1" si="9"/>
        <v>0</v>
      </c>
      <c r="BT16" s="45">
        <f t="shared" ca="1" si="9"/>
        <v>0</v>
      </c>
      <c r="BU16" s="45">
        <f t="shared" ca="1" si="9"/>
        <v>0</v>
      </c>
      <c r="BV16" s="45">
        <f t="shared" ca="1" si="9"/>
        <v>0</v>
      </c>
      <c r="BW16" s="45">
        <f t="shared" ca="1" si="9"/>
        <v>0</v>
      </c>
      <c r="BX16" s="45">
        <f t="shared" ca="1" si="9"/>
        <v>0</v>
      </c>
      <c r="BY16" s="45">
        <f t="shared" ca="1" si="9"/>
        <v>0</v>
      </c>
      <c r="BZ16" s="45">
        <f t="shared" ca="1" si="9"/>
        <v>0</v>
      </c>
      <c r="CA16" s="45">
        <f t="shared" ca="1" si="9"/>
        <v>2.0099999999999996E-2</v>
      </c>
      <c r="CB16" s="45">
        <f t="shared" ca="1" si="9"/>
        <v>8.199999999999999E-3</v>
      </c>
      <c r="CC16" s="45">
        <f t="shared" ca="1" si="9"/>
        <v>4.0000000000000002E-4</v>
      </c>
      <c r="CD16" s="45">
        <f t="shared" ca="1" si="9"/>
        <v>3.3E-3</v>
      </c>
      <c r="CE16" s="45">
        <f t="shared" ca="1" si="9"/>
        <v>1.5600000000000001E-2</v>
      </c>
      <c r="CF16" s="45">
        <f t="shared" ca="1" si="9"/>
        <v>8.8000000000000005E-3</v>
      </c>
      <c r="CG16" s="45">
        <f t="shared" ca="1" si="9"/>
        <v>2.6200000000000001E-2</v>
      </c>
      <c r="CH16" s="45">
        <f t="shared" ca="1" si="9"/>
        <v>2.4700000000000003E-2</v>
      </c>
      <c r="CI16" s="45">
        <f t="shared" ca="1" si="9"/>
        <v>1.3600000000000001E-2</v>
      </c>
      <c r="CJ16" s="45">
        <f t="shared" ca="1" si="9"/>
        <v>2.5000000000000001E-3</v>
      </c>
      <c r="CK16" s="45">
        <f t="shared" ca="1" si="9"/>
        <v>5.6999999999999993E-3</v>
      </c>
      <c r="CL16" s="45">
        <f t="shared" ca="1" si="9"/>
        <v>1.3600000000000001E-2</v>
      </c>
    </row>
    <row r="17" spans="1:90" x14ac:dyDescent="0.3">
      <c r="A17" s="9">
        <f t="shared" si="1"/>
        <v>2020</v>
      </c>
      <c r="B17" s="9">
        <f t="shared" si="2"/>
        <v>1</v>
      </c>
      <c r="C17" s="10">
        <v>43842</v>
      </c>
      <c r="D17" s="9">
        <v>0.20899999999999999</v>
      </c>
      <c r="E17" s="9">
        <v>0.15</v>
      </c>
      <c r="F17" s="9">
        <v>11.908388333714395</v>
      </c>
      <c r="G17" s="9">
        <v>11444.532416317878</v>
      </c>
      <c r="H17" s="9">
        <v>54718.571052545973</v>
      </c>
      <c r="I17" s="9">
        <v>1521.7242866214326</v>
      </c>
      <c r="J17" s="20">
        <v>70.98</v>
      </c>
      <c r="K17" s="9">
        <v>71.59</v>
      </c>
      <c r="L17" s="31">
        <f>Table1[[#This Row],[TN550 I (O2)]]/(Table1[[#This Row],[Flowmeter A]]+Table1[[#This Row],[Flowmeter B]])</f>
        <v>1.9909733444190326E-2</v>
      </c>
      <c r="M17" s="33">
        <f>Table1[[#This Row],[TN120 Venting2]]/100</f>
        <v>1.0500000000000001E-2</v>
      </c>
      <c r="N17" s="31">
        <f>Table1[[#This Row],[TN550 I Venting2]]/100</f>
        <v>0</v>
      </c>
      <c r="O17" s="31">
        <f>(Table1[[#This Row],[TN550 I (O2)]]-Table1[[#This Row],[O2]])/Table1[[#This Row],[TN550 I (O2)]]</f>
        <v>4.5437025729119861E-2</v>
      </c>
      <c r="P17" s="9">
        <f>Table1[[#This Row],[M-N2]]+Table1[[#This Row],[TEN-N2]]</f>
        <v>64791.949265172298</v>
      </c>
      <c r="Q17" s="9">
        <v>1452.581661057588</v>
      </c>
      <c r="R17" s="9">
        <f>SUM(Table1[[#This Row],[TEN-CDA]:[TEN-CDA WWT]])</f>
        <v>99964.293967348844</v>
      </c>
      <c r="S17" s="9">
        <v>436.91594575859455</v>
      </c>
      <c r="T17" s="9">
        <v>255.30437389535263</v>
      </c>
      <c r="U17" s="9">
        <v>41.003339730394458</v>
      </c>
      <c r="V17" s="42">
        <v>1.05</v>
      </c>
      <c r="W17" s="9">
        <v>0</v>
      </c>
      <c r="X17" s="9">
        <v>74881.497180777238</v>
      </c>
      <c r="Y17" s="9">
        <v>1549.6760886706552</v>
      </c>
      <c r="Z17">
        <v>62577.379369795279</v>
      </c>
      <c r="AA17">
        <v>2214.569895377017</v>
      </c>
      <c r="AB17">
        <v>35616.614129727619</v>
      </c>
      <c r="AC17">
        <v>54652.683680495313</v>
      </c>
      <c r="AD17" s="1">
        <v>6915.9789181774813</v>
      </c>
      <c r="AE17" s="1">
        <v>2773.9570595438822</v>
      </c>
      <c r="AF17" s="1">
        <v>5.060179404547279</v>
      </c>
      <c r="AG17" s="1"/>
      <c r="AH17" s="1"/>
      <c r="AI17" s="1"/>
      <c r="AJ17" s="1"/>
      <c r="AK17" s="1"/>
      <c r="AL17" s="1"/>
      <c r="AM17" s="1"/>
      <c r="AN17" s="1"/>
      <c r="AO17" s="1"/>
      <c r="AP17" s="1"/>
      <c r="AQ17" s="1"/>
      <c r="AS17" t="s">
        <v>156</v>
      </c>
      <c r="AT17" s="22" t="e">
        <f ca="1">AT5</f>
        <v>#NAME?</v>
      </c>
      <c r="AU17" s="22" t="e">
        <f ca="1">AV5</f>
        <v>#NAME?</v>
      </c>
      <c r="AV17" s="22" t="e">
        <f ca="1">AT8</f>
        <v>#NAME?</v>
      </c>
      <c r="AW17" s="22" t="e">
        <f ca="1">AV8</f>
        <v>#NAME?</v>
      </c>
      <c r="AX17" s="22" t="e">
        <f ca="1">AT12</f>
        <v>#NAME?</v>
      </c>
      <c r="AY17" s="22" t="e">
        <f ca="1">AV12</f>
        <v>#NAME?</v>
      </c>
      <c r="BF17" s="1"/>
      <c r="BG17" s="1"/>
      <c r="BH17" s="1" t="str">
        <f>Table1[[#Headers],[TN550 I (N2)]]</f>
        <v>TN550 I (N2)</v>
      </c>
      <c r="BI17" s="45">
        <f ca="1">VLOOKUP(BI$6,$C$6:$AO$3502,12,0)</f>
        <v>0.45100000000000001</v>
      </c>
      <c r="BJ17" s="45">
        <f t="shared" ref="BJ17:CL17" ca="1" si="10">VLOOKUP(BJ$6,$C$6:$AO$3502,12,0)</f>
        <v>0</v>
      </c>
      <c r="BK17" s="45">
        <f t="shared" ca="1" si="10"/>
        <v>0</v>
      </c>
      <c r="BL17" s="45">
        <f t="shared" ca="1" si="10"/>
        <v>3.3E-3</v>
      </c>
      <c r="BM17" s="45">
        <f t="shared" ca="1" si="10"/>
        <v>0</v>
      </c>
      <c r="BN17" s="45">
        <f t="shared" ca="1" si="10"/>
        <v>0</v>
      </c>
      <c r="BO17" s="45">
        <f t="shared" ca="1" si="10"/>
        <v>0</v>
      </c>
      <c r="BP17" s="45">
        <f t="shared" ca="1" si="10"/>
        <v>0</v>
      </c>
      <c r="BQ17" s="45">
        <f t="shared" ca="1" si="10"/>
        <v>0</v>
      </c>
      <c r="BR17" s="45">
        <f t="shared" ca="1" si="10"/>
        <v>0</v>
      </c>
      <c r="BS17" s="45">
        <f t="shared" ca="1" si="10"/>
        <v>0</v>
      </c>
      <c r="BT17" s="45">
        <f t="shared" ca="1" si="10"/>
        <v>0</v>
      </c>
      <c r="BU17" s="45">
        <f t="shared" ca="1" si="10"/>
        <v>0</v>
      </c>
      <c r="BV17" s="45">
        <f t="shared" ca="1" si="10"/>
        <v>0</v>
      </c>
      <c r="BW17" s="45">
        <f t="shared" ca="1" si="10"/>
        <v>0</v>
      </c>
      <c r="BX17" s="45">
        <f t="shared" ca="1" si="10"/>
        <v>0</v>
      </c>
      <c r="BY17" s="45">
        <f t="shared" ca="1" si="10"/>
        <v>0</v>
      </c>
      <c r="BZ17" s="45">
        <f t="shared" ca="1" si="10"/>
        <v>8.9999999999999998E-4</v>
      </c>
      <c r="CA17" s="45">
        <f t="shared" ca="1" si="10"/>
        <v>0</v>
      </c>
      <c r="CB17" s="45">
        <f t="shared" ca="1" si="10"/>
        <v>0</v>
      </c>
      <c r="CC17" s="45">
        <f t="shared" ca="1" si="10"/>
        <v>0</v>
      </c>
      <c r="CD17" s="45">
        <f t="shared" ca="1" si="10"/>
        <v>0</v>
      </c>
      <c r="CE17" s="45">
        <f t="shared" ca="1" si="10"/>
        <v>0</v>
      </c>
      <c r="CF17" s="45">
        <f t="shared" ca="1" si="10"/>
        <v>0</v>
      </c>
      <c r="CG17" s="45">
        <f t="shared" ca="1" si="10"/>
        <v>0</v>
      </c>
      <c r="CH17" s="45">
        <f t="shared" ca="1" si="10"/>
        <v>0</v>
      </c>
      <c r="CI17" s="45">
        <f t="shared" ca="1" si="10"/>
        <v>0</v>
      </c>
      <c r="CJ17" s="45">
        <f t="shared" ca="1" si="10"/>
        <v>0</v>
      </c>
      <c r="CK17" s="45">
        <f t="shared" ca="1" si="10"/>
        <v>0</v>
      </c>
      <c r="CL17" s="45">
        <f t="shared" ca="1" si="10"/>
        <v>0</v>
      </c>
    </row>
    <row r="18" spans="1:90" ht="28.8" customHeight="1" thickBot="1" x14ac:dyDescent="0.35">
      <c r="A18" s="9">
        <f t="shared" si="1"/>
        <v>2020</v>
      </c>
      <c r="B18" s="9">
        <f t="shared" si="2"/>
        <v>1</v>
      </c>
      <c r="C18" s="10">
        <v>43843</v>
      </c>
      <c r="D18" s="9">
        <v>0.20899999999999999</v>
      </c>
      <c r="E18" s="9">
        <v>0.152</v>
      </c>
      <c r="F18" s="9">
        <v>11.982546596540336</v>
      </c>
      <c r="G18" s="9">
        <v>10962.990404477145</v>
      </c>
      <c r="H18" s="9">
        <v>54999.926713762143</v>
      </c>
      <c r="I18" s="9">
        <v>1470.404572613284</v>
      </c>
      <c r="J18" s="20">
        <v>70.98</v>
      </c>
      <c r="K18" s="9">
        <v>71.56</v>
      </c>
      <c r="L18" s="31">
        <f>Table1[[#This Row],[TN550 I (O2)]]/(Table1[[#This Row],[Flowmeter A]]+Table1[[#This Row],[Flowmeter B]])</f>
        <v>1.9130299169474764E-2</v>
      </c>
      <c r="M18" s="33">
        <f>Table1[[#This Row],[TN120 Venting2]]/100</f>
        <v>3.9E-2</v>
      </c>
      <c r="N18" s="31">
        <f>Table1[[#This Row],[TN550 I Venting2]]/100</f>
        <v>0</v>
      </c>
      <c r="O18" s="31">
        <f>(Table1[[#This Row],[TN550 I (O2)]]-Table1[[#This Row],[O2]])/Table1[[#This Row],[TN550 I (O2)]]</f>
        <v>1.2925713768858763E-2</v>
      </c>
      <c r="P18" s="9">
        <f>Table1[[#This Row],[M-N2]]+Table1[[#This Row],[TEN-N2]]</f>
        <v>64603.142835904298</v>
      </c>
      <c r="Q18" s="9">
        <v>1451.3985439832636</v>
      </c>
      <c r="R18" s="9">
        <f>SUM(Table1[[#This Row],[TEN-CDA]:[TEN-CDA WWT]])</f>
        <v>99736.141364295618</v>
      </c>
      <c r="S18" s="9">
        <v>435.28029048583483</v>
      </c>
      <c r="T18" s="9">
        <v>254.33453311959877</v>
      </c>
      <c r="U18" s="9">
        <v>39.634612614871891</v>
      </c>
      <c r="V18" s="42">
        <v>3.9</v>
      </c>
      <c r="W18" s="9">
        <v>0</v>
      </c>
      <c r="X18" s="9">
        <v>75312.592475928177</v>
      </c>
      <c r="Y18" s="9">
        <v>1550.0095977253752</v>
      </c>
      <c r="Z18">
        <v>62392.990276392266</v>
      </c>
      <c r="AA18">
        <v>2210.1525595120306</v>
      </c>
      <c r="AB18">
        <v>35296.766522271857</v>
      </c>
      <c r="AC18">
        <v>54620.551637859993</v>
      </c>
      <c r="AD18" s="1">
        <v>7015.0192557658529</v>
      </c>
      <c r="AE18" s="1">
        <v>2801.1492229517262</v>
      </c>
      <c r="AF18" s="1">
        <v>2.6547254461699437</v>
      </c>
      <c r="AG18" s="1"/>
      <c r="AH18" s="1"/>
      <c r="AI18" s="1"/>
      <c r="AJ18" s="1"/>
      <c r="AK18" s="1"/>
      <c r="AL18" s="1"/>
      <c r="AM18" s="1"/>
      <c r="AN18" s="1"/>
      <c r="AO18" s="1"/>
      <c r="AP18" s="1"/>
      <c r="AQ18" s="1"/>
      <c r="AS18" s="17" t="s">
        <v>120</v>
      </c>
      <c r="AT18" s="22" t="e">
        <f ca="1">BA5</f>
        <v>#NAME?</v>
      </c>
      <c r="AU18" s="22" t="e">
        <f ca="1">AW8</f>
        <v>#NAME?</v>
      </c>
      <c r="AV18" s="22" t="e">
        <f ca="1">AW12</f>
        <v>#NAME?</v>
      </c>
      <c r="AW18" s="22"/>
      <c r="AX18" s="22"/>
      <c r="AY18" s="22"/>
      <c r="BF18" s="1"/>
      <c r="BG18" s="1"/>
      <c r="BH18" s="1" t="str">
        <f>Table1[[#Headers],[TN550 I (O2)]]</f>
        <v>TN550 I (O2)</v>
      </c>
      <c r="BI18" s="45">
        <f ca="1">VLOOKUP(BI$6,$C$6:$AO$3502,13,0)</f>
        <v>0.25030559060517121</v>
      </c>
      <c r="BJ18" s="45">
        <f t="shared" ref="BJ18:CL18" ca="1" si="11">VLOOKUP(BJ$6,$C$6:$AO$3502,13,0)</f>
        <v>0.24272252221210899</v>
      </c>
      <c r="BK18" s="45">
        <f t="shared" ca="1" si="11"/>
        <v>0.24227191004987353</v>
      </c>
      <c r="BL18" s="45">
        <f t="shared" ca="1" si="11"/>
        <v>0.2441102973880151</v>
      </c>
      <c r="BM18" s="45">
        <f t="shared" ca="1" si="11"/>
        <v>0.26929448490404373</v>
      </c>
      <c r="BN18" s="45">
        <f t="shared" ca="1" si="11"/>
        <v>0.30688034599193004</v>
      </c>
      <c r="BO18" s="45">
        <f t="shared" ca="1" si="11"/>
        <v>0.30922683274075097</v>
      </c>
      <c r="BP18" s="45">
        <f t="shared" ca="1" si="11"/>
        <v>0.31164907709469286</v>
      </c>
      <c r="BQ18" s="45">
        <f t="shared" ca="1" si="11"/>
        <v>0.30530239408814491</v>
      </c>
      <c r="BR18" s="45">
        <f t="shared" ca="1" si="11"/>
        <v>0.30580693306028067</v>
      </c>
      <c r="BS18" s="45">
        <f t="shared" ca="1" si="11"/>
        <v>0.29881075894027764</v>
      </c>
      <c r="BT18" s="45">
        <f t="shared" ca="1" si="11"/>
        <v>0.32228871268024767</v>
      </c>
      <c r="BU18" s="45">
        <f t="shared" ca="1" si="11"/>
        <v>0.26391159538835784</v>
      </c>
      <c r="BV18" s="45">
        <f t="shared" ca="1" si="11"/>
        <v>0.22604285631926016</v>
      </c>
      <c r="BW18" s="45">
        <f t="shared" ca="1" si="11"/>
        <v>0.16358993888854639</v>
      </c>
      <c r="BX18" s="45">
        <f t="shared" ca="1" si="11"/>
        <v>0.15287435186542872</v>
      </c>
      <c r="BY18" s="45">
        <f t="shared" ca="1" si="11"/>
        <v>0.19965174910878261</v>
      </c>
      <c r="BZ18" s="45">
        <f t="shared" ca="1" si="11"/>
        <v>0.22532702836500151</v>
      </c>
      <c r="CA18" s="45">
        <f t="shared" ca="1" si="11"/>
        <v>0.22571347869838301</v>
      </c>
      <c r="CB18" s="45">
        <f t="shared" ca="1" si="11"/>
        <v>0.18452703863866243</v>
      </c>
      <c r="CC18" s="45">
        <f t="shared" ca="1" si="11"/>
        <v>0.18317201564902719</v>
      </c>
      <c r="CD18" s="45">
        <f t="shared" ca="1" si="11"/>
        <v>0.18167135980038882</v>
      </c>
      <c r="CE18" s="45">
        <f t="shared" ca="1" si="11"/>
        <v>0.18029467626390525</v>
      </c>
      <c r="CF18" s="45">
        <f t="shared" ca="1" si="11"/>
        <v>0.17970007435209265</v>
      </c>
      <c r="CG18" s="45">
        <f t="shared" ca="1" si="11"/>
        <v>0.18393283582023617</v>
      </c>
      <c r="CH18" s="45">
        <f t="shared" ca="1" si="11"/>
        <v>0.18563657290246488</v>
      </c>
      <c r="CI18" s="45">
        <f t="shared" ca="1" si="11"/>
        <v>0.2068576396477953</v>
      </c>
      <c r="CJ18" s="45">
        <f t="shared" ca="1" si="11"/>
        <v>0.18311587299270518</v>
      </c>
      <c r="CK18" s="45">
        <f t="shared" ca="1" si="11"/>
        <v>0.18405925248915098</v>
      </c>
      <c r="CL18" s="45">
        <f t="shared" ca="1" si="11"/>
        <v>0.2068576396477953</v>
      </c>
    </row>
    <row r="19" spans="1:90" ht="12.6" customHeight="1" x14ac:dyDescent="0.3">
      <c r="A19" s="9">
        <f t="shared" si="1"/>
        <v>2020</v>
      </c>
      <c r="B19" s="9">
        <f t="shared" si="2"/>
        <v>1</v>
      </c>
      <c r="C19" s="10">
        <v>43844</v>
      </c>
      <c r="D19" s="9">
        <v>0.20899999999999999</v>
      </c>
      <c r="E19" s="9">
        <v>0.14399999999999999</v>
      </c>
      <c r="F19" s="9">
        <v>12.31696943339997</v>
      </c>
      <c r="G19" s="9">
        <v>10771.986593104832</v>
      </c>
      <c r="H19" s="9">
        <v>54810.195225754687</v>
      </c>
      <c r="I19" s="9">
        <v>1471.2019519898563</v>
      </c>
      <c r="J19" s="20">
        <v>70.849999999999994</v>
      </c>
      <c r="K19" s="9">
        <v>71.760000000000005</v>
      </c>
      <c r="L19" s="31">
        <f>Table1[[#This Row],[TN550 I (O2)]]/(Table1[[#This Row],[Flowmeter A]]+Table1[[#This Row],[Flowmeter B]])</f>
        <v>1.926255620445529E-2</v>
      </c>
      <c r="M19" s="33">
        <f>Table1[[#This Row],[TN120 Venting2]]/100</f>
        <v>2.3099999999999999E-2</v>
      </c>
      <c r="N19" s="31">
        <f>Table1[[#This Row],[TN550 I Venting2]]/100</f>
        <v>0</v>
      </c>
      <c r="O19" s="31">
        <f>(Table1[[#This Row],[TN550 I (O2)]]-Table1[[#This Row],[O2]])/Table1[[#This Row],[TN550 I (O2)]]</f>
        <v>1.1081657511847155E-2</v>
      </c>
      <c r="P19" s="9">
        <f>Table1[[#This Row],[M-N2]]+Table1[[#This Row],[TEN-N2]]</f>
        <v>64505.464958026787</v>
      </c>
      <c r="Q19" s="9">
        <v>1454.8985958271437</v>
      </c>
      <c r="R19" s="9">
        <f>SUM(Table1[[#This Row],[TEN-CDA]:[TEN-CDA WWT]])</f>
        <v>99302.190227799671</v>
      </c>
      <c r="S19" s="9">
        <v>436.05518260058392</v>
      </c>
      <c r="T19" s="9">
        <v>265.53698201017357</v>
      </c>
      <c r="U19" s="9">
        <v>39.152945851386214</v>
      </c>
      <c r="V19" s="42">
        <v>2.31</v>
      </c>
      <c r="W19" s="9">
        <v>0</v>
      </c>
      <c r="X19" s="9">
        <v>74826.178635713062</v>
      </c>
      <c r="Y19" s="9">
        <v>1550.0788232828493</v>
      </c>
      <c r="Z19" s="1">
        <v>62240.036470983694</v>
      </c>
      <c r="AA19" s="1">
        <v>2265.4284870430961</v>
      </c>
      <c r="AB19" s="1">
        <v>34912.236649353748</v>
      </c>
      <c r="AC19" s="1">
        <v>54645.869827810551</v>
      </c>
      <c r="AD19" s="1">
        <v>6956.9463110876777</v>
      </c>
      <c r="AE19" s="1">
        <v>2784.5490771789341</v>
      </c>
      <c r="AF19" s="1">
        <v>2.5883623687531037</v>
      </c>
      <c r="AG19" s="1"/>
      <c r="AH19" s="1"/>
      <c r="AI19" s="1"/>
      <c r="AJ19" s="1"/>
      <c r="AK19" s="1"/>
      <c r="AL19" s="1"/>
      <c r="AM19" s="1"/>
      <c r="AN19" s="1"/>
      <c r="AO19" s="1"/>
      <c r="AP19" s="1"/>
      <c r="AQ19" s="1"/>
      <c r="AS19" t="s">
        <v>122</v>
      </c>
      <c r="AT19" s="22" t="e">
        <f ca="1">BB5</f>
        <v>#NAME?</v>
      </c>
      <c r="AU19" s="22" t="e">
        <f ca="1">AX8</f>
        <v>#NAME?</v>
      </c>
      <c r="AV19" s="22" t="e">
        <f ca="1">AY12</f>
        <v>#NAME?</v>
      </c>
      <c r="AW19" s="22"/>
      <c r="AX19" s="22"/>
      <c r="AY19" s="22"/>
      <c r="BF19" s="55" t="s">
        <v>124</v>
      </c>
      <c r="BH19" s="1" t="s">
        <v>125</v>
      </c>
      <c r="BI19">
        <f ca="1">VLOOKUP(BI$6,$C$6:$AO$3502,14,0)</f>
        <v>62638.522278975644</v>
      </c>
      <c r="BJ19">
        <f t="shared" ref="BJ19:CL19" ca="1" si="12">VLOOKUP(BJ$6,$C$6:$AO$3502,14,0)</f>
        <v>66239.841307577197</v>
      </c>
      <c r="BK19">
        <f t="shared" ca="1" si="12"/>
        <v>66244.23471698325</v>
      </c>
      <c r="BL19">
        <f t="shared" ca="1" si="12"/>
        <v>66126.556862486308</v>
      </c>
      <c r="BM19">
        <f t="shared" ca="1" si="12"/>
        <v>65886.829377554925</v>
      </c>
      <c r="BN19">
        <f t="shared" ca="1" si="12"/>
        <v>65438.518405763411</v>
      </c>
      <c r="BO19">
        <f t="shared" ca="1" si="12"/>
        <v>65901.567106227099</v>
      </c>
      <c r="BP19">
        <f t="shared" ca="1" si="12"/>
        <v>66024.031689995289</v>
      </c>
      <c r="BQ19">
        <f t="shared" ca="1" si="12"/>
        <v>66517.995887899306</v>
      </c>
      <c r="BR19">
        <f t="shared" ca="1" si="12"/>
        <v>66394.623436720649</v>
      </c>
      <c r="BS19">
        <f t="shared" ca="1" si="12"/>
        <v>65383.341208887461</v>
      </c>
      <c r="BT19">
        <f t="shared" ca="1" si="12"/>
        <v>64968.557962643943</v>
      </c>
      <c r="BU19">
        <f t="shared" ca="1" si="12"/>
        <v>65989.912626966674</v>
      </c>
      <c r="BV19">
        <f t="shared" ca="1" si="12"/>
        <v>66175.322513238818</v>
      </c>
      <c r="BW19">
        <f t="shared" ca="1" si="12"/>
        <v>66437.464524893192</v>
      </c>
      <c r="BX19">
        <f t="shared" ca="1" si="12"/>
        <v>66229.079775363527</v>
      </c>
      <c r="BY19">
        <f t="shared" ca="1" si="12"/>
        <v>66580.747448806709</v>
      </c>
      <c r="BZ19">
        <f t="shared" ca="1" si="12"/>
        <v>66619.291020030039</v>
      </c>
      <c r="CA19">
        <f t="shared" ca="1" si="12"/>
        <v>66317.925021296658</v>
      </c>
      <c r="CB19">
        <f t="shared" ca="1" si="12"/>
        <v>66434.795521238586</v>
      </c>
      <c r="CC19">
        <f t="shared" ca="1" si="12"/>
        <v>66159.473695567314</v>
      </c>
      <c r="CD19">
        <f t="shared" ca="1" si="12"/>
        <v>66546.712261043765</v>
      </c>
      <c r="CE19">
        <f t="shared" ca="1" si="12"/>
        <v>66145.000390692774</v>
      </c>
      <c r="CF19">
        <f t="shared" ca="1" si="12"/>
        <v>65944.622891798164</v>
      </c>
      <c r="CG19">
        <f t="shared" ca="1" si="12"/>
        <v>65948.711399351043</v>
      </c>
      <c r="CH19">
        <f t="shared" ca="1" si="12"/>
        <v>65943.015954404225</v>
      </c>
      <c r="CI19">
        <f t="shared" ca="1" si="12"/>
        <v>66074.321697375417</v>
      </c>
      <c r="CJ19">
        <f t="shared" ca="1" si="12"/>
        <v>66562.845800205207</v>
      </c>
      <c r="CK19">
        <f t="shared" ca="1" si="12"/>
        <v>66677.635663405148</v>
      </c>
      <c r="CL19">
        <f t="shared" ca="1" si="12"/>
        <v>66074.321697375417</v>
      </c>
    </row>
    <row r="20" spans="1:90" x14ac:dyDescent="0.3">
      <c r="A20" s="9">
        <f t="shared" si="1"/>
        <v>2020</v>
      </c>
      <c r="B20" s="9">
        <f t="shared" si="2"/>
        <v>1</v>
      </c>
      <c r="C20" s="10">
        <v>43845</v>
      </c>
      <c r="D20" s="9">
        <v>0.20699999999999999</v>
      </c>
      <c r="E20" s="9">
        <v>0.14699999999999999</v>
      </c>
      <c r="F20" s="9">
        <v>13.960694676385334</v>
      </c>
      <c r="G20" s="9">
        <v>10646.313318658917</v>
      </c>
      <c r="H20" s="9">
        <v>54796.390191273422</v>
      </c>
      <c r="I20" s="9">
        <v>1467.9529668422808</v>
      </c>
      <c r="J20" s="20">
        <v>70.69</v>
      </c>
      <c r="K20" s="9">
        <v>71.77</v>
      </c>
      <c r="L20" s="31">
        <f>Table1[[#This Row],[TN550 I (O2)]]/(Table1[[#This Row],[Flowmeter A]]+Table1[[#This Row],[Flowmeter B]])</f>
        <v>1.9227480199603818E-2</v>
      </c>
      <c r="M20" s="33">
        <f>Table1[[#This Row],[TN120 Venting2]]/100</f>
        <v>2.1700000000000001E-2</v>
      </c>
      <c r="N20" s="31">
        <f>Table1[[#This Row],[TN550 I Venting2]]/100</f>
        <v>0</v>
      </c>
      <c r="O20" s="31">
        <f>(Table1[[#This Row],[TN550 I (O2)]]-Table1[[#This Row],[O2]])/Table1[[#This Row],[TN550 I (O2)]]</f>
        <v>1.2359647717287413E-2</v>
      </c>
      <c r="P20" s="9">
        <f>Table1[[#This Row],[M-N2]]+Table1[[#This Row],[TEN-N2]]</f>
        <v>64428.895195732672</v>
      </c>
      <c r="Q20" s="9">
        <v>1449.8095853065633</v>
      </c>
      <c r="R20" s="9">
        <f>SUM(Table1[[#This Row],[TEN-CDA]:[TEN-CDA WWT]])</f>
        <v>99686.149610564025</v>
      </c>
      <c r="S20" s="9">
        <v>435.61772478727062</v>
      </c>
      <c r="T20" s="9">
        <v>260.90225150897879</v>
      </c>
      <c r="U20" s="9">
        <v>39.864149388797081</v>
      </c>
      <c r="V20" s="42">
        <v>2.17</v>
      </c>
      <c r="W20" s="9">
        <v>0</v>
      </c>
      <c r="X20" s="9">
        <v>74796.535641481605</v>
      </c>
      <c r="Y20" s="9">
        <v>1550.0761663687056</v>
      </c>
      <c r="Z20" s="1">
        <v>62103.595647553782</v>
      </c>
      <c r="AA20" s="1">
        <v>2325.2995481788907</v>
      </c>
      <c r="AB20" s="1">
        <v>35028.623462981435</v>
      </c>
      <c r="AC20" s="1">
        <v>54756.480750672279</v>
      </c>
      <c r="AD20" s="1">
        <v>7114.9017429709183</v>
      </c>
      <c r="AE20" s="1">
        <v>2782.8738348680931</v>
      </c>
      <c r="AF20" s="1">
        <v>3.269819071295359</v>
      </c>
      <c r="AG20" s="1"/>
      <c r="AH20" s="1"/>
      <c r="AI20" s="1"/>
      <c r="AJ20" s="1"/>
      <c r="AK20" s="1"/>
      <c r="AL20" s="1"/>
      <c r="AM20" s="1"/>
      <c r="AN20" s="1"/>
      <c r="AO20" s="1"/>
      <c r="AP20" s="1"/>
      <c r="AQ20" s="1"/>
      <c r="AS20" t="s">
        <v>132</v>
      </c>
      <c r="AT20" s="22" t="e">
        <f ca="1">BC5</f>
        <v>#NAME?</v>
      </c>
      <c r="AU20" s="22" t="e">
        <f ca="1">BD5</f>
        <v>#NAME?</v>
      </c>
      <c r="AV20" s="22" t="e">
        <f ca="1">AY8</f>
        <v>#NAME?</v>
      </c>
      <c r="AW20" s="22" t="e">
        <f ca="1">AZ8</f>
        <v>#NAME?</v>
      </c>
      <c r="AX20" s="22" t="e">
        <f ca="1">AZ12</f>
        <v>#NAME?</v>
      </c>
      <c r="AY20" s="22" t="e">
        <f ca="1">BA12</f>
        <v>#NAME?</v>
      </c>
      <c r="BH20" s="1" t="s">
        <v>60</v>
      </c>
      <c r="BI20">
        <f ca="1">VLOOKUP(BI$6,$C$6:$AO$3502,15,0)</f>
        <v>1322.4223225346709</v>
      </c>
      <c r="BJ20">
        <f t="shared" ref="BJ20:CL20" ca="1" si="13">VLOOKUP(BJ$6,$C$6:$AO$3502,15,0)</f>
        <v>1325.3012621612866</v>
      </c>
      <c r="BK20">
        <f t="shared" ca="1" si="13"/>
        <v>1326.0781825195993</v>
      </c>
      <c r="BL20">
        <f t="shared" ca="1" si="13"/>
        <v>1322.77201077675</v>
      </c>
      <c r="BM20">
        <f t="shared" ca="1" si="13"/>
        <v>1319.1935553990827</v>
      </c>
      <c r="BN20">
        <f t="shared" ca="1" si="13"/>
        <v>1316.9198260654764</v>
      </c>
      <c r="BO20">
        <f t="shared" ca="1" si="13"/>
        <v>1312.447697149061</v>
      </c>
      <c r="BP20">
        <f t="shared" ca="1" si="13"/>
        <v>1307.8758499177277</v>
      </c>
      <c r="BQ20">
        <f t="shared" ca="1" si="13"/>
        <v>1320.0017227924673</v>
      </c>
      <c r="BR20">
        <f t="shared" ca="1" si="13"/>
        <v>1319.0226146901837</v>
      </c>
      <c r="BS20">
        <f t="shared" ca="1" si="13"/>
        <v>1286.6333004424012</v>
      </c>
      <c r="BT20">
        <f t="shared" ca="1" si="13"/>
        <v>1152.1211867640202</v>
      </c>
      <c r="BU20">
        <f t="shared" ca="1" si="13"/>
        <v>1251.4734421252874</v>
      </c>
      <c r="BV20">
        <f t="shared" ca="1" si="13"/>
        <v>1291.2643478785349</v>
      </c>
      <c r="BW20">
        <f t="shared" ca="1" si="13"/>
        <v>1308.6280541297549</v>
      </c>
      <c r="BX20">
        <f t="shared" ca="1" si="13"/>
        <v>1313.0300188772717</v>
      </c>
      <c r="BY20">
        <f t="shared" ca="1" si="13"/>
        <v>1313.6617240191003</v>
      </c>
      <c r="BZ20">
        <f t="shared" ca="1" si="13"/>
        <v>1317.717835870408</v>
      </c>
      <c r="CA20">
        <f t="shared" ca="1" si="13"/>
        <v>1310.2549605783202</v>
      </c>
      <c r="CB20">
        <f t="shared" ca="1" si="13"/>
        <v>1304.7871868019713</v>
      </c>
      <c r="CC20">
        <f t="shared" ca="1" si="13"/>
        <v>1306.8976793221548</v>
      </c>
      <c r="CD20">
        <f t="shared" ca="1" si="13"/>
        <v>1309.2550692641016</v>
      </c>
      <c r="CE20">
        <f t="shared" ca="1" si="13"/>
        <v>1311.4651137278529</v>
      </c>
      <c r="CF20">
        <f t="shared" ca="1" si="13"/>
        <v>1312.4994085392632</v>
      </c>
      <c r="CG20">
        <f t="shared" ca="1" si="13"/>
        <v>1305.8315821057968</v>
      </c>
      <c r="CH20">
        <f t="shared" ca="1" si="13"/>
        <v>1307.1392891729647</v>
      </c>
      <c r="CI20">
        <f t="shared" ca="1" si="13"/>
        <v>1308.7551133144573</v>
      </c>
      <c r="CJ20">
        <f t="shared" ca="1" si="13"/>
        <v>1307.0340494001018</v>
      </c>
      <c r="CK20">
        <f t="shared" ca="1" si="13"/>
        <v>1309.6710549856873</v>
      </c>
      <c r="CL20">
        <f t="shared" ca="1" si="13"/>
        <v>1308.7551133144573</v>
      </c>
    </row>
    <row r="21" spans="1:90" x14ac:dyDescent="0.3">
      <c r="A21" s="9">
        <f t="shared" si="1"/>
        <v>2020</v>
      </c>
      <c r="B21" s="9">
        <f t="shared" si="2"/>
        <v>1</v>
      </c>
      <c r="C21" s="10">
        <v>43846</v>
      </c>
      <c r="D21" s="9">
        <v>0.22800000000000001</v>
      </c>
      <c r="E21" s="9">
        <v>0.14699999999999999</v>
      </c>
      <c r="F21" s="9">
        <v>13.299258297636309</v>
      </c>
      <c r="G21" s="9">
        <v>10976.035676044195</v>
      </c>
      <c r="H21" s="9">
        <v>55332.549420432857</v>
      </c>
      <c r="I21" s="9">
        <v>1464.8831168710151</v>
      </c>
      <c r="J21" s="20">
        <v>71.040000000000006</v>
      </c>
      <c r="K21" s="9">
        <v>71.78</v>
      </c>
      <c r="L21" s="31">
        <f>Table1[[#This Row],[TN550 I (O2)]]/(Table1[[#This Row],[Flowmeter A]]+Table1[[#This Row],[Flowmeter B]])</f>
        <v>1.9002782950361709E-2</v>
      </c>
      <c r="M21" s="33">
        <f>Table1[[#This Row],[TN120 Venting2]]/100</f>
        <v>1.52E-2</v>
      </c>
      <c r="N21" s="31">
        <f>Table1[[#This Row],[TN550 I Venting2]]/100</f>
        <v>0</v>
      </c>
      <c r="O21" s="31">
        <f>(Table1[[#This Row],[TN550 I (O2)]]-Table1[[#This Row],[O2]])/Table1[[#This Row],[TN550 I (O2)]]</f>
        <v>1.1645587794584722E-2</v>
      </c>
      <c r="P21" s="9">
        <f>Table1[[#This Row],[M-N2]]+Table1[[#This Row],[TEN-N2]]</f>
        <v>64040.982969031247</v>
      </c>
      <c r="Q21" s="9">
        <v>1447.8236919246888</v>
      </c>
      <c r="R21" s="9">
        <f>SUM(Table1[[#This Row],[TEN-CDA]:[TEN-CDA WWT]])</f>
        <v>99201.972041121728</v>
      </c>
      <c r="S21" s="9">
        <v>430.65124238521832</v>
      </c>
      <c r="T21" s="9">
        <v>259.5280850031242</v>
      </c>
      <c r="U21" s="9">
        <v>39.058221208147501</v>
      </c>
      <c r="V21" s="42">
        <v>1.52</v>
      </c>
      <c r="W21" s="9">
        <v>0</v>
      </c>
      <c r="X21" s="9">
        <v>75537.676364070096</v>
      </c>
      <c r="Y21" s="9">
        <v>1550.1439145450208</v>
      </c>
      <c r="Z21" s="1">
        <v>61733.700864200211</v>
      </c>
      <c r="AA21" s="1">
        <v>2307.2821048310366</v>
      </c>
      <c r="AB21" s="1">
        <v>34534.858007405885</v>
      </c>
      <c r="AC21" s="1">
        <v>54778.448749783136</v>
      </c>
      <c r="AD21" s="1">
        <v>7137.5071588604915</v>
      </c>
      <c r="AE21" s="1">
        <v>2749.3758937139464</v>
      </c>
      <c r="AF21" s="1">
        <v>1.7822313582670719</v>
      </c>
      <c r="AG21" s="1"/>
      <c r="AH21" s="1"/>
      <c r="AI21" s="1"/>
      <c r="AJ21" s="1"/>
      <c r="AK21" s="1"/>
      <c r="AL21" s="1"/>
      <c r="AM21" s="1"/>
      <c r="AN21" s="1"/>
      <c r="AO21" s="1"/>
      <c r="AP21" s="1"/>
      <c r="AQ21" s="1"/>
      <c r="AU21" s="18"/>
      <c r="BH21" s="1" t="s">
        <v>61</v>
      </c>
      <c r="BI21">
        <f ca="1">VLOOKUP(BI$6,$C$6:$AO$3502,16,0)</f>
        <v>99755.116341520436</v>
      </c>
      <c r="BJ21">
        <f t="shared" ref="BJ21:CL21" ca="1" si="14">VLOOKUP(BJ$6,$C$6:$AO$3502,16,0)</f>
        <v>99853.715335714151</v>
      </c>
      <c r="BK21">
        <f t="shared" ca="1" si="14"/>
        <v>99746.624798564473</v>
      </c>
      <c r="BL21">
        <f t="shared" ca="1" si="14"/>
        <v>99923.326004066534</v>
      </c>
      <c r="BM21">
        <f t="shared" ca="1" si="14"/>
        <v>99243.757829447946</v>
      </c>
      <c r="BN21">
        <f t="shared" ca="1" si="14"/>
        <v>99404.49352863642</v>
      </c>
      <c r="BO21">
        <f t="shared" ca="1" si="14"/>
        <v>99063.289849369816</v>
      </c>
      <c r="BP21">
        <f t="shared" ca="1" si="14"/>
        <v>99254.830481098092</v>
      </c>
      <c r="BQ21">
        <f t="shared" ca="1" si="14"/>
        <v>98987.399044337348</v>
      </c>
      <c r="BR21">
        <f t="shared" ca="1" si="14"/>
        <v>99136.311885079558</v>
      </c>
      <c r="BS21">
        <f t="shared" ca="1" si="14"/>
        <v>98628.740088568666</v>
      </c>
      <c r="BT21">
        <f t="shared" ca="1" si="14"/>
        <v>93996.076104372492</v>
      </c>
      <c r="BU21">
        <f t="shared" ca="1" si="14"/>
        <v>98317.016983083391</v>
      </c>
      <c r="BV21">
        <f t="shared" ca="1" si="14"/>
        <v>99410.648169279171</v>
      </c>
      <c r="BW21">
        <f t="shared" ca="1" si="14"/>
        <v>98616.832114603676</v>
      </c>
      <c r="BX21">
        <f t="shared" ca="1" si="14"/>
        <v>98652.161220033944</v>
      </c>
      <c r="BY21">
        <f t="shared" ca="1" si="14"/>
        <v>98543.468979439087</v>
      </c>
      <c r="BZ21">
        <f t="shared" ca="1" si="14"/>
        <v>98648.115153904611</v>
      </c>
      <c r="CA21">
        <f t="shared" ca="1" si="14"/>
        <v>98746.378964299831</v>
      </c>
      <c r="CB21">
        <f t="shared" ca="1" si="14"/>
        <v>98859.405513054706</v>
      </c>
      <c r="CC21">
        <f t="shared" ca="1" si="14"/>
        <v>98934.552388968455</v>
      </c>
      <c r="CD21">
        <f t="shared" ca="1" si="14"/>
        <v>98643.547065017483</v>
      </c>
      <c r="CE21">
        <f t="shared" ca="1" si="14"/>
        <v>98549.597889892131</v>
      </c>
      <c r="CF21">
        <f t="shared" ca="1" si="14"/>
        <v>98758.964781179442</v>
      </c>
      <c r="CG21">
        <f t="shared" ca="1" si="14"/>
        <v>98980.250610703122</v>
      </c>
      <c r="CH21">
        <f t="shared" ca="1" si="14"/>
        <v>98364.459573574903</v>
      </c>
      <c r="CI21">
        <f t="shared" ca="1" si="14"/>
        <v>98597.394175667476</v>
      </c>
      <c r="CJ21">
        <f t="shared" ca="1" si="14"/>
        <v>99543.412148743388</v>
      </c>
      <c r="CK21">
        <f t="shared" ca="1" si="14"/>
        <v>98620.928214784479</v>
      </c>
      <c r="CL21">
        <f t="shared" ca="1" si="14"/>
        <v>98597.394175667476</v>
      </c>
    </row>
    <row r="22" spans="1:90" x14ac:dyDescent="0.3">
      <c r="A22" s="9">
        <f t="shared" si="1"/>
        <v>2020</v>
      </c>
      <c r="B22" s="9">
        <f t="shared" si="2"/>
        <v>1</v>
      </c>
      <c r="C22" s="10">
        <v>43847</v>
      </c>
      <c r="D22" s="9">
        <v>0.22</v>
      </c>
      <c r="E22" s="9">
        <v>0.14799999999999999</v>
      </c>
      <c r="F22" s="9">
        <v>12.091421561469476</v>
      </c>
      <c r="G22" s="9">
        <v>12052.78943702397</v>
      </c>
      <c r="H22" s="9">
        <v>56994.063416247394</v>
      </c>
      <c r="I22" s="9">
        <v>1464.8122323093771</v>
      </c>
      <c r="J22" s="20">
        <v>72.17</v>
      </c>
      <c r="K22" s="9">
        <v>71.62</v>
      </c>
      <c r="L22" s="31">
        <f>Table1[[#This Row],[TN550 I (O2)]]/(Table1[[#This Row],[Flowmeter A]]+Table1[[#This Row],[Flowmeter B]])</f>
        <v>1.8408326726708495E-2</v>
      </c>
      <c r="M22" s="33">
        <f>Table1[[#This Row],[TN120 Venting2]]/100</f>
        <v>0</v>
      </c>
      <c r="N22" s="31">
        <f>Table1[[#This Row],[TN550 I Venting2]]/100</f>
        <v>0</v>
      </c>
      <c r="O22" s="31">
        <f>(Table1[[#This Row],[TN550 I (O2)]]-Table1[[#This Row],[O2]])/Table1[[#This Row],[TN550 I (O2)]]</f>
        <v>1.1801304056556893E-2</v>
      </c>
      <c r="P22" s="9">
        <f>Table1[[#This Row],[M-N2]]+Table1[[#This Row],[TEN-N2]]</f>
        <v>64227.928122865247</v>
      </c>
      <c r="Q22" s="9">
        <v>1447.5255377701303</v>
      </c>
      <c r="R22" s="9">
        <f>SUM(Table1[[#This Row],[TEN-CDA]:[TEN-CDA WWT]])</f>
        <v>99710.046261782481</v>
      </c>
      <c r="S22" s="9">
        <v>426.9210258446825</v>
      </c>
      <c r="T22" s="9">
        <v>259.2125384762914</v>
      </c>
      <c r="U22" s="9">
        <v>39.013333850730881</v>
      </c>
      <c r="V22" s="42">
        <v>0</v>
      </c>
      <c r="W22" s="9">
        <v>0</v>
      </c>
      <c r="X22" s="9">
        <v>78023.272792331714</v>
      </c>
      <c r="Y22" s="9">
        <v>1550.0775754718131</v>
      </c>
      <c r="Z22" s="1">
        <v>61982.772702875605</v>
      </c>
      <c r="AA22" s="1">
        <v>2245.155419989645</v>
      </c>
      <c r="AB22" s="1">
        <v>35246.816387274463</v>
      </c>
      <c r="AC22" s="1">
        <v>54661.113481848544</v>
      </c>
      <c r="AD22" s="1">
        <v>7024.7668099545672</v>
      </c>
      <c r="AE22" s="1">
        <v>2774.9387828818963</v>
      </c>
      <c r="AF22" s="1">
        <v>2.4107998230033747</v>
      </c>
      <c r="AG22" s="1"/>
      <c r="AH22" s="1"/>
      <c r="AI22" s="1"/>
      <c r="AJ22" s="1"/>
      <c r="AK22" s="1"/>
      <c r="AL22" s="1"/>
      <c r="AM22" s="1"/>
      <c r="AN22" s="1"/>
      <c r="AO22" s="1"/>
      <c r="AP22" s="1"/>
      <c r="AQ22" s="1"/>
      <c r="AU22" s="18"/>
      <c r="BH22" s="1" t="s">
        <v>126</v>
      </c>
      <c r="BI22">
        <f ca="1">VLOOKUP(BI$6,$C$6:$AO$3502,17,0)</f>
        <v>435.75974091020913</v>
      </c>
      <c r="BJ22">
        <f t="shared" ref="BJ22:CL22" ca="1" si="15">VLOOKUP(BJ$6,$C$6:$AO$3502,17,0)</f>
        <v>441.51517884190258</v>
      </c>
      <c r="BK22">
        <f t="shared" ca="1" si="15"/>
        <v>440.92966769851802</v>
      </c>
      <c r="BL22">
        <f t="shared" ca="1" si="15"/>
        <v>437.59780106554422</v>
      </c>
      <c r="BM22">
        <f t="shared" ca="1" si="15"/>
        <v>435.59469894631553</v>
      </c>
      <c r="BN22">
        <f t="shared" ca="1" si="15"/>
        <v>438.50105180813154</v>
      </c>
      <c r="BO22">
        <f t="shared" ca="1" si="15"/>
        <v>437.57052542417102</v>
      </c>
      <c r="BP22">
        <f t="shared" ca="1" si="15"/>
        <v>439.01628999094589</v>
      </c>
      <c r="BQ22">
        <f t="shared" ca="1" si="15"/>
        <v>437.49335307664626</v>
      </c>
      <c r="BR22">
        <f t="shared" ca="1" si="15"/>
        <v>432.02916586754799</v>
      </c>
      <c r="BS22">
        <f t="shared" ca="1" si="15"/>
        <v>430.30168830612155</v>
      </c>
      <c r="BT22">
        <f t="shared" ca="1" si="15"/>
        <v>477.17995857911166</v>
      </c>
      <c r="BU22">
        <f t="shared" ca="1" si="15"/>
        <v>445.75065630794319</v>
      </c>
      <c r="BV22">
        <f t="shared" ca="1" si="15"/>
        <v>436.97726588676079</v>
      </c>
      <c r="BW22">
        <f t="shared" ca="1" si="15"/>
        <v>436.97920723676185</v>
      </c>
      <c r="BX22">
        <f t="shared" ca="1" si="15"/>
        <v>426.59442303860715</v>
      </c>
      <c r="BY22">
        <f t="shared" ca="1" si="15"/>
        <v>431.07243549418399</v>
      </c>
      <c r="BZ22">
        <f t="shared" ca="1" si="15"/>
        <v>428.39585458198246</v>
      </c>
      <c r="CA22">
        <f t="shared" ca="1" si="15"/>
        <v>429.00785928232477</v>
      </c>
      <c r="CB22">
        <f t="shared" ca="1" si="15"/>
        <v>423.61593524157217</v>
      </c>
      <c r="CC22">
        <f t="shared" ca="1" si="15"/>
        <v>431.05024855593416</v>
      </c>
      <c r="CD22">
        <f t="shared" ca="1" si="15"/>
        <v>425.50641606136958</v>
      </c>
      <c r="CE22">
        <f t="shared" ca="1" si="15"/>
        <v>430.41644731848544</v>
      </c>
      <c r="CF22">
        <f t="shared" ca="1" si="15"/>
        <v>429.58426693261794</v>
      </c>
      <c r="CG22">
        <f t="shared" ca="1" si="15"/>
        <v>426.44119893801366</v>
      </c>
      <c r="CH22">
        <f t="shared" ca="1" si="15"/>
        <v>426.69415816890125</v>
      </c>
      <c r="CI22">
        <f t="shared" ca="1" si="15"/>
        <v>427.09244426698177</v>
      </c>
      <c r="CJ22">
        <f t="shared" ca="1" si="15"/>
        <v>429.29570745379453</v>
      </c>
      <c r="CK22">
        <f t="shared" ca="1" si="15"/>
        <v>424.26250786552981</v>
      </c>
      <c r="CL22">
        <f t="shared" ca="1" si="15"/>
        <v>427.09244426698177</v>
      </c>
    </row>
    <row r="23" spans="1:90" x14ac:dyDescent="0.3">
      <c r="A23" s="9">
        <f t="shared" si="1"/>
        <v>2020</v>
      </c>
      <c r="B23" s="9">
        <f t="shared" si="2"/>
        <v>1</v>
      </c>
      <c r="C23" s="10">
        <v>43848</v>
      </c>
      <c r="D23" s="9">
        <v>0.22</v>
      </c>
      <c r="E23" s="9">
        <v>0.14599999999999999</v>
      </c>
      <c r="F23" s="9">
        <v>13.40387891349819</v>
      </c>
      <c r="G23" s="9">
        <v>12051.14569689018</v>
      </c>
      <c r="H23" s="9">
        <v>57004.77440254164</v>
      </c>
      <c r="I23" s="9">
        <v>1463.6334209878935</v>
      </c>
      <c r="J23" s="20">
        <v>72.16</v>
      </c>
      <c r="K23" s="9">
        <v>71.66</v>
      </c>
      <c r="L23" s="31">
        <f>Table1[[#This Row],[TN550 I (O2)]]/(Table1[[#This Row],[Flowmeter A]]+Table1[[#This Row],[Flowmeter B]])</f>
        <v>1.8399652311079106E-2</v>
      </c>
      <c r="M23" s="33">
        <f>Table1[[#This Row],[TN120 Venting2]]/100</f>
        <v>0</v>
      </c>
      <c r="N23" s="31">
        <f>Table1[[#This Row],[TN550 I Venting2]]/100</f>
        <v>0</v>
      </c>
      <c r="O23" s="31">
        <f>(Table1[[#This Row],[TN550 I (O2)]]-Table1[[#This Row],[O2]])/Table1[[#This Row],[TN550 I (O2)]]</f>
        <v>1.0532500896151721E-2</v>
      </c>
      <c r="P23" s="9">
        <f>Table1[[#This Row],[M-N2]]+Table1[[#This Row],[TEN-N2]]</f>
        <v>64250.138680769785</v>
      </c>
      <c r="Q23" s="9">
        <v>1448.2177006697009</v>
      </c>
      <c r="R23" s="9">
        <f>SUM(Table1[[#This Row],[TEN-CDA]:[TEN-CDA WWT]])</f>
        <v>99240.87636062823</v>
      </c>
      <c r="S23" s="9">
        <v>434.63819797364977</v>
      </c>
      <c r="T23" s="9">
        <v>260.24509628475914</v>
      </c>
      <c r="U23" s="9">
        <v>39.996263459024952</v>
      </c>
      <c r="V23" s="42">
        <v>0</v>
      </c>
      <c r="W23" s="9">
        <v>0</v>
      </c>
      <c r="X23" s="9">
        <v>77997.005269777932</v>
      </c>
      <c r="Y23" s="9">
        <v>1549.7924763178512</v>
      </c>
      <c r="Z23" s="1">
        <v>61956.981555777238</v>
      </c>
      <c r="AA23" s="1">
        <v>2293.1571249925455</v>
      </c>
      <c r="AB23" s="1">
        <v>34806.202807837442</v>
      </c>
      <c r="AC23" s="1">
        <v>54749.04882134802</v>
      </c>
      <c r="AD23" s="1">
        <v>6908.4710094443963</v>
      </c>
      <c r="AE23" s="1">
        <v>2771.9830921181037</v>
      </c>
      <c r="AF23" s="1">
        <v>5.1706298802727879</v>
      </c>
      <c r="AG23" s="1"/>
      <c r="AH23" s="1"/>
      <c r="AI23" s="1"/>
      <c r="AJ23" s="1"/>
      <c r="AK23" s="1"/>
      <c r="AL23" s="1"/>
      <c r="AM23" s="1"/>
      <c r="AN23" s="1"/>
      <c r="AO23" s="1"/>
      <c r="AP23" s="1"/>
      <c r="AQ23" s="1"/>
      <c r="AT23" t="s">
        <v>107</v>
      </c>
      <c r="AU23" s="18" t="s">
        <v>106</v>
      </c>
      <c r="AV23" t="s">
        <v>136</v>
      </c>
      <c r="AW23" t="s">
        <v>140</v>
      </c>
      <c r="AX23" t="s">
        <v>144</v>
      </c>
      <c r="AY23" t="s">
        <v>153</v>
      </c>
      <c r="BH23" s="1" t="s">
        <v>127</v>
      </c>
      <c r="BI23">
        <f ca="1">VLOOKUP(BI$6,$C$6:$AO$3502,18,0)</f>
        <v>218.00626638546163</v>
      </c>
      <c r="BJ23">
        <f t="shared" ref="BJ23:CL23" ca="1" si="16">VLOOKUP(BJ$6,$C$6:$AO$3502,18,0)</f>
        <v>218.37212910278237</v>
      </c>
      <c r="BK23">
        <f t="shared" ca="1" si="16"/>
        <v>227.58880835486153</v>
      </c>
      <c r="BL23">
        <f t="shared" ca="1" si="16"/>
        <v>211.67597042298169</v>
      </c>
      <c r="BM23">
        <f t="shared" ca="1" si="16"/>
        <v>204.22090765207199</v>
      </c>
      <c r="BN23">
        <f t="shared" ca="1" si="16"/>
        <v>210.04742450700871</v>
      </c>
      <c r="BO23">
        <f t="shared" ca="1" si="16"/>
        <v>208.32908414354927</v>
      </c>
      <c r="BP23">
        <f t="shared" ca="1" si="16"/>
        <v>214.89659992247135</v>
      </c>
      <c r="BQ23">
        <f t="shared" ca="1" si="16"/>
        <v>215.37286956172943</v>
      </c>
      <c r="BR23">
        <f t="shared" ca="1" si="16"/>
        <v>212.53832807679871</v>
      </c>
      <c r="BS23">
        <f t="shared" ca="1" si="16"/>
        <v>198.10407746822617</v>
      </c>
      <c r="BT23">
        <f t="shared" ca="1" si="16"/>
        <v>124.00632952253989</v>
      </c>
      <c r="BU23">
        <f t="shared" ca="1" si="16"/>
        <v>194.39076408688015</v>
      </c>
      <c r="BV23">
        <f t="shared" ca="1" si="16"/>
        <v>200.73584051085876</v>
      </c>
      <c r="BW23">
        <f t="shared" ca="1" si="16"/>
        <v>209.68025109041577</v>
      </c>
      <c r="BX23">
        <f t="shared" ca="1" si="16"/>
        <v>216.17747041171495</v>
      </c>
      <c r="BY23">
        <f t="shared" ca="1" si="16"/>
        <v>216.39081697907409</v>
      </c>
      <c r="BZ23">
        <f t="shared" ca="1" si="16"/>
        <v>214.69057868571019</v>
      </c>
      <c r="CA23">
        <f t="shared" ca="1" si="16"/>
        <v>211.25826285135241</v>
      </c>
      <c r="CB23">
        <f t="shared" ca="1" si="16"/>
        <v>206.540314059552</v>
      </c>
      <c r="CC23">
        <f t="shared" ca="1" si="16"/>
        <v>214.65983076163215</v>
      </c>
      <c r="CD23">
        <f t="shared" ca="1" si="16"/>
        <v>216.59813949087277</v>
      </c>
      <c r="CE23">
        <f t="shared" ca="1" si="16"/>
        <v>221.64169639783299</v>
      </c>
      <c r="CF23">
        <f t="shared" ca="1" si="16"/>
        <v>213.16395439661517</v>
      </c>
      <c r="CG23">
        <f t="shared" ca="1" si="16"/>
        <v>206.38862193714488</v>
      </c>
      <c r="CH23">
        <f t="shared" ca="1" si="16"/>
        <v>208.98397718081452</v>
      </c>
      <c r="CI23">
        <f t="shared" ca="1" si="16"/>
        <v>207.21313348435265</v>
      </c>
      <c r="CJ23">
        <f t="shared" ca="1" si="16"/>
        <v>220.11123988663132</v>
      </c>
      <c r="CK23">
        <f t="shared" ca="1" si="16"/>
        <v>207.87792295287832</v>
      </c>
      <c r="CL23">
        <f t="shared" ca="1" si="16"/>
        <v>207.21313348435265</v>
      </c>
    </row>
    <row r="24" spans="1:90" x14ac:dyDescent="0.3">
      <c r="A24" s="9">
        <f t="shared" si="1"/>
        <v>2020</v>
      </c>
      <c r="B24" s="9">
        <f t="shared" si="2"/>
        <v>1</v>
      </c>
      <c r="C24" s="10">
        <v>43849</v>
      </c>
      <c r="D24" s="9">
        <v>0.219</v>
      </c>
      <c r="E24" s="9">
        <v>0.14399999999999999</v>
      </c>
      <c r="F24" s="9">
        <v>12.187651016743624</v>
      </c>
      <c r="G24" s="9">
        <v>12056.897854002213</v>
      </c>
      <c r="H24" s="9">
        <v>56966.705231284701</v>
      </c>
      <c r="I24" s="9">
        <v>1477.5623408257341</v>
      </c>
      <c r="J24" s="20">
        <v>72.2</v>
      </c>
      <c r="K24" s="9">
        <v>71.650000000000006</v>
      </c>
      <c r="L24" s="31">
        <f>Table1[[#This Row],[TN550 I (O2)]]/(Table1[[#This Row],[Flowmeter A]]+Table1[[#This Row],[Flowmeter B]])</f>
        <v>1.8583751946690215E-2</v>
      </c>
      <c r="M24" s="33">
        <f>Table1[[#This Row],[TN120 Venting2]]/100</f>
        <v>0</v>
      </c>
      <c r="N24" s="31">
        <f>Table1[[#This Row],[TN550 I Venting2]]/100</f>
        <v>0</v>
      </c>
      <c r="O24" s="31">
        <f>(Table1[[#This Row],[TN550 I (O2)]]-Table1[[#This Row],[O2]])/Table1[[#This Row],[TN550 I (O2)]]</f>
        <v>1.9947317535371878E-2</v>
      </c>
      <c r="P24" s="9">
        <f>Table1[[#This Row],[M-N2]]+Table1[[#This Row],[TEN-N2]]</f>
        <v>64072.395768895571</v>
      </c>
      <c r="Q24" s="9">
        <v>1448.0889356349758</v>
      </c>
      <c r="R24" s="9">
        <f>SUM(Table1[[#This Row],[TEN-CDA]:[TEN-CDA WWT]])</f>
        <v>98883.456588584959</v>
      </c>
      <c r="S24" s="9">
        <v>431.93298043350978</v>
      </c>
      <c r="T24" s="9">
        <v>270.4160833418328</v>
      </c>
      <c r="U24" s="9">
        <v>39.775528544439865</v>
      </c>
      <c r="V24" s="42">
        <v>0</v>
      </c>
      <c r="W24" s="9">
        <v>0</v>
      </c>
      <c r="X24" s="9">
        <v>77958.463252515619</v>
      </c>
      <c r="Y24" s="9">
        <v>1549.8268422028159</v>
      </c>
      <c r="Z24" s="1">
        <v>61756.586886276891</v>
      </c>
      <c r="AA24" s="1">
        <v>2315.8088826186786</v>
      </c>
      <c r="AB24" s="1">
        <v>34227.616729376299</v>
      </c>
      <c r="AC24" s="1">
        <v>54817.690037300483</v>
      </c>
      <c r="AD24" s="1">
        <v>7065.2529947464864</v>
      </c>
      <c r="AE24" s="1">
        <v>2770.1561669820221</v>
      </c>
      <c r="AF24" s="1">
        <v>2.7406601796623407</v>
      </c>
      <c r="AG24" s="1"/>
      <c r="AH24" s="1"/>
      <c r="AI24" s="1"/>
      <c r="AJ24" s="1"/>
      <c r="AK24" s="1"/>
      <c r="AL24" s="1"/>
      <c r="AM24" s="1"/>
      <c r="AN24" s="1"/>
      <c r="AO24" s="1"/>
      <c r="AP24" s="1"/>
      <c r="AQ24" s="1"/>
      <c r="AS24" t="s">
        <v>155</v>
      </c>
      <c r="AT24" s="62">
        <v>0.86571721509860367</v>
      </c>
      <c r="AU24" s="62">
        <v>0.89407289508268017</v>
      </c>
      <c r="AV24" s="62">
        <v>0.89407301682692308</v>
      </c>
      <c r="AW24" s="62">
        <v>0.76022636944396638</v>
      </c>
      <c r="AX24" s="62">
        <v>0.90218246335878505</v>
      </c>
      <c r="AY24" s="62">
        <v>0.91445062541483368</v>
      </c>
      <c r="BH24" s="1" t="s">
        <v>128</v>
      </c>
      <c r="BI24">
        <f ca="1">VLOOKUP(BI$6,$C$6:$AO$3502,19,0)</f>
        <v>34.036220578333307</v>
      </c>
      <c r="BJ24">
        <f t="shared" ref="BJ24:CL24" ca="1" si="17">VLOOKUP(BJ$6,$C$6:$AO$3502,19,0)</f>
        <v>34.212807644083632</v>
      </c>
      <c r="BK24">
        <f t="shared" ca="1" si="17"/>
        <v>33.292593691929774</v>
      </c>
      <c r="BL24">
        <f t="shared" ca="1" si="17"/>
        <v>34.043052551566021</v>
      </c>
      <c r="BM24">
        <f t="shared" ca="1" si="17"/>
        <v>34.404214228961635</v>
      </c>
      <c r="BN24">
        <f t="shared" ca="1" si="17"/>
        <v>34.888047429441492</v>
      </c>
      <c r="BO24">
        <f t="shared" ca="1" si="17"/>
        <v>34.217955764675203</v>
      </c>
      <c r="BP24">
        <f t="shared" ca="1" si="17"/>
        <v>34.033328508354572</v>
      </c>
      <c r="BQ24">
        <f t="shared" ca="1" si="17"/>
        <v>34.150267010013067</v>
      </c>
      <c r="BR24">
        <f t="shared" ca="1" si="17"/>
        <v>34.31718912197433</v>
      </c>
      <c r="BS24">
        <f t="shared" ca="1" si="17"/>
        <v>34.151408079678113</v>
      </c>
      <c r="BT24">
        <f t="shared" ca="1" si="17"/>
        <v>23.499300115891085</v>
      </c>
      <c r="BU24">
        <f t="shared" ca="1" si="17"/>
        <v>33.840200634651261</v>
      </c>
      <c r="BV24">
        <f t="shared" ca="1" si="17"/>
        <v>33.516310691171682</v>
      </c>
      <c r="BW24">
        <f t="shared" ca="1" si="17"/>
        <v>32.897329612377199</v>
      </c>
      <c r="BX24">
        <f t="shared" ca="1" si="17"/>
        <v>33.560100522329208</v>
      </c>
      <c r="BY24">
        <f t="shared" ca="1" si="17"/>
        <v>34.404070717191466</v>
      </c>
      <c r="BZ24">
        <f t="shared" ca="1" si="17"/>
        <v>34.826257804960612</v>
      </c>
      <c r="CA24">
        <f t="shared" ca="1" si="17"/>
        <v>34.951230078914939</v>
      </c>
      <c r="CB24">
        <f t="shared" ca="1" si="17"/>
        <v>34.588162933762582</v>
      </c>
      <c r="CC24">
        <f t="shared" ca="1" si="17"/>
        <v>33.961536323601472</v>
      </c>
      <c r="CD24">
        <f t="shared" ca="1" si="17"/>
        <v>34.166329359362969</v>
      </c>
      <c r="CE24">
        <f t="shared" ca="1" si="17"/>
        <v>34.43898749103321</v>
      </c>
      <c r="CF24">
        <f t="shared" ca="1" si="17"/>
        <v>33.811566214525065</v>
      </c>
      <c r="CG24">
        <f t="shared" ca="1" si="17"/>
        <v>33.657306787621884</v>
      </c>
      <c r="CH24">
        <f t="shared" ca="1" si="17"/>
        <v>33.475319475204394</v>
      </c>
      <c r="CI24">
        <f t="shared" ca="1" si="17"/>
        <v>33.202215407806335</v>
      </c>
      <c r="CJ24">
        <f t="shared" ca="1" si="17"/>
        <v>32.242216754836562</v>
      </c>
      <c r="CK24">
        <f t="shared" ca="1" si="17"/>
        <v>32.50480925184749</v>
      </c>
      <c r="CL24">
        <f t="shared" ca="1" si="17"/>
        <v>33.202215407806335</v>
      </c>
    </row>
    <row r="25" spans="1:90" x14ac:dyDescent="0.3">
      <c r="A25" s="9">
        <f t="shared" si="1"/>
        <v>2020</v>
      </c>
      <c r="B25" s="9">
        <f t="shared" si="2"/>
        <v>1</v>
      </c>
      <c r="C25" s="10">
        <v>43850</v>
      </c>
      <c r="D25" s="9">
        <v>0.21299999999999999</v>
      </c>
      <c r="E25" s="9">
        <v>0.14499999999999999</v>
      </c>
      <c r="F25" s="9">
        <v>12.487519681825976</v>
      </c>
      <c r="G25" s="9">
        <v>11046.647741504379</v>
      </c>
      <c r="H25" s="9">
        <v>55130.909210183898</v>
      </c>
      <c r="I25" s="9">
        <v>1529.2940528123102</v>
      </c>
      <c r="J25" s="20">
        <v>71.290000000000006</v>
      </c>
      <c r="K25" s="9">
        <v>71.38</v>
      </c>
      <c r="L25" s="31">
        <f>Table1[[#This Row],[TN550 I (O2)]]/(Table1[[#This Row],[Flowmeter A]]+Table1[[#This Row],[Flowmeter B]])</f>
        <v>1.9801671015276981E-2</v>
      </c>
      <c r="M25" s="33">
        <f>Table1[[#This Row],[TN120 Venting2]]/100</f>
        <v>7.7000000000000002E-3</v>
      </c>
      <c r="N25" s="31">
        <f>Table1[[#This Row],[TN550 I Venting2]]/100</f>
        <v>0</v>
      </c>
      <c r="O25" s="31">
        <f>(Table1[[#This Row],[TN550 I (O2)]]-Table1[[#This Row],[O2]])/Table1[[#This Row],[TN550 I (O2)]]</f>
        <v>5.1244515059951666E-2</v>
      </c>
      <c r="P25" s="9">
        <f>Table1[[#This Row],[M-N2]]+Table1[[#This Row],[TEN-N2]]</f>
        <v>64232.045978575261</v>
      </c>
      <c r="Q25" s="9">
        <v>1450.9261206918752</v>
      </c>
      <c r="R25" s="9">
        <f>SUM(Table1[[#This Row],[TEN-CDA]:[TEN-CDA WWT]])</f>
        <v>99785.856183410637</v>
      </c>
      <c r="S25" s="9">
        <v>433.3960599244096</v>
      </c>
      <c r="T25" s="9">
        <v>263.83703383499346</v>
      </c>
      <c r="U25" s="9">
        <v>40.207823570034392</v>
      </c>
      <c r="V25" s="42">
        <v>0.77</v>
      </c>
      <c r="W25" s="9">
        <v>0</v>
      </c>
      <c r="X25" s="9">
        <v>75680.824481696734</v>
      </c>
      <c r="Y25" s="9">
        <v>1549.7310422517457</v>
      </c>
      <c r="Z25" s="1">
        <v>61932.000786129422</v>
      </c>
      <c r="AA25" s="1">
        <v>2300.0451924458384</v>
      </c>
      <c r="AB25" s="1">
        <v>35016.639968988551</v>
      </c>
      <c r="AC25" s="1">
        <v>54889.711392912905</v>
      </c>
      <c r="AD25" s="1">
        <v>7036.5982678722457</v>
      </c>
      <c r="AE25" s="1">
        <v>2838.1855424699643</v>
      </c>
      <c r="AF25" s="1">
        <v>4.7210111669746233</v>
      </c>
      <c r="AG25" s="1"/>
      <c r="AH25" s="1"/>
      <c r="AI25" s="1"/>
      <c r="AJ25" s="1"/>
      <c r="AK25" s="1"/>
      <c r="AL25" s="1"/>
      <c r="AM25" s="1"/>
      <c r="AN25" s="1"/>
      <c r="AO25" s="1"/>
      <c r="AP25" s="1"/>
      <c r="AQ25" s="1"/>
      <c r="AS25" t="s">
        <v>156</v>
      </c>
      <c r="AT25" s="22">
        <v>3744.5732421875</v>
      </c>
      <c r="AU25" s="22">
        <v>3867.222900390625</v>
      </c>
      <c r="AV25" s="22">
        <v>813.6064453125</v>
      </c>
      <c r="AW25" s="22">
        <v>73.863594055175781</v>
      </c>
      <c r="AX25" s="22">
        <v>157.80686950683594</v>
      </c>
      <c r="AY25" s="22">
        <v>159.90357971191406</v>
      </c>
    </row>
    <row r="26" spans="1:90" x14ac:dyDescent="0.3">
      <c r="A26" s="9">
        <f t="shared" si="1"/>
        <v>2020</v>
      </c>
      <c r="B26" s="9">
        <f t="shared" si="2"/>
        <v>1</v>
      </c>
      <c r="C26" s="10">
        <v>43851</v>
      </c>
      <c r="D26" s="9">
        <v>0.21199999999999999</v>
      </c>
      <c r="E26" s="9">
        <v>0.14499999999999999</v>
      </c>
      <c r="F26" s="9">
        <v>11.949926167209474</v>
      </c>
      <c r="G26" s="9">
        <v>10790.740245895862</v>
      </c>
      <c r="H26" s="9">
        <v>54997.081914685979</v>
      </c>
      <c r="I26" s="9">
        <v>1485.8738872202464</v>
      </c>
      <c r="J26" s="20">
        <v>70.900000000000006</v>
      </c>
      <c r="K26" s="9">
        <v>71.37</v>
      </c>
      <c r="L26" s="31">
        <f>Table1[[#This Row],[TN550 I (O2)]]/(Table1[[#This Row],[Flowmeter A]]+Table1[[#This Row],[Flowmeter B]])</f>
        <v>1.9283056107517797E-2</v>
      </c>
      <c r="M26" s="33">
        <f>Table1[[#This Row],[TN120 Venting2]]/100</f>
        <v>1.44E-2</v>
      </c>
      <c r="N26" s="31">
        <f>Table1[[#This Row],[TN550 I Venting2]]/100</f>
        <v>0</v>
      </c>
      <c r="O26" s="31">
        <f>(Table1[[#This Row],[TN550 I (O2)]]-Table1[[#This Row],[O2]])/Table1[[#This Row],[TN550 I (O2)]]</f>
        <v>2.5367370691839617E-2</v>
      </c>
      <c r="P26" s="9">
        <f>Table1[[#This Row],[M-N2]]+Table1[[#This Row],[TEN-N2]]</f>
        <v>64109.326674642041</v>
      </c>
      <c r="Q26" s="9">
        <v>1448.1811735218057</v>
      </c>
      <c r="R26" s="9">
        <f>SUM(Table1[[#This Row],[TEN-CDA]:[TEN-CDA WWT]])</f>
        <v>99550.244154436339</v>
      </c>
      <c r="S26" s="9">
        <v>430.86886808460241</v>
      </c>
      <c r="T26" s="9">
        <v>254.62986114734912</v>
      </c>
      <c r="U26" s="9">
        <v>40.155175990648026</v>
      </c>
      <c r="V26" s="42">
        <v>1.44</v>
      </c>
      <c r="W26" s="9">
        <v>0</v>
      </c>
      <c r="X26" s="9">
        <v>75506.010138358761</v>
      </c>
      <c r="Y26" s="9">
        <v>1549.9232642804477</v>
      </c>
      <c r="Z26" s="1">
        <v>61825.99988072519</v>
      </c>
      <c r="AA26" s="1">
        <v>2283.3267939168491</v>
      </c>
      <c r="AB26" s="1">
        <v>35085.196207061068</v>
      </c>
      <c r="AC26" s="1">
        <v>54803.680741997741</v>
      </c>
      <c r="AD26" s="1">
        <v>6786.6071148779056</v>
      </c>
      <c r="AE26" s="1">
        <v>2869.8156047029515</v>
      </c>
      <c r="AF26" s="1">
        <v>4.9444857966734874</v>
      </c>
      <c r="AG26" s="1"/>
      <c r="AH26" s="1"/>
      <c r="AI26" s="1"/>
      <c r="AJ26" s="1"/>
      <c r="AK26" s="1"/>
      <c r="AL26" s="1"/>
      <c r="AM26" s="1"/>
      <c r="AN26" s="1"/>
      <c r="AO26" s="1"/>
      <c r="AP26" s="1"/>
      <c r="AQ26" s="1"/>
      <c r="AS26" t="s">
        <v>120</v>
      </c>
      <c r="AT26" s="22">
        <v>22.1</v>
      </c>
      <c r="AU26" s="22">
        <v>0.28999999999999998</v>
      </c>
      <c r="AV26" s="22">
        <v>15.5</v>
      </c>
      <c r="AW26" s="22"/>
      <c r="AX26" s="22"/>
      <c r="AY26" s="22"/>
    </row>
    <row r="27" spans="1:90" x14ac:dyDescent="0.3">
      <c r="A27" s="9">
        <f t="shared" si="1"/>
        <v>2020</v>
      </c>
      <c r="B27" s="9">
        <f t="shared" si="2"/>
        <v>1</v>
      </c>
      <c r="C27" s="10">
        <v>43852</v>
      </c>
      <c r="D27" s="9">
        <v>0.21199999999999999</v>
      </c>
      <c r="E27" s="9">
        <v>0.14599999999999999</v>
      </c>
      <c r="F27" s="9">
        <v>12.010295744822471</v>
      </c>
      <c r="G27" s="9">
        <v>11106.785999983736</v>
      </c>
      <c r="H27" s="9">
        <v>55001.196521512837</v>
      </c>
      <c r="I27" s="9">
        <v>1516.6640221769819</v>
      </c>
      <c r="J27" s="20">
        <v>71.16</v>
      </c>
      <c r="K27" s="9">
        <v>71.39</v>
      </c>
      <c r="L27" s="31">
        <f>Table1[[#This Row],[TN550 I (O2)]]/(Table1[[#This Row],[Flowmeter A]]+Table1[[#This Row],[Flowmeter B]])</f>
        <v>1.9684501596157943E-2</v>
      </c>
      <c r="M27" s="33">
        <f>Table1[[#This Row],[TN120 Venting2]]/100</f>
        <v>8.6E-3</v>
      </c>
      <c r="N27" s="31">
        <f>Table1[[#This Row],[TN550 I Venting2]]/100</f>
        <v>0</v>
      </c>
      <c r="O27" s="31">
        <f>(Table1[[#This Row],[TN550 I (O2)]]-Table1[[#This Row],[O2]])/Table1[[#This Row],[TN550 I (O2)]]</f>
        <v>4.5258133864933832E-2</v>
      </c>
      <c r="P27" s="9">
        <f>Table1[[#This Row],[M-N2]]+Table1[[#This Row],[TEN-N2]]</f>
        <v>64417.932036400503</v>
      </c>
      <c r="Q27" s="9">
        <v>1448.0226388331671</v>
      </c>
      <c r="R27" s="9">
        <f>SUM(Table1[[#This Row],[TEN-CDA]:[TEN-CDA WWT]])</f>
        <v>99795.007443581781</v>
      </c>
      <c r="S27" s="9">
        <v>426.79207664558578</v>
      </c>
      <c r="T27" s="9">
        <v>254.37726293877543</v>
      </c>
      <c r="U27" s="9">
        <v>40.871586996180419</v>
      </c>
      <c r="V27" s="42">
        <v>0.86</v>
      </c>
      <c r="W27" s="9">
        <v>0</v>
      </c>
      <c r="X27" s="9">
        <v>75498.845913211306</v>
      </c>
      <c r="Y27" s="9">
        <v>1549.7912985638227</v>
      </c>
      <c r="Z27" s="1">
        <v>62116.232284980048</v>
      </c>
      <c r="AA27" s="1">
        <v>2301.6997514204545</v>
      </c>
      <c r="AB27" s="1">
        <v>35204.922197584143</v>
      </c>
      <c r="AC27" s="1">
        <v>54793.112530360857</v>
      </c>
      <c r="AD27" s="1">
        <v>7029.9457794337695</v>
      </c>
      <c r="AE27" s="1">
        <v>2762.9642572025718</v>
      </c>
      <c r="AF27" s="1">
        <v>4.0626790004418512</v>
      </c>
      <c r="AG27" s="1"/>
      <c r="AH27" s="1"/>
      <c r="AI27" s="1"/>
      <c r="AJ27" s="1"/>
      <c r="AK27" s="1"/>
      <c r="AL27" s="1"/>
      <c r="AM27" s="1"/>
      <c r="AN27" s="1"/>
      <c r="AO27" s="1"/>
      <c r="AP27" s="1"/>
      <c r="AQ27" s="1"/>
      <c r="AS27" t="s">
        <v>122</v>
      </c>
      <c r="AT27" s="22">
        <v>7829.9481964111328</v>
      </c>
      <c r="AU27" s="22">
        <v>887.47003936767578</v>
      </c>
      <c r="AV27" s="22">
        <v>271.89999999999998</v>
      </c>
      <c r="AW27" s="22"/>
      <c r="AX27" s="22"/>
      <c r="AY27" s="22"/>
    </row>
    <row r="28" spans="1:90" x14ac:dyDescent="0.3">
      <c r="A28" s="9">
        <f t="shared" si="1"/>
        <v>2020</v>
      </c>
      <c r="B28" s="9">
        <f t="shared" si="2"/>
        <v>1</v>
      </c>
      <c r="C28" s="10">
        <v>43853</v>
      </c>
      <c r="D28" s="9">
        <v>0.21099999999999999</v>
      </c>
      <c r="E28" s="9">
        <v>0.14299999999999999</v>
      </c>
      <c r="F28" s="9">
        <v>12.332276841321807</v>
      </c>
      <c r="G28" s="9">
        <v>11082.756792564842</v>
      </c>
      <c r="H28" s="9">
        <v>54998.46725093251</v>
      </c>
      <c r="I28" s="9">
        <v>1468.0589647895342</v>
      </c>
      <c r="J28" s="20">
        <v>71.2</v>
      </c>
      <c r="K28" s="9">
        <v>71.37</v>
      </c>
      <c r="L28" s="31">
        <f>Table1[[#This Row],[TN550 I (O2)]]/(Table1[[#This Row],[Flowmeter A]]+Table1[[#This Row],[Flowmeter B]])</f>
        <v>1.9049288059339212E-2</v>
      </c>
      <c r="M28" s="33">
        <f>Table1[[#This Row],[TN120 Venting2]]/100</f>
        <v>1.4800000000000001E-2</v>
      </c>
      <c r="N28" s="31">
        <f>Table1[[#This Row],[TN550 I Venting2]]/100</f>
        <v>0</v>
      </c>
      <c r="O28" s="31">
        <f>(Table1[[#This Row],[TN550 I (O2)]]-Table1[[#This Row],[O2]])/Table1[[#This Row],[TN550 I (O2)]]</f>
        <v>8.9488051165320902E-3</v>
      </c>
      <c r="P28" s="9">
        <f>Table1[[#This Row],[M-N2]]+Table1[[#This Row],[TEN-N2]]</f>
        <v>64433.426308753005</v>
      </c>
      <c r="Q28" s="9">
        <v>1454.9215912140548</v>
      </c>
      <c r="R28" s="9">
        <f>SUM(Table1[[#This Row],[TEN-CDA]:[TEN-CDA WWT]])</f>
        <v>99452.676819896733</v>
      </c>
      <c r="S28" s="9">
        <v>433.05039339508966</v>
      </c>
      <c r="T28" s="9">
        <v>251.62364401145581</v>
      </c>
      <c r="U28" s="9">
        <v>39.549143451688025</v>
      </c>
      <c r="V28" s="42">
        <v>1.48</v>
      </c>
      <c r="W28" s="9">
        <v>0</v>
      </c>
      <c r="X28" s="9">
        <v>75516.387003383061</v>
      </c>
      <c r="Y28" s="9">
        <v>1549.9558550207917</v>
      </c>
      <c r="Z28" s="1">
        <v>62135.189142739415</v>
      </c>
      <c r="AA28" s="1">
        <v>2298.2371660135918</v>
      </c>
      <c r="AB28" s="1">
        <v>34583.602665791987</v>
      </c>
      <c r="AC28" s="1">
        <v>55034.182203114156</v>
      </c>
      <c r="AD28" s="1">
        <v>7112.480026552199</v>
      </c>
      <c r="AE28" s="1">
        <v>2715.722593393531</v>
      </c>
      <c r="AF28" s="1">
        <v>6.6893310448843764</v>
      </c>
      <c r="AG28" s="1"/>
      <c r="AH28" s="1"/>
      <c r="AI28" s="1"/>
      <c r="AJ28" s="1"/>
      <c r="AK28" s="1"/>
      <c r="AL28" s="1"/>
      <c r="AM28" s="1"/>
      <c r="AN28" s="1"/>
      <c r="AO28" s="1"/>
      <c r="AP28" s="1"/>
      <c r="AQ28" s="1"/>
      <c r="AS28" t="s">
        <v>132</v>
      </c>
      <c r="AT28" s="22">
        <v>78.826408657641522</v>
      </c>
      <c r="AU28" s="22">
        <v>93.943921298438752</v>
      </c>
      <c r="AV28" s="22">
        <v>401.78243439791908</v>
      </c>
      <c r="AW28" s="22">
        <v>473.86587401140747</v>
      </c>
      <c r="AX28" s="22">
        <v>284.7</v>
      </c>
      <c r="AY28" s="22">
        <v>352.8</v>
      </c>
    </row>
    <row r="29" spans="1:90" x14ac:dyDescent="0.3">
      <c r="A29" s="9">
        <f t="shared" si="1"/>
        <v>2020</v>
      </c>
      <c r="B29" s="9">
        <f t="shared" si="2"/>
        <v>1</v>
      </c>
      <c r="C29" s="10">
        <v>43854</v>
      </c>
      <c r="D29" s="9">
        <v>0.21099999999999999</v>
      </c>
      <c r="E29" s="9">
        <v>0.15</v>
      </c>
      <c r="F29" s="9">
        <v>12.79437567904788</v>
      </c>
      <c r="G29" s="9">
        <v>10942.283594834316</v>
      </c>
      <c r="H29" s="9">
        <v>54999.051472501735</v>
      </c>
      <c r="I29" s="9">
        <v>1468.3739915009919</v>
      </c>
      <c r="J29" s="20">
        <v>71.040000000000006</v>
      </c>
      <c r="K29" s="9">
        <v>71.38</v>
      </c>
      <c r="L29" s="31">
        <f>Table1[[#This Row],[TN550 I (O2)]]/(Table1[[#This Row],[Flowmeter A]]+Table1[[#This Row],[Flowmeter B]])</f>
        <v>1.9056334747518021E-2</v>
      </c>
      <c r="M29" s="33">
        <f>Table1[[#This Row],[TN120 Venting2]]/100</f>
        <v>2.0499999999999997E-2</v>
      </c>
      <c r="N29" s="31">
        <f>Table1[[#This Row],[TN550 I Venting2]]/100</f>
        <v>0</v>
      </c>
      <c r="O29" s="31">
        <f>(Table1[[#This Row],[TN550 I (O2)]]-Table1[[#This Row],[O2]])/Table1[[#This Row],[TN550 I (O2)]]</f>
        <v>1.0379823909203629E-2</v>
      </c>
      <c r="P29" s="9">
        <f>Table1[[#This Row],[M-N2]]+Table1[[#This Row],[TEN-N2]]</f>
        <v>64377.4808159854</v>
      </c>
      <c r="Q29" s="9">
        <v>1453.1325280363571</v>
      </c>
      <c r="R29" s="9">
        <f>SUM(Table1[[#This Row],[TEN-CDA]:[TEN-CDA WWT]])</f>
        <v>99285.741639505446</v>
      </c>
      <c r="S29" s="9">
        <v>428.23527250481845</v>
      </c>
      <c r="T29" s="9">
        <v>261.28562316259189</v>
      </c>
      <c r="U29" s="9">
        <v>40.575823944695379</v>
      </c>
      <c r="V29" s="42">
        <v>2.0499999999999998</v>
      </c>
      <c r="W29" s="9">
        <v>0</v>
      </c>
      <c r="X29" s="9">
        <v>75504.525248308462</v>
      </c>
      <c r="Y29" s="9">
        <v>1549.8512073863635</v>
      </c>
      <c r="Z29" s="1">
        <v>62091.745464846463</v>
      </c>
      <c r="AA29" s="1">
        <v>2285.7353511389388</v>
      </c>
      <c r="AB29" s="1">
        <v>34324.706914685979</v>
      </c>
      <c r="AC29" s="1">
        <v>55173.571936263877</v>
      </c>
      <c r="AD29" s="1">
        <v>7019.5724157350578</v>
      </c>
      <c r="AE29" s="1">
        <v>2763.5264912061934</v>
      </c>
      <c r="AF29" s="1">
        <v>4.3638816143157921</v>
      </c>
      <c r="AG29" s="1"/>
      <c r="AH29" s="1"/>
      <c r="AI29" s="1"/>
      <c r="AJ29" s="1"/>
      <c r="AK29" s="1"/>
      <c r="AL29" s="1"/>
      <c r="AM29" s="1"/>
      <c r="AN29" s="1"/>
      <c r="AO29" s="1"/>
      <c r="AP29" s="1"/>
      <c r="AQ29" s="1"/>
      <c r="AU29" s="18"/>
    </row>
    <row r="30" spans="1:90" x14ac:dyDescent="0.3">
      <c r="A30" s="9">
        <f t="shared" si="1"/>
        <v>2020</v>
      </c>
      <c r="B30" s="9">
        <f t="shared" si="2"/>
        <v>1</v>
      </c>
      <c r="C30" s="10">
        <v>43855</v>
      </c>
      <c r="D30" s="9">
        <v>0.21099999999999999</v>
      </c>
      <c r="E30" s="9">
        <v>0.14499999999999999</v>
      </c>
      <c r="F30" s="9">
        <v>12.492326191115264</v>
      </c>
      <c r="G30" s="9">
        <v>11020.577723802917</v>
      </c>
      <c r="H30" s="9">
        <v>54996.292974171585</v>
      </c>
      <c r="I30" s="9">
        <v>1470.2706859623038</v>
      </c>
      <c r="J30" s="20">
        <v>71.13</v>
      </c>
      <c r="K30" s="9">
        <v>71.37</v>
      </c>
      <c r="L30" s="31">
        <f>Table1[[#This Row],[TN550 I (O2)]]/(Table1[[#This Row],[Flowmeter A]]+Table1[[#This Row],[Flowmeter B]])</f>
        <v>1.9078992874800606E-2</v>
      </c>
      <c r="M30" s="33">
        <f>Table1[[#This Row],[TN120 Venting2]]/100</f>
        <v>1.6299999999999999E-2</v>
      </c>
      <c r="N30" s="31">
        <f>Table1[[#This Row],[TN550 I Venting2]]/100</f>
        <v>0</v>
      </c>
      <c r="O30" s="31">
        <f>(Table1[[#This Row],[TN550 I (O2)]]-Table1[[#This Row],[O2]])/Table1[[#This Row],[TN550 I (O2)]]</f>
        <v>9.1249937952014599E-3</v>
      </c>
      <c r="P30" s="9">
        <f>Table1[[#This Row],[M-N2]]+Table1[[#This Row],[TEN-N2]]</f>
        <v>64441.549252024961</v>
      </c>
      <c r="Q30" s="9">
        <v>1456.8544750756312</v>
      </c>
      <c r="R30" s="9">
        <f>SUM(Table1[[#This Row],[TEN-CDA]:[TEN-CDA WWT]])</f>
        <v>100323.5633010215</v>
      </c>
      <c r="S30" s="9">
        <v>430.32756753004242</v>
      </c>
      <c r="T30" s="9">
        <v>265.76753687014769</v>
      </c>
      <c r="U30" s="9">
        <v>41.139395682700886</v>
      </c>
      <c r="V30" s="42">
        <v>1.63</v>
      </c>
      <c r="W30" s="9">
        <v>0</v>
      </c>
      <c r="X30" s="9">
        <v>75512.419191316789</v>
      </c>
      <c r="Y30" s="9">
        <v>1549.860542757986</v>
      </c>
      <c r="Z30" s="1">
        <v>62127.322963653714</v>
      </c>
      <c r="AA30" s="1">
        <v>2314.2262883712483</v>
      </c>
      <c r="AB30" s="1">
        <v>35229.239907724674</v>
      </c>
      <c r="AC30" s="1">
        <v>55290.16792537734</v>
      </c>
      <c r="AD30" s="1">
        <v>7007.7365432940451</v>
      </c>
      <c r="AE30" s="1">
        <v>2792.0422683493452</v>
      </c>
      <c r="AF30" s="1">
        <v>4.3766562760827608</v>
      </c>
      <c r="AG30" s="1"/>
      <c r="AH30" s="1"/>
      <c r="AI30" s="1"/>
      <c r="AJ30" s="1"/>
      <c r="AK30" s="1"/>
      <c r="AL30" s="1"/>
      <c r="AM30" s="1"/>
      <c r="AN30" s="1"/>
      <c r="AO30" s="1"/>
      <c r="AP30" s="1"/>
      <c r="AQ30" s="1"/>
      <c r="AU30" s="18"/>
    </row>
    <row r="31" spans="1:90" x14ac:dyDescent="0.3">
      <c r="A31" s="9">
        <f t="shared" si="1"/>
        <v>2020</v>
      </c>
      <c r="B31" s="9">
        <f t="shared" si="2"/>
        <v>1</v>
      </c>
      <c r="C31" s="10">
        <v>43856</v>
      </c>
      <c r="D31" s="9">
        <v>0.21199999999999999</v>
      </c>
      <c r="E31" s="9">
        <v>0.14499999999999999</v>
      </c>
      <c r="F31" s="9">
        <v>12.313030987460939</v>
      </c>
      <c r="G31" s="9">
        <v>10685.001023323646</v>
      </c>
      <c r="H31" s="9">
        <v>55001.98081030968</v>
      </c>
      <c r="I31" s="9">
        <v>1468.5791217240087</v>
      </c>
      <c r="J31" s="20">
        <v>70.98</v>
      </c>
      <c r="K31" s="9">
        <v>71.37</v>
      </c>
      <c r="L31" s="31">
        <f>Table1[[#This Row],[TN550 I (O2)]]/(Table1[[#This Row],[Flowmeter A]]+Table1[[#This Row],[Flowmeter B]])</f>
        <v>1.9057191061717767E-2</v>
      </c>
      <c r="M31" s="33">
        <f>Table1[[#This Row],[TN120 Venting2]]/100</f>
        <v>2.29E-2</v>
      </c>
      <c r="N31" s="31">
        <f>Table1[[#This Row],[TN550 I Venting2]]/100</f>
        <v>0</v>
      </c>
      <c r="O31" s="31">
        <f>(Table1[[#This Row],[TN550 I (O2)]]-Table1[[#This Row],[O2]])/Table1[[#This Row],[TN550 I (O2)]]</f>
        <v>8.8579063759732183E-3</v>
      </c>
      <c r="P31" s="9">
        <f>Table1[[#This Row],[M-N2]]+Table1[[#This Row],[TEN-N2]]</f>
        <v>64231.85472565439</v>
      </c>
      <c r="Q31" s="9">
        <v>1455.5705853580685</v>
      </c>
      <c r="R31" s="9">
        <f>SUM(Table1[[#This Row],[TEN-CDA]:[TEN-CDA WWT]])</f>
        <v>99506.002833298233</v>
      </c>
      <c r="S31" s="9">
        <v>430.69244833740402</v>
      </c>
      <c r="T31" s="9">
        <v>260.69711790806218</v>
      </c>
      <c r="U31" s="9">
        <v>40.307488451394498</v>
      </c>
      <c r="V31" s="42">
        <v>2.29</v>
      </c>
      <c r="W31" s="9">
        <v>0</v>
      </c>
      <c r="X31" s="9">
        <v>75511.556200121442</v>
      </c>
      <c r="Y31" s="9">
        <v>1550.1218282896805</v>
      </c>
      <c r="Z31" s="1">
        <v>61912.674265917769</v>
      </c>
      <c r="AA31" s="1">
        <v>2319.1804597366195</v>
      </c>
      <c r="AB31" s="1">
        <v>34622.214410023422</v>
      </c>
      <c r="AC31" s="1">
        <v>55192.810323234735</v>
      </c>
      <c r="AD31" s="1">
        <v>6901.828288325165</v>
      </c>
      <c r="AE31" s="1">
        <v>2783.8472626770144</v>
      </c>
      <c r="AF31" s="1">
        <v>5.3025490379039812</v>
      </c>
      <c r="AG31" s="1"/>
      <c r="AH31" s="1"/>
      <c r="AI31" s="1"/>
      <c r="AJ31" s="1"/>
      <c r="AK31" s="1"/>
      <c r="AL31" s="1"/>
      <c r="AM31" s="1"/>
      <c r="AN31" s="1"/>
      <c r="AO31" s="1"/>
      <c r="AP31" s="1"/>
      <c r="AQ31" s="1"/>
      <c r="AU31" s="18"/>
    </row>
    <row r="32" spans="1:90" x14ac:dyDescent="0.3">
      <c r="A32" s="9">
        <f t="shared" si="1"/>
        <v>2020</v>
      </c>
      <c r="B32" s="9">
        <f t="shared" si="2"/>
        <v>1</v>
      </c>
      <c r="C32" s="10">
        <v>43857</v>
      </c>
      <c r="D32" s="9">
        <v>0.20799999999999999</v>
      </c>
      <c r="E32" s="9">
        <v>0.14699999999999999</v>
      </c>
      <c r="F32" s="9">
        <v>11.914524582009776</v>
      </c>
      <c r="G32" s="9">
        <v>10763.240060884367</v>
      </c>
      <c r="H32" s="9">
        <v>54999.484708427306</v>
      </c>
      <c r="I32" s="9">
        <v>1469.5395011398878</v>
      </c>
      <c r="J32" s="20">
        <v>71.03</v>
      </c>
      <c r="K32" s="9">
        <v>71.37</v>
      </c>
      <c r="L32" s="31">
        <f>Table1[[#This Row],[TN550 I (O2)]]/(Table1[[#This Row],[Flowmeter A]]+Table1[[#This Row],[Flowmeter B]])</f>
        <v>1.9069635510889981E-2</v>
      </c>
      <c r="M32" s="33">
        <f>Table1[[#This Row],[TN120 Venting2]]/100</f>
        <v>1.7299999999999999E-2</v>
      </c>
      <c r="N32" s="31">
        <f>Table1[[#This Row],[TN550 I Venting2]]/100</f>
        <v>0</v>
      </c>
      <c r="O32" s="31">
        <f>(Table1[[#This Row],[TN550 I (O2)]]-Table1[[#This Row],[O2]])/Table1[[#This Row],[TN550 I (O2)]]</f>
        <v>1.1157364398901191E-2</v>
      </c>
      <c r="P32" s="9">
        <f>Table1[[#This Row],[M-N2]]+Table1[[#This Row],[TEN-N2]]</f>
        <v>64561.959457069199</v>
      </c>
      <c r="Q32" s="9">
        <v>1453.1433134270906</v>
      </c>
      <c r="R32" s="9">
        <f>SUM(Table1[[#This Row],[TEN-CDA]:[TEN-CDA WWT]])</f>
        <v>100075.85585031057</v>
      </c>
      <c r="S32" s="9">
        <v>431.03217433741486</v>
      </c>
      <c r="T32" s="9">
        <v>264.02251010235608</v>
      </c>
      <c r="U32" s="9">
        <v>40.551809227524494</v>
      </c>
      <c r="V32" s="42">
        <v>1.73</v>
      </c>
      <c r="W32" s="9">
        <v>0</v>
      </c>
      <c r="X32" s="9">
        <v>75511.63264985253</v>
      </c>
      <c r="Y32" s="9">
        <v>1550.1182315781414</v>
      </c>
      <c r="Z32" s="1">
        <v>62160.963008544415</v>
      </c>
      <c r="AA32" s="1">
        <v>2400.9964485247874</v>
      </c>
      <c r="AB32" s="1">
        <v>35361.600676071306</v>
      </c>
      <c r="AC32" s="1">
        <v>55135.969053608605</v>
      </c>
      <c r="AD32" s="1">
        <v>6772.7427581215306</v>
      </c>
      <c r="AE32" s="1">
        <v>2799.9884976050162</v>
      </c>
      <c r="AF32" s="1">
        <v>5.5548649041303984</v>
      </c>
      <c r="AG32" s="1"/>
      <c r="AH32" s="1"/>
      <c r="AI32" s="1"/>
      <c r="AJ32" s="1"/>
      <c r="AK32" s="1"/>
      <c r="AL32" s="1"/>
      <c r="AM32" s="1"/>
      <c r="AN32" s="1"/>
      <c r="AO32" s="1"/>
      <c r="AP32" s="1"/>
      <c r="AQ32" s="1"/>
      <c r="AU32" s="18"/>
    </row>
    <row r="33" spans="1:47" x14ac:dyDescent="0.3">
      <c r="A33" s="9">
        <f t="shared" si="1"/>
        <v>2020</v>
      </c>
      <c r="B33" s="9">
        <f t="shared" si="2"/>
        <v>1</v>
      </c>
      <c r="C33" s="10">
        <v>43858</v>
      </c>
      <c r="D33" s="9">
        <v>0.21</v>
      </c>
      <c r="E33" s="9">
        <v>0.14699999999999999</v>
      </c>
      <c r="F33" s="9">
        <v>11.700207841305332</v>
      </c>
      <c r="G33" s="9">
        <v>10645.567406531922</v>
      </c>
      <c r="H33" s="9">
        <v>55000.448733518388</v>
      </c>
      <c r="I33" s="9">
        <v>1471.4294309066784</v>
      </c>
      <c r="J33" s="20">
        <v>70.97</v>
      </c>
      <c r="K33" s="9">
        <v>71.38</v>
      </c>
      <c r="L33" s="31">
        <f>Table1[[#This Row],[TN550 I (O2)]]/(Table1[[#This Row],[Flowmeter A]]+Table1[[#This Row],[Flowmeter B]])</f>
        <v>1.9096105453863307E-2</v>
      </c>
      <c r="M33" s="33">
        <f>Table1[[#This Row],[TN120 Venting2]]/100</f>
        <v>1.9599999999999999E-2</v>
      </c>
      <c r="N33" s="31">
        <f>Table1[[#This Row],[TN550 I Venting2]]/100</f>
        <v>0</v>
      </c>
      <c r="O33" s="31">
        <f>(Table1[[#This Row],[TN550 I (O2)]]-Table1[[#This Row],[O2]])/Table1[[#This Row],[TN550 I (O2)]]</f>
        <v>1.1068732234511013E-2</v>
      </c>
      <c r="P33" s="9">
        <f>Table1[[#This Row],[M-N2]]+Table1[[#This Row],[TEN-N2]]</f>
        <v>64457.959690705517</v>
      </c>
      <c r="Q33" s="9">
        <v>1455.1425725339934</v>
      </c>
      <c r="R33" s="9">
        <f>SUM(Table1[[#This Row],[TEN-CDA]:[TEN-CDA WWT]])</f>
        <v>99900.522659682552</v>
      </c>
      <c r="S33" s="9">
        <v>428.69931394536002</v>
      </c>
      <c r="T33" s="9">
        <v>261.19040079004316</v>
      </c>
      <c r="U33" s="9">
        <v>39.964159657771518</v>
      </c>
      <c r="V33" s="42">
        <v>1.96</v>
      </c>
      <c r="W33" s="9">
        <v>0</v>
      </c>
      <c r="X33" s="9">
        <v>75503.896230916027</v>
      </c>
      <c r="Y33" s="9">
        <v>1550.0053859183888</v>
      </c>
      <c r="Z33" s="1">
        <v>62111.087122115721</v>
      </c>
      <c r="AA33" s="1">
        <v>2346.8725685897921</v>
      </c>
      <c r="AB33" s="1">
        <v>35202.21561361468</v>
      </c>
      <c r="AC33" s="1">
        <v>55108.074991325469</v>
      </c>
      <c r="AD33" s="1">
        <v>6801.6556675187585</v>
      </c>
      <c r="AE33" s="1">
        <v>2781.3254245437738</v>
      </c>
      <c r="AF33" s="1">
        <v>7.2509626798709181</v>
      </c>
      <c r="AG33" s="1"/>
      <c r="AH33" s="1"/>
      <c r="AI33" s="1"/>
      <c r="AJ33" s="1"/>
      <c r="AK33" s="1"/>
      <c r="AL33" s="1"/>
      <c r="AM33" s="1"/>
      <c r="AN33" s="1"/>
      <c r="AO33" s="1"/>
      <c r="AP33" s="1"/>
      <c r="AQ33" s="1"/>
      <c r="AU33" s="18"/>
    </row>
    <row r="34" spans="1:47" x14ac:dyDescent="0.3">
      <c r="A34" s="9">
        <f t="shared" si="1"/>
        <v>2020</v>
      </c>
      <c r="B34" s="9">
        <f t="shared" si="2"/>
        <v>1</v>
      </c>
      <c r="C34" s="10">
        <v>43859</v>
      </c>
      <c r="D34" s="9">
        <v>0.21099999999999999</v>
      </c>
      <c r="E34" s="9">
        <v>0.14499999999999999</v>
      </c>
      <c r="F34" s="9">
        <v>12.006790560206795</v>
      </c>
      <c r="G34" s="9">
        <v>10643.606108496704</v>
      </c>
      <c r="H34" s="9">
        <v>54998.73690145732</v>
      </c>
      <c r="I34" s="9">
        <v>1478.5110680754196</v>
      </c>
      <c r="J34" s="20">
        <v>70.95</v>
      </c>
      <c r="K34" s="9">
        <v>71.38</v>
      </c>
      <c r="L34" s="31">
        <f>Table1[[#This Row],[TN550 I (O2)]]/(Table1[[#This Row],[Flowmeter A]]+Table1[[#This Row],[Flowmeter B]])</f>
        <v>1.9188748280614329E-2</v>
      </c>
      <c r="M34" s="33">
        <f>Table1[[#This Row],[TN120 Venting2]]/100</f>
        <v>1.89E-2</v>
      </c>
      <c r="N34" s="31">
        <f>Table1[[#This Row],[TN550 I Venting2]]/100</f>
        <v>0</v>
      </c>
      <c r="O34" s="31">
        <f>(Table1[[#This Row],[TN550 I (O2)]]-Table1[[#This Row],[O2]])/Table1[[#This Row],[TN550 I (O2)]]</f>
        <v>2.0293448897812892E-2</v>
      </c>
      <c r="P34" s="9">
        <f>Table1[[#This Row],[M-N2]]+Table1[[#This Row],[TEN-N2]]</f>
        <v>64481.009845762761</v>
      </c>
      <c r="Q34" s="9">
        <v>1448.5069792705804</v>
      </c>
      <c r="R34" s="9">
        <f>SUM(Table1[[#This Row],[TEN-CDA]:[TEN-CDA WWT]])</f>
        <v>99468.547210365912</v>
      </c>
      <c r="S34" s="9">
        <v>431.43867881293102</v>
      </c>
      <c r="T34" s="9">
        <v>269.12762653422305</v>
      </c>
      <c r="U34" s="9">
        <v>39.659385343627079</v>
      </c>
      <c r="V34" s="42">
        <v>1.89</v>
      </c>
      <c r="W34" s="9">
        <v>0</v>
      </c>
      <c r="X34" s="9">
        <v>75500.87217535566</v>
      </c>
      <c r="Y34" s="9">
        <v>1550.0665546658138</v>
      </c>
      <c r="Z34" s="1">
        <v>62092.787490241149</v>
      </c>
      <c r="AA34" s="1">
        <v>2388.2223555216106</v>
      </c>
      <c r="AB34" s="1">
        <v>34746.941436068701</v>
      </c>
      <c r="AC34" s="1">
        <v>55026.915160370401</v>
      </c>
      <c r="AD34" s="1">
        <v>6899.766159364699</v>
      </c>
      <c r="AE34" s="1">
        <v>2787.7888330993019</v>
      </c>
      <c r="AF34" s="1">
        <v>7.1356214628006169</v>
      </c>
      <c r="AG34" s="1"/>
      <c r="AH34" s="1"/>
      <c r="AI34" s="1"/>
      <c r="AJ34" s="1"/>
      <c r="AK34" s="1"/>
      <c r="AL34" s="1"/>
      <c r="AM34" s="1"/>
      <c r="AN34" s="1"/>
      <c r="AO34" s="1"/>
      <c r="AP34" s="1"/>
      <c r="AQ34" s="1"/>
      <c r="AU34" s="18"/>
    </row>
    <row r="35" spans="1:47" x14ac:dyDescent="0.3">
      <c r="A35" s="9">
        <f t="shared" si="1"/>
        <v>2020</v>
      </c>
      <c r="B35" s="9">
        <f t="shared" si="2"/>
        <v>1</v>
      </c>
      <c r="C35" s="10">
        <v>43860</v>
      </c>
      <c r="D35" s="9">
        <v>0.21</v>
      </c>
      <c r="E35" s="9">
        <v>0.14599999999999999</v>
      </c>
      <c r="F35" s="9">
        <v>12.594475165743701</v>
      </c>
      <c r="G35" s="9">
        <v>10946.862823126299</v>
      </c>
      <c r="H35" s="9">
        <v>54996.115639638272</v>
      </c>
      <c r="I35" s="9">
        <v>1519.9356791954915</v>
      </c>
      <c r="J35" s="20">
        <v>71.13</v>
      </c>
      <c r="K35" s="9">
        <v>71.38</v>
      </c>
      <c r="L35" s="31">
        <f>Table1[[#This Row],[TN550 I (O2)]]/(Table1[[#This Row],[Flowmeter A]]+Table1[[#This Row],[Flowmeter B]])</f>
        <v>1.9727128567968225E-2</v>
      </c>
      <c r="M35" s="33">
        <f>Table1[[#This Row],[TN120 Venting2]]/100</f>
        <v>9.5999999999999992E-3</v>
      </c>
      <c r="N35" s="31">
        <f>Table1[[#This Row],[TN550 I Venting2]]/100</f>
        <v>0</v>
      </c>
      <c r="O35" s="31">
        <f>(Table1[[#This Row],[TN550 I (O2)]]-Table1[[#This Row],[O2]])/Table1[[#This Row],[TN550 I (O2)]]</f>
        <v>5.1651179207581693E-2</v>
      </c>
      <c r="P35" s="9">
        <f>Table1[[#This Row],[M-N2]]+Table1[[#This Row],[TEN-N2]]</f>
        <v>64765.598673813212</v>
      </c>
      <c r="Q35" s="9">
        <v>1441.4292090453678</v>
      </c>
      <c r="R35" s="9">
        <f>SUM(Table1[[#This Row],[TEN-CDA]:[TEN-CDA WWT]])</f>
        <v>99415.843583518392</v>
      </c>
      <c r="S35" s="9">
        <v>432.75709581342034</v>
      </c>
      <c r="T35" s="9">
        <v>263.68243054529597</v>
      </c>
      <c r="U35" s="9">
        <v>39.833495818435274</v>
      </c>
      <c r="V35" s="42">
        <v>0.96</v>
      </c>
      <c r="W35" s="9">
        <v>0</v>
      </c>
      <c r="X35" s="9">
        <v>75497.258349236639</v>
      </c>
      <c r="Y35" s="9">
        <v>1550.7354304295793</v>
      </c>
      <c r="Z35" s="1">
        <v>62373.863349019775</v>
      </c>
      <c r="AA35" s="1">
        <v>2391.7353247934379</v>
      </c>
      <c r="AB35" s="1">
        <v>34876.963553413429</v>
      </c>
      <c r="AC35" s="1">
        <v>54949.638925333973</v>
      </c>
      <c r="AD35" s="1">
        <v>6843.2155885398597</v>
      </c>
      <c r="AE35" s="1">
        <v>2738.1422324991327</v>
      </c>
      <c r="AF35" s="1">
        <v>7.8832837320052445</v>
      </c>
      <c r="AG35" s="1"/>
      <c r="AH35" s="1"/>
      <c r="AI35" s="1"/>
      <c r="AJ35" s="1"/>
      <c r="AK35" s="1"/>
      <c r="AL35" s="1"/>
      <c r="AM35" s="1"/>
      <c r="AN35" s="1"/>
      <c r="AO35" s="1"/>
      <c r="AP35" s="1"/>
      <c r="AQ35" s="1"/>
      <c r="AU35" s="18"/>
    </row>
    <row r="36" spans="1:47" x14ac:dyDescent="0.3">
      <c r="A36" s="9">
        <f t="shared" si="1"/>
        <v>2020</v>
      </c>
      <c r="B36" s="9">
        <f t="shared" si="2"/>
        <v>1</v>
      </c>
      <c r="C36" s="10">
        <v>43861</v>
      </c>
      <c r="D36" s="9">
        <v>0.21</v>
      </c>
      <c r="E36" s="9">
        <v>0.14299999999999999</v>
      </c>
      <c r="F36" s="9">
        <v>12.010412836968278</v>
      </c>
      <c r="G36" s="9">
        <v>10832.840587184464</v>
      </c>
      <c r="H36" s="9">
        <v>54997.409700837095</v>
      </c>
      <c r="I36" s="9">
        <v>1479.0614330495589</v>
      </c>
      <c r="J36" s="20">
        <v>71.08</v>
      </c>
      <c r="K36" s="9">
        <v>71.37</v>
      </c>
      <c r="L36" s="31">
        <f>Table1[[#This Row],[TN550 I (O2)]]/(Table1[[#This Row],[Flowmeter A]]+Table1[[#This Row],[Flowmeter B]])</f>
        <v>1.919263436530539E-2</v>
      </c>
      <c r="M36" s="33">
        <f>Table1[[#This Row],[TN120 Venting2]]/100</f>
        <v>1.3600000000000001E-2</v>
      </c>
      <c r="N36" s="31">
        <f>Table1[[#This Row],[TN550 I Venting2]]/100</f>
        <v>0</v>
      </c>
      <c r="O36" s="31">
        <f>(Table1[[#This Row],[TN550 I (O2)]]-Table1[[#This Row],[O2]])/Table1[[#This Row],[TN550 I (O2)]]</f>
        <v>2.5103861741315105E-2</v>
      </c>
      <c r="P36" s="9">
        <f>Table1[[#This Row],[M-N2]]+Table1[[#This Row],[TEN-N2]]</f>
        <v>64526.705923552981</v>
      </c>
      <c r="Q36" s="9">
        <v>1441.9312793273714</v>
      </c>
      <c r="R36" s="9">
        <f>SUM(Table1[[#This Row],[TEN-CDA]:[TEN-CDA WWT]])</f>
        <v>99555.80807883844</v>
      </c>
      <c r="S36" s="9">
        <v>432.84056950078747</v>
      </c>
      <c r="T36" s="9">
        <v>265.33554454117825</v>
      </c>
      <c r="U36" s="9">
        <v>41.115013679806182</v>
      </c>
      <c r="V36" s="42">
        <v>1.36</v>
      </c>
      <c r="W36" s="9">
        <v>0</v>
      </c>
      <c r="X36" s="9">
        <v>75514.217535565578</v>
      </c>
      <c r="Y36" s="9">
        <v>1549.7959238511669</v>
      </c>
      <c r="Z36" s="1">
        <v>62154.882988701422</v>
      </c>
      <c r="AA36" s="1">
        <v>2371.822934851557</v>
      </c>
      <c r="AB36" s="1">
        <v>35114.880337547707</v>
      </c>
      <c r="AC36" s="1">
        <v>54879.873322020299</v>
      </c>
      <c r="AD36" s="1">
        <v>6763.0831650383852</v>
      </c>
      <c r="AE36" s="1">
        <v>2787.6721918237117</v>
      </c>
      <c r="AF36" s="1">
        <v>10.299062408336246</v>
      </c>
      <c r="AG36" s="1"/>
      <c r="AH36" s="1"/>
      <c r="AI36" s="1"/>
      <c r="AJ36" s="1"/>
      <c r="AK36" s="1"/>
      <c r="AL36" s="1"/>
      <c r="AM36" s="1"/>
      <c r="AN36" s="1"/>
      <c r="AO36" s="1"/>
      <c r="AP36" s="1"/>
      <c r="AQ36" s="1"/>
      <c r="AU36" s="18"/>
    </row>
    <row r="37" spans="1:47" x14ac:dyDescent="0.3">
      <c r="A37" s="9">
        <f t="shared" si="1"/>
        <v>2020</v>
      </c>
      <c r="B37" s="9">
        <f t="shared" si="2"/>
        <v>2</v>
      </c>
      <c r="C37" s="10">
        <v>43862</v>
      </c>
      <c r="D37" s="9">
        <v>0.20899999999999999</v>
      </c>
      <c r="E37" s="9">
        <v>0.14799999999999999</v>
      </c>
      <c r="F37" s="9">
        <v>11.978867632080332</v>
      </c>
      <c r="G37" s="9">
        <v>10723.449885604616</v>
      </c>
      <c r="H37" s="9">
        <v>54996.093977706456</v>
      </c>
      <c r="I37" s="9">
        <v>1511.9641980734409</v>
      </c>
      <c r="J37" s="20">
        <v>71.05</v>
      </c>
      <c r="K37" s="9">
        <v>71.38</v>
      </c>
      <c r="L37" s="31">
        <f>Table1[[#This Row],[TN550 I (O2)]]/(Table1[[#This Row],[Flowmeter A]]+Table1[[#This Row],[Flowmeter B]])</f>
        <v>1.9624237461654381E-2</v>
      </c>
      <c r="M37" s="33">
        <f>Table1[[#This Row],[TN120 Venting2]]/100</f>
        <v>1.2800000000000001E-2</v>
      </c>
      <c r="N37" s="31">
        <f>Table1[[#This Row],[TN550 I Venting2]]/100</f>
        <v>0</v>
      </c>
      <c r="O37" s="31">
        <f>(Table1[[#This Row],[TN550 I (O2)]]-Table1[[#This Row],[O2]])/Table1[[#This Row],[TN550 I (O2)]]</f>
        <v>4.3127802413836513E-2</v>
      </c>
      <c r="P37" s="9">
        <f>Table1[[#This Row],[M-N2]]+Table1[[#This Row],[TEN-N2]]</f>
        <v>64246.811191704437</v>
      </c>
      <c r="Q37" s="9">
        <v>1446.7565048821348</v>
      </c>
      <c r="R37" s="9">
        <f>SUM(Table1[[#This Row],[TEN-CDA]:[TEN-CDA WWT]])</f>
        <v>99498.994004312495</v>
      </c>
      <c r="S37" s="9">
        <v>434.90209789395249</v>
      </c>
      <c r="T37" s="9">
        <v>262.31041118719776</v>
      </c>
      <c r="U37" s="9">
        <v>39.76611412969585</v>
      </c>
      <c r="V37" s="42">
        <v>1.28</v>
      </c>
      <c r="W37" s="9">
        <v>0</v>
      </c>
      <c r="X37" s="9">
        <v>75496.028159698122</v>
      </c>
      <c r="Y37" s="9">
        <v>1549.7271736139726</v>
      </c>
      <c r="Z37" s="1">
        <v>61891.516148182687</v>
      </c>
      <c r="AA37" s="1">
        <v>2355.2950435217513</v>
      </c>
      <c r="AB37" s="1">
        <v>35013.336135387748</v>
      </c>
      <c r="AC37" s="1">
        <v>54935.152820849238</v>
      </c>
      <c r="AD37" s="1">
        <v>6776.3618594400587</v>
      </c>
      <c r="AE37" s="1">
        <v>2765.2905624146101</v>
      </c>
      <c r="AF37" s="1">
        <v>8.8526262208408344</v>
      </c>
      <c r="AG37" s="1"/>
      <c r="AH37" s="1"/>
      <c r="AI37" s="1"/>
      <c r="AJ37" s="1"/>
      <c r="AK37" s="1"/>
      <c r="AL37" s="1"/>
      <c r="AM37" s="1"/>
      <c r="AN37" s="1"/>
      <c r="AO37" s="1"/>
      <c r="AP37" s="1"/>
      <c r="AQ37" s="1"/>
      <c r="AU37" s="18"/>
    </row>
    <row r="38" spans="1:47" x14ac:dyDescent="0.3">
      <c r="A38" s="9">
        <f t="shared" si="1"/>
        <v>2020</v>
      </c>
      <c r="B38" s="9">
        <f t="shared" si="2"/>
        <v>2</v>
      </c>
      <c r="C38" s="10">
        <v>43863</v>
      </c>
      <c r="D38" s="9">
        <v>0.21</v>
      </c>
      <c r="E38" s="9">
        <v>0.14299999999999999</v>
      </c>
      <c r="F38" s="9">
        <v>11.969111256596117</v>
      </c>
      <c r="G38" s="9">
        <v>10620.779694683595</v>
      </c>
      <c r="H38" s="9">
        <v>55003.566669196742</v>
      </c>
      <c r="I38" s="9">
        <v>1464.9933788079838</v>
      </c>
      <c r="J38" s="20">
        <v>70.98</v>
      </c>
      <c r="K38" s="9">
        <v>71.38</v>
      </c>
      <c r="L38" s="31">
        <f>Table1[[#This Row],[TN550 I (O2)]]/(Table1[[#This Row],[Flowmeter A]]+Table1[[#This Row],[Flowmeter B]])</f>
        <v>1.9012115466663246E-2</v>
      </c>
      <c r="M38" s="33">
        <f>Table1[[#This Row],[TN120 Venting2]]/100</f>
        <v>9.1999999999999998E-3</v>
      </c>
      <c r="N38" s="31">
        <f>Table1[[#This Row],[TN550 I Venting2]]/100</f>
        <v>0</v>
      </c>
      <c r="O38" s="31">
        <f>(Table1[[#This Row],[TN550 I (O2)]]-Table1[[#This Row],[O2]])/Table1[[#This Row],[TN550 I (O2)]]</f>
        <v>9.2006032153440602E-3</v>
      </c>
      <c r="P38" s="9">
        <f>Table1[[#This Row],[M-N2]]+Table1[[#This Row],[TEN-N2]]</f>
        <v>64191.411463190168</v>
      </c>
      <c r="Q38" s="9">
        <v>1451.5145560164653</v>
      </c>
      <c r="R38" s="9">
        <f>SUM(Table1[[#This Row],[TEN-CDA]:[TEN-CDA WWT]])</f>
        <v>99321.748584950285</v>
      </c>
      <c r="S38" s="9">
        <v>434.03981273261974</v>
      </c>
      <c r="T38" s="9">
        <v>256.31323861645626</v>
      </c>
      <c r="U38" s="9">
        <v>40.470607560347709</v>
      </c>
      <c r="V38" s="42">
        <v>0.92</v>
      </c>
      <c r="W38" s="9">
        <v>0</v>
      </c>
      <c r="X38" s="9">
        <v>75505.960796538857</v>
      </c>
      <c r="Y38" s="9">
        <v>1549.8187865787377</v>
      </c>
      <c r="Z38" s="1">
        <v>61811.936759954027</v>
      </c>
      <c r="AA38" s="1">
        <v>2379.4747032361424</v>
      </c>
      <c r="AB38" s="1">
        <v>34801.362332473109</v>
      </c>
      <c r="AC38" s="1">
        <v>54911.969574080496</v>
      </c>
      <c r="AD38" s="1">
        <v>6841.809969815341</v>
      </c>
      <c r="AE38" s="1">
        <v>2758.0234412273376</v>
      </c>
      <c r="AF38" s="1">
        <v>8.5832673539973072</v>
      </c>
      <c r="AG38" s="1"/>
      <c r="AH38" s="1"/>
      <c r="AI38" s="1"/>
      <c r="AJ38" s="1"/>
      <c r="AK38" s="1"/>
      <c r="AL38" s="1"/>
      <c r="AM38" s="1"/>
      <c r="AN38" s="1"/>
      <c r="AO38" s="1"/>
      <c r="AP38" s="1"/>
      <c r="AQ38" s="1"/>
      <c r="AU38" s="18"/>
    </row>
    <row r="39" spans="1:47" x14ac:dyDescent="0.3">
      <c r="A39" s="9">
        <f t="shared" si="1"/>
        <v>2020</v>
      </c>
      <c r="B39" s="9">
        <f t="shared" si="2"/>
        <v>2</v>
      </c>
      <c r="C39" s="10">
        <v>43864</v>
      </c>
      <c r="D39" s="9">
        <v>0.21</v>
      </c>
      <c r="E39" s="9">
        <v>0.14599999999999999</v>
      </c>
      <c r="F39" s="9">
        <v>12.125900578945563</v>
      </c>
      <c r="G39" s="9">
        <v>10677.680356387707</v>
      </c>
      <c r="H39" s="9">
        <v>55000.889592188585</v>
      </c>
      <c r="I39" s="9">
        <v>1467.4677471767111</v>
      </c>
      <c r="J39" s="20">
        <v>70.989999999999995</v>
      </c>
      <c r="K39" s="9">
        <v>71.38</v>
      </c>
      <c r="L39" s="31">
        <f>Table1[[#This Row],[TN550 I (O2)]]/(Table1[[#This Row],[Flowmeter A]]+Table1[[#This Row],[Flowmeter B]])</f>
        <v>1.9045864861035641E-2</v>
      </c>
      <c r="M39" s="33">
        <f>Table1[[#This Row],[TN120 Venting2]]/100</f>
        <v>2.2499999999999999E-2</v>
      </c>
      <c r="N39" s="31">
        <f>Table1[[#This Row],[TN550 I Venting2]]/100</f>
        <v>0</v>
      </c>
      <c r="O39" s="31">
        <f>(Table1[[#This Row],[TN550 I (O2)]]-Table1[[#This Row],[O2]])/Table1[[#This Row],[TN550 I (O2)]]</f>
        <v>1.1488281435838429E-2</v>
      </c>
      <c r="P39" s="9">
        <f>Table1[[#This Row],[M-N2]]+Table1[[#This Row],[TEN-N2]]</f>
        <v>64344.620599200047</v>
      </c>
      <c r="Q39" s="9">
        <v>1450.6090646991292</v>
      </c>
      <c r="R39" s="9">
        <f>SUM(Table1[[#This Row],[TEN-CDA]:[TEN-CDA WWT]])</f>
        <v>99989.391125570168</v>
      </c>
      <c r="S39" s="9">
        <v>434.5397611005202</v>
      </c>
      <c r="T39" s="9">
        <v>262.59847717496939</v>
      </c>
      <c r="U39" s="9">
        <v>39.678070904892571</v>
      </c>
      <c r="V39" s="42">
        <v>2.25</v>
      </c>
      <c r="W39" s="9">
        <v>0</v>
      </c>
      <c r="X39" s="9">
        <v>75499.108203938231</v>
      </c>
      <c r="Y39" s="9">
        <v>1550.0443487968153</v>
      </c>
      <c r="Z39" s="1">
        <v>61996.91966028366</v>
      </c>
      <c r="AA39" s="1">
        <v>2347.7009389163882</v>
      </c>
      <c r="AB39" s="1">
        <v>35320.334655295803</v>
      </c>
      <c r="AC39" s="1">
        <v>55009.44792570264</v>
      </c>
      <c r="AD39" s="1">
        <v>6889.1684726182993</v>
      </c>
      <c r="AE39" s="1">
        <v>2762.8248513808771</v>
      </c>
      <c r="AF39" s="1">
        <v>7.6152205725570798</v>
      </c>
      <c r="AG39" s="1"/>
      <c r="AH39" s="1"/>
      <c r="AI39" s="1"/>
      <c r="AJ39" s="1"/>
      <c r="AK39" s="1"/>
      <c r="AL39" s="1"/>
      <c r="AM39" s="1"/>
      <c r="AN39" s="1"/>
      <c r="AO39" s="1"/>
      <c r="AP39" s="1"/>
      <c r="AQ39" s="1"/>
      <c r="AU39" s="18"/>
    </row>
    <row r="40" spans="1:47" x14ac:dyDescent="0.3">
      <c r="A40" s="9">
        <f t="shared" si="1"/>
        <v>2020</v>
      </c>
      <c r="B40" s="9">
        <f t="shared" si="2"/>
        <v>2</v>
      </c>
      <c r="C40" s="10">
        <v>43865</v>
      </c>
      <c r="D40" s="9">
        <v>0.20899999999999999</v>
      </c>
      <c r="E40" s="9">
        <v>0.14799999999999999</v>
      </c>
      <c r="F40" s="9">
        <v>12.321220742092622</v>
      </c>
      <c r="G40" s="9">
        <v>10604.757676282748</v>
      </c>
      <c r="H40" s="9">
        <v>55004.656304215823</v>
      </c>
      <c r="I40" s="9">
        <v>1463.9633074938463</v>
      </c>
      <c r="J40" s="20">
        <v>70.97</v>
      </c>
      <c r="K40" s="9">
        <v>71.38</v>
      </c>
      <c r="L40" s="31">
        <f>Table1[[#This Row],[TN550 I (O2)]]/(Table1[[#This Row],[Flowmeter A]]+Table1[[#This Row],[Flowmeter B]])</f>
        <v>1.8997722160579936E-2</v>
      </c>
      <c r="M40" s="33">
        <f>Table1[[#This Row],[TN120 Venting2]]/100</f>
        <v>2.4199999999999999E-2</v>
      </c>
      <c r="N40" s="31">
        <f>Table1[[#This Row],[TN550 I Venting2]]/100</f>
        <v>0</v>
      </c>
      <c r="O40" s="31">
        <f>(Table1[[#This Row],[TN550 I (O2)]]-Table1[[#This Row],[O2]])/Table1[[#This Row],[TN550 I (O2)]]</f>
        <v>1.2183556892683085E-2</v>
      </c>
      <c r="P40" s="9">
        <f>Table1[[#This Row],[M-N2]]+Table1[[#This Row],[TEN-N2]]</f>
        <v>64359.328571941682</v>
      </c>
      <c r="Q40" s="9">
        <v>1446.1270272481945</v>
      </c>
      <c r="R40" s="9">
        <f>SUM(Table1[[#This Row],[TEN-CDA]:[TEN-CDA WWT]])</f>
        <v>100072.73293583788</v>
      </c>
      <c r="S40" s="9">
        <v>433.75965115760943</v>
      </c>
      <c r="T40" s="9">
        <v>257.015412478212</v>
      </c>
      <c r="U40" s="9">
        <v>41.368182488732003</v>
      </c>
      <c r="V40" s="42">
        <v>2.42</v>
      </c>
      <c r="W40" s="9">
        <v>0</v>
      </c>
      <c r="X40" s="9">
        <v>75510.280604831714</v>
      </c>
      <c r="Y40" s="9">
        <v>1549.6582193897466</v>
      </c>
      <c r="Z40" s="1">
        <v>62018.948814842122</v>
      </c>
      <c r="AA40" s="1">
        <v>2340.3797570995621</v>
      </c>
      <c r="AB40" s="1">
        <v>35447.578669869014</v>
      </c>
      <c r="AC40" s="1">
        <v>54915.368925117109</v>
      </c>
      <c r="AD40" s="1">
        <v>6938.2694936377729</v>
      </c>
      <c r="AE40" s="1">
        <v>2765.2892415816382</v>
      </c>
      <c r="AF40" s="1">
        <v>6.2266056323624337</v>
      </c>
      <c r="AG40" s="1"/>
      <c r="AH40" s="1"/>
      <c r="AI40" s="1"/>
      <c r="AJ40" s="1"/>
      <c r="AK40" s="1"/>
      <c r="AL40" s="1"/>
      <c r="AM40" s="1"/>
      <c r="AN40" s="1"/>
      <c r="AO40" s="1"/>
      <c r="AP40" s="1"/>
      <c r="AQ40" s="1"/>
      <c r="AU40" s="18"/>
    </row>
    <row r="41" spans="1:47" x14ac:dyDescent="0.3">
      <c r="A41" s="9">
        <f t="shared" si="1"/>
        <v>2020</v>
      </c>
      <c r="B41" s="9">
        <f t="shared" si="2"/>
        <v>2</v>
      </c>
      <c r="C41" s="10">
        <v>43866</v>
      </c>
      <c r="D41" s="9">
        <v>0.20699999999999999</v>
      </c>
      <c r="E41" s="9">
        <v>0.14299999999999999</v>
      </c>
      <c r="F41" s="9">
        <v>11.818992139563472</v>
      </c>
      <c r="G41" s="9">
        <v>10589.310161264964</v>
      </c>
      <c r="H41" s="9">
        <v>54998.970335812803</v>
      </c>
      <c r="I41" s="9">
        <v>1465.7281968529071</v>
      </c>
      <c r="J41" s="20">
        <v>71.03</v>
      </c>
      <c r="K41" s="9">
        <v>71.38</v>
      </c>
      <c r="L41" s="31">
        <f>Table1[[#This Row],[TN550 I (O2)]]/(Table1[[#This Row],[Flowmeter A]]+Table1[[#This Row],[Flowmeter B]])</f>
        <v>1.9023236674184513E-2</v>
      </c>
      <c r="M41" s="33">
        <f>Table1[[#This Row],[TN120 Venting2]]/100</f>
        <v>2.3900000000000001E-2</v>
      </c>
      <c r="N41" s="31">
        <f>Table1[[#This Row],[TN550 I Venting2]]/100</f>
        <v>0</v>
      </c>
      <c r="O41" s="31">
        <f>(Table1[[#This Row],[TN550 I (O2)]]-Table1[[#This Row],[O2]])/Table1[[#This Row],[TN550 I (O2)]]</f>
        <v>1.2711479497085678E-2</v>
      </c>
      <c r="P41" s="9">
        <f>Table1[[#This Row],[M-N2]]+Table1[[#This Row],[TEN-N2]]</f>
        <v>64472.079215246311</v>
      </c>
      <c r="Q41" s="9">
        <v>1447.096622930311</v>
      </c>
      <c r="R41" s="9">
        <f>SUM(Table1[[#This Row],[TEN-CDA]:[TEN-CDA WWT]])</f>
        <v>99905.08860298201</v>
      </c>
      <c r="S41" s="9">
        <v>423.34018560617358</v>
      </c>
      <c r="T41" s="9">
        <v>250.48588678491024</v>
      </c>
      <c r="U41" s="9">
        <v>40.78251479980765</v>
      </c>
      <c r="V41" s="42">
        <v>2.39</v>
      </c>
      <c r="W41" s="9">
        <v>0</v>
      </c>
      <c r="X41" s="9">
        <v>75499.349551092993</v>
      </c>
      <c r="Y41" s="9">
        <v>1550.0097118327387</v>
      </c>
      <c r="Z41" s="1">
        <v>62092.577799705075</v>
      </c>
      <c r="AA41" s="1">
        <v>2379.5014155412364</v>
      </c>
      <c r="AB41" s="1">
        <v>35404.948934116932</v>
      </c>
      <c r="AC41" s="1">
        <v>54871.95591711485</v>
      </c>
      <c r="AD41" s="1">
        <v>6857.5929198202202</v>
      </c>
      <c r="AE41" s="1">
        <v>2764.5258809393436</v>
      </c>
      <c r="AF41" s="1">
        <v>6.064950990664471</v>
      </c>
      <c r="AG41" s="1"/>
      <c r="AH41" s="1"/>
      <c r="AI41" s="1"/>
      <c r="AJ41" s="1"/>
      <c r="AK41" s="1"/>
      <c r="AL41" s="1"/>
      <c r="AM41" s="1"/>
      <c r="AN41" s="1"/>
      <c r="AO41" s="1"/>
      <c r="AP41" s="1"/>
      <c r="AQ41" s="1"/>
      <c r="AU41" s="18"/>
    </row>
    <row r="42" spans="1:47" x14ac:dyDescent="0.3">
      <c r="A42" s="9">
        <f t="shared" si="1"/>
        <v>2020</v>
      </c>
      <c r="B42" s="9">
        <f t="shared" si="2"/>
        <v>2</v>
      </c>
      <c r="C42" s="10">
        <v>43867</v>
      </c>
      <c r="D42" s="9">
        <v>0.21</v>
      </c>
      <c r="E42" s="9">
        <v>0.14199999999999999</v>
      </c>
      <c r="F42" s="9">
        <v>11.986995270813116</v>
      </c>
      <c r="G42" s="9">
        <v>10790.565698055821</v>
      </c>
      <c r="H42" s="9">
        <v>54998.019704740633</v>
      </c>
      <c r="I42" s="9">
        <v>1486.8656493801775</v>
      </c>
      <c r="J42" s="20">
        <v>71.040000000000006</v>
      </c>
      <c r="K42" s="9">
        <v>71.38</v>
      </c>
      <c r="L42" s="31">
        <f>Table1[[#This Row],[TN550 I (O2)]]/(Table1[[#This Row],[Flowmeter A]]+Table1[[#This Row],[Flowmeter B]])</f>
        <v>1.9297442488458709E-2</v>
      </c>
      <c r="M42" s="33">
        <f>Table1[[#This Row],[TN120 Venting2]]/100</f>
        <v>1.37E-2</v>
      </c>
      <c r="N42" s="31">
        <f>Table1[[#This Row],[TN550 I Venting2]]/100</f>
        <v>0</v>
      </c>
      <c r="O42" s="31">
        <f>(Table1[[#This Row],[TN550 I (O2)]]-Table1[[#This Row],[O2]])/Table1[[#This Row],[TN550 I (O2)]]</f>
        <v>2.4166824993179899E-2</v>
      </c>
      <c r="P42" s="9">
        <f>Table1[[#This Row],[M-N2]]+Table1[[#This Row],[TEN-N2]]</f>
        <v>64843.750937594879</v>
      </c>
      <c r="Q42" s="9">
        <v>1450.932827443236</v>
      </c>
      <c r="R42" s="9">
        <f>SUM(Table1[[#This Row],[TEN-CDA]:[TEN-CDA WWT]])</f>
        <v>100224.59123622665</v>
      </c>
      <c r="S42" s="9">
        <v>426.27524000666858</v>
      </c>
      <c r="T42" s="9">
        <v>249.95231953501121</v>
      </c>
      <c r="U42" s="9">
        <v>39.383157456111448</v>
      </c>
      <c r="V42" s="42">
        <v>1.37</v>
      </c>
      <c r="W42" s="9">
        <v>0</v>
      </c>
      <c r="X42" s="9">
        <v>75499.515793069062</v>
      </c>
      <c r="Y42" s="9">
        <v>1550.3653126490935</v>
      </c>
      <c r="Z42" s="1">
        <v>62465.973786649898</v>
      </c>
      <c r="AA42" s="1">
        <v>2377.7771509449817</v>
      </c>
      <c r="AB42" s="1">
        <v>35666.210734190667</v>
      </c>
      <c r="AC42" s="1">
        <v>54901.273147445354</v>
      </c>
      <c r="AD42" s="1">
        <v>6848.380973228227</v>
      </c>
      <c r="AE42" s="1">
        <v>2802.1604110643652</v>
      </c>
      <c r="AF42" s="1">
        <v>6.5659702980294981</v>
      </c>
      <c r="AG42" s="1"/>
      <c r="AH42" s="1"/>
      <c r="AI42" s="1"/>
      <c r="AJ42" s="1"/>
      <c r="AK42" s="1"/>
      <c r="AL42" s="1"/>
      <c r="AM42" s="1"/>
      <c r="AN42" s="1"/>
      <c r="AO42" s="1"/>
      <c r="AP42" s="1"/>
      <c r="AQ42" s="1"/>
      <c r="AU42" s="18"/>
    </row>
    <row r="43" spans="1:47" x14ac:dyDescent="0.3">
      <c r="A43" s="9">
        <f t="shared" si="1"/>
        <v>2020</v>
      </c>
      <c r="B43" s="9">
        <f t="shared" si="2"/>
        <v>2</v>
      </c>
      <c r="C43" s="10">
        <v>43868</v>
      </c>
      <c r="D43" s="9">
        <v>0.20699999999999999</v>
      </c>
      <c r="E43" s="9">
        <v>0.15</v>
      </c>
      <c r="F43" s="9">
        <v>12.021934055272776</v>
      </c>
      <c r="G43" s="9">
        <v>10891.987560179565</v>
      </c>
      <c r="H43" s="9">
        <v>54999.099833015265</v>
      </c>
      <c r="I43" s="9">
        <v>1500.0946151659275</v>
      </c>
      <c r="J43" s="20">
        <v>71.069999999999993</v>
      </c>
      <c r="K43" s="9">
        <v>71.38</v>
      </c>
      <c r="L43" s="31">
        <f>Table1[[#This Row],[TN550 I (O2)]]/(Table1[[#This Row],[Flowmeter A]]+Table1[[#This Row],[Flowmeter B]])</f>
        <v>1.9469892445264713E-2</v>
      </c>
      <c r="M43" s="33">
        <f>Table1[[#This Row],[TN120 Venting2]]/100</f>
        <v>1.0500000000000001E-2</v>
      </c>
      <c r="N43" s="31">
        <f>Table1[[#This Row],[TN550 I Venting2]]/100</f>
        <v>0</v>
      </c>
      <c r="O43" s="31">
        <f>(Table1[[#This Row],[TN550 I (O2)]]-Table1[[#This Row],[O2]])/Table1[[#This Row],[TN550 I (O2)]]</f>
        <v>3.3326477326047897E-2</v>
      </c>
      <c r="P43" s="9">
        <f>Table1[[#This Row],[M-N2]]+Table1[[#This Row],[TEN-N2]]</f>
        <v>64831.095296421619</v>
      </c>
      <c r="Q43" s="9">
        <v>1450.1017459866737</v>
      </c>
      <c r="R43" s="9">
        <f>SUM(Table1[[#This Row],[TEN-CDA]:[TEN-CDA WWT]])</f>
        <v>100021.18538893656</v>
      </c>
      <c r="S43" s="9">
        <v>419.46494277858801</v>
      </c>
      <c r="T43" s="9">
        <v>253.58360738443221</v>
      </c>
      <c r="U43" s="9">
        <v>38.76392125984102</v>
      </c>
      <c r="V43" s="42">
        <v>1.05</v>
      </c>
      <c r="W43" s="9">
        <v>0</v>
      </c>
      <c r="X43" s="9">
        <v>75496.974187846979</v>
      </c>
      <c r="Y43" s="9">
        <v>1549.9134302079719</v>
      </c>
      <c r="Z43" s="1">
        <v>62556.779455456279</v>
      </c>
      <c r="AA43" s="1">
        <v>2274.3158409653397</v>
      </c>
      <c r="AB43" s="1">
        <v>35482.191728834143</v>
      </c>
      <c r="AC43" s="1">
        <v>54977.686263879245</v>
      </c>
      <c r="AD43" s="1">
        <v>6777.9692952078631</v>
      </c>
      <c r="AE43" s="1">
        <v>2779.9942495649179</v>
      </c>
      <c r="AF43" s="1">
        <v>3.3438514503989678</v>
      </c>
      <c r="AG43" s="1"/>
      <c r="AH43" s="1"/>
      <c r="AI43" s="1"/>
      <c r="AJ43" s="1"/>
      <c r="AK43" s="1"/>
      <c r="AL43" s="1"/>
      <c r="AM43" s="1"/>
      <c r="AN43" s="1"/>
      <c r="AO43" s="1"/>
      <c r="AP43" s="1"/>
      <c r="AQ43" s="1"/>
      <c r="AU43" s="18"/>
    </row>
    <row r="44" spans="1:47" x14ac:dyDescent="0.3">
      <c r="A44" s="9">
        <f t="shared" si="1"/>
        <v>2020</v>
      </c>
      <c r="B44" s="9">
        <f t="shared" si="2"/>
        <v>2</v>
      </c>
      <c r="C44" s="10">
        <v>43869</v>
      </c>
      <c r="D44" s="9">
        <v>0.20799999999999999</v>
      </c>
      <c r="E44" s="9">
        <v>0.15</v>
      </c>
      <c r="F44" s="9">
        <v>12.336851140511358</v>
      </c>
      <c r="G44" s="9">
        <v>11026.997590106695</v>
      </c>
      <c r="H44" s="9">
        <v>54998.513038905272</v>
      </c>
      <c r="I44" s="9">
        <v>1508.2247333936937</v>
      </c>
      <c r="J44" s="20">
        <v>71.12</v>
      </c>
      <c r="K44" s="9">
        <v>71.38</v>
      </c>
      <c r="L44" s="31">
        <f>Table1[[#This Row],[TN550 I (O2)]]/(Table1[[#This Row],[Flowmeter A]]+Table1[[#This Row],[Flowmeter B]])</f>
        <v>1.9573877988111506E-2</v>
      </c>
      <c r="M44" s="33">
        <f>Table1[[#This Row],[TN120 Venting2]]/100</f>
        <v>1.03E-2</v>
      </c>
      <c r="N44" s="31">
        <f>Table1[[#This Row],[TN550 I Venting2]]/100</f>
        <v>0</v>
      </c>
      <c r="O44" s="31">
        <f>(Table1[[#This Row],[TN550 I (O2)]]-Table1[[#This Row],[O2]])/Table1[[#This Row],[TN550 I (O2)]]</f>
        <v>3.4992368060552011E-2</v>
      </c>
      <c r="P44" s="9">
        <f>Table1[[#This Row],[M-N2]]+Table1[[#This Row],[TEN-N2]]</f>
        <v>64533.741169428511</v>
      </c>
      <c r="Q44" s="9">
        <v>1455.4483784047536</v>
      </c>
      <c r="R44" s="9">
        <f>SUM(Table1[[#This Row],[TEN-CDA]:[TEN-CDA WWT]])</f>
        <v>100039.43385415092</v>
      </c>
      <c r="S44" s="9">
        <v>430.81682265292926</v>
      </c>
      <c r="T44" s="9">
        <v>266.99385632019255</v>
      </c>
      <c r="U44" s="9">
        <v>39.872216705809358</v>
      </c>
      <c r="V44" s="42">
        <v>1.03</v>
      </c>
      <c r="W44" s="9">
        <v>0</v>
      </c>
      <c r="X44" s="9">
        <v>75503.069314928871</v>
      </c>
      <c r="Y44" s="9">
        <v>1549.8649227187336</v>
      </c>
      <c r="Z44" s="1">
        <v>62361.677307425402</v>
      </c>
      <c r="AA44" s="1">
        <v>2172.0638620031118</v>
      </c>
      <c r="AB44" s="1">
        <v>35583.255204718946</v>
      </c>
      <c r="AC44" s="1">
        <v>54868.785701119014</v>
      </c>
      <c r="AD44" s="1">
        <v>6807.8841245229005</v>
      </c>
      <c r="AE44" s="1">
        <v>2776.5953847764681</v>
      </c>
      <c r="AF44" s="1">
        <v>2.9134390135964612</v>
      </c>
      <c r="AG44" s="1"/>
      <c r="AH44" s="1"/>
      <c r="AI44" s="1"/>
      <c r="AJ44" s="1"/>
      <c r="AK44" s="1"/>
      <c r="AL44" s="1"/>
      <c r="AM44" s="1"/>
      <c r="AN44" s="1"/>
      <c r="AO44" s="1"/>
      <c r="AP44" s="1"/>
      <c r="AQ44" s="1"/>
      <c r="AU44" s="18"/>
    </row>
    <row r="45" spans="1:47" x14ac:dyDescent="0.3">
      <c r="A45" s="9">
        <f t="shared" si="1"/>
        <v>2020</v>
      </c>
      <c r="B45" s="9">
        <f t="shared" si="2"/>
        <v>2</v>
      </c>
      <c r="C45" s="10">
        <v>43870</v>
      </c>
      <c r="D45" s="9">
        <v>0.20599999999999999</v>
      </c>
      <c r="E45" s="9">
        <v>0.14299999999999999</v>
      </c>
      <c r="F45" s="9">
        <v>12.490414250153457</v>
      </c>
      <c r="G45" s="9">
        <v>10999.522891953287</v>
      </c>
      <c r="H45" s="9">
        <v>54990.612332473109</v>
      </c>
      <c r="I45" s="9">
        <v>1531.1582424314713</v>
      </c>
      <c r="J45" s="20">
        <v>71.14</v>
      </c>
      <c r="K45" s="9">
        <v>71.44</v>
      </c>
      <c r="L45" s="31">
        <f>Table1[[#This Row],[TN550 I (O2)]]/(Table1[[#This Row],[Flowmeter A]]+Table1[[#This Row],[Flowmeter B]])</f>
        <v>1.9890492306907988E-2</v>
      </c>
      <c r="M45" s="33">
        <f>Table1[[#This Row],[TN120 Venting2]]/100</f>
        <v>1.03E-2</v>
      </c>
      <c r="N45" s="31">
        <f>Table1[[#This Row],[TN550 I Venting2]]/100</f>
        <v>0</v>
      </c>
      <c r="O45" s="31">
        <f>(Table1[[#This Row],[TN550 I (O2)]]-Table1[[#This Row],[O2]])/Table1[[#This Row],[TN550 I (O2)]]</f>
        <v>6.3108075405126141E-2</v>
      </c>
      <c r="P45" s="9">
        <f>Table1[[#This Row],[M-N2]]+Table1[[#This Row],[TEN-N2]]</f>
        <v>64355.456647334206</v>
      </c>
      <c r="Q45" s="9">
        <v>1434.5297926109256</v>
      </c>
      <c r="R45" s="9">
        <f>SUM(Table1[[#This Row],[TEN-CDA]:[TEN-CDA WWT]])</f>
        <v>99545.077534352939</v>
      </c>
      <c r="S45" s="9">
        <v>433.93330301765275</v>
      </c>
      <c r="T45" s="9">
        <v>258.8470771254805</v>
      </c>
      <c r="U45" s="9">
        <v>39.291449209950521</v>
      </c>
      <c r="V45" s="42">
        <v>1.03</v>
      </c>
      <c r="W45" s="9">
        <v>0</v>
      </c>
      <c r="X45" s="9">
        <v>75429.817851101659</v>
      </c>
      <c r="Y45" s="9">
        <v>1549.5861176828971</v>
      </c>
      <c r="Z45" s="1">
        <v>62232.322372701245</v>
      </c>
      <c r="AA45" s="1">
        <v>2123.1342746329587</v>
      </c>
      <c r="AB45" s="1">
        <v>35067.999531033136</v>
      </c>
      <c r="AC45" s="1">
        <v>54886.429280881333</v>
      </c>
      <c r="AD45" s="1">
        <v>6827.3666836317007</v>
      </c>
      <c r="AE45" s="1">
        <v>2761.3042537734218</v>
      </c>
      <c r="AF45" s="1">
        <v>1.9777850333696887</v>
      </c>
      <c r="AG45" s="1"/>
      <c r="AH45" s="1"/>
      <c r="AI45" s="1"/>
      <c r="AJ45" s="1"/>
      <c r="AK45" s="1"/>
      <c r="AL45" s="1"/>
      <c r="AM45" s="1"/>
      <c r="AN45" s="1"/>
      <c r="AO45" s="1"/>
      <c r="AP45" s="1"/>
      <c r="AQ45" s="1"/>
      <c r="AU45" s="18"/>
    </row>
    <row r="46" spans="1:47" x14ac:dyDescent="0.3">
      <c r="A46" s="9">
        <f t="shared" si="1"/>
        <v>2020</v>
      </c>
      <c r="B46" s="9">
        <f t="shared" si="2"/>
        <v>2</v>
      </c>
      <c r="C46" s="10">
        <v>43871</v>
      </c>
      <c r="D46" s="9">
        <v>0.21099999999999999</v>
      </c>
      <c r="E46" s="9">
        <v>0.14699999999999999</v>
      </c>
      <c r="F46" s="9">
        <v>12.723737335469805</v>
      </c>
      <c r="G46" s="9">
        <v>10782.607022033309</v>
      </c>
      <c r="H46" s="9">
        <v>54997.741794435286</v>
      </c>
      <c r="I46" s="9">
        <v>1578.2459080608085</v>
      </c>
      <c r="J46" s="20">
        <v>71.069999999999993</v>
      </c>
      <c r="K46" s="9">
        <v>71.540000000000006</v>
      </c>
      <c r="L46" s="31">
        <f>Table1[[#This Row],[TN550 I (O2)]]/(Table1[[#This Row],[Flowmeter A]]+Table1[[#This Row],[Flowmeter B]])</f>
        <v>2.0530894799493427E-2</v>
      </c>
      <c r="M46" s="33">
        <f>Table1[[#This Row],[TN120 Venting2]]/100</f>
        <v>1.5900000000000001E-2</v>
      </c>
      <c r="N46" s="31">
        <f>Table1[[#This Row],[TN550 I Venting2]]/100</f>
        <v>0</v>
      </c>
      <c r="O46" s="31">
        <f>(Table1[[#This Row],[TN550 I (O2)]]-Table1[[#This Row],[O2]])/Table1[[#This Row],[TN550 I (O2)]]</f>
        <v>0.11123979876482505</v>
      </c>
      <c r="P46" s="9">
        <f>Table1[[#This Row],[M-N2]]+Table1[[#This Row],[TEN-N2]]</f>
        <v>64043.734766370471</v>
      </c>
      <c r="Q46" s="9">
        <v>1402.6821508467156</v>
      </c>
      <c r="R46" s="9">
        <f>SUM(Table1[[#This Row],[TEN-CDA]:[TEN-CDA WWT]])</f>
        <v>99494.724228851468</v>
      </c>
      <c r="S46" s="9">
        <v>429.20096886215896</v>
      </c>
      <c r="T46" s="9">
        <v>251.0691798552302</v>
      </c>
      <c r="U46" s="9">
        <v>38.985114908317655</v>
      </c>
      <c r="V46" s="42">
        <v>1.59</v>
      </c>
      <c r="W46" s="9">
        <v>0</v>
      </c>
      <c r="X46" s="9">
        <v>75298.8706952637</v>
      </c>
      <c r="Y46" s="9">
        <v>1572.8839688218361</v>
      </c>
      <c r="Z46" s="1">
        <v>61897.187624696395</v>
      </c>
      <c r="AA46" s="1">
        <v>2146.5471416740761</v>
      </c>
      <c r="AB46" s="1">
        <v>34932.785687565061</v>
      </c>
      <c r="AC46" s="1">
        <v>54897.457012274463</v>
      </c>
      <c r="AD46" s="1">
        <v>6908.0184560824728</v>
      </c>
      <c r="AE46" s="1">
        <v>2753.4629885523291</v>
      </c>
      <c r="AF46" s="1">
        <v>3.0000843771375938</v>
      </c>
      <c r="AG46" s="1"/>
      <c r="AH46" s="1"/>
      <c r="AI46" s="1"/>
      <c r="AJ46" s="1"/>
      <c r="AK46" s="1"/>
      <c r="AL46" s="1"/>
      <c r="AM46" s="1"/>
      <c r="AN46" s="1"/>
      <c r="AO46" s="1"/>
      <c r="AP46" s="1"/>
      <c r="AQ46" s="1"/>
      <c r="AU46" s="18"/>
    </row>
    <row r="47" spans="1:47" x14ac:dyDescent="0.3">
      <c r="A47" s="9">
        <f t="shared" si="1"/>
        <v>2020</v>
      </c>
      <c r="B47" s="9">
        <f t="shared" si="2"/>
        <v>2</v>
      </c>
      <c r="C47" s="10">
        <v>43872</v>
      </c>
      <c r="D47" s="9">
        <v>0.20899999999999999</v>
      </c>
      <c r="E47" s="9">
        <v>0.14699999999999999</v>
      </c>
      <c r="F47" s="9">
        <v>13.244633869194969</v>
      </c>
      <c r="G47" s="9">
        <v>10694.695771301396</v>
      </c>
      <c r="H47" s="9">
        <v>55003.526262144347</v>
      </c>
      <c r="I47" s="9">
        <v>1599.9588865323833</v>
      </c>
      <c r="J47" s="20">
        <v>71.069999999999993</v>
      </c>
      <c r="K47" s="9">
        <v>71.52</v>
      </c>
      <c r="L47" s="31">
        <f>Table1[[#This Row],[TN550 I (O2)]]/(Table1[[#This Row],[Flowmeter A]]+Table1[[#This Row],[Flowmeter B]])</f>
        <v>2.0802563068249541E-2</v>
      </c>
      <c r="M47" s="33">
        <f>Table1[[#This Row],[TN120 Venting2]]/100</f>
        <v>2.63E-2</v>
      </c>
      <c r="N47" s="31">
        <f>Table1[[#This Row],[TN550 I Venting2]]/100</f>
        <v>0</v>
      </c>
      <c r="O47" s="31">
        <f>(Table1[[#This Row],[TN550 I (O2)]]-Table1[[#This Row],[O2]])/Table1[[#This Row],[TN550 I (O2)]]</f>
        <v>0.10906526335258047</v>
      </c>
      <c r="P47" s="9">
        <f>Table1[[#This Row],[M-N2]]+Table1[[#This Row],[TEN-N2]]</f>
        <v>63996.51689390438</v>
      </c>
      <c r="Q47" s="9">
        <v>1425.4589492194275</v>
      </c>
      <c r="R47" s="9">
        <f>SUM(Table1[[#This Row],[TEN-CDA]:[TEN-CDA WWT]])</f>
        <v>99634.451392727075</v>
      </c>
      <c r="S47" s="9">
        <v>427.42783772391135</v>
      </c>
      <c r="T47" s="9">
        <v>250.20298887804759</v>
      </c>
      <c r="U47" s="9">
        <v>40.468222687593517</v>
      </c>
      <c r="V47" s="42">
        <v>2.63</v>
      </c>
      <c r="W47" s="9">
        <v>0</v>
      </c>
      <c r="X47" s="9">
        <v>75311.731062413251</v>
      </c>
      <c r="Y47" s="9">
        <v>1599.8918603583395</v>
      </c>
      <c r="Z47" s="1">
        <v>61837.540510062456</v>
      </c>
      <c r="AA47" s="1">
        <v>2158.9763838419231</v>
      </c>
      <c r="AB47" s="1">
        <v>35242.216125954197</v>
      </c>
      <c r="AC47" s="1">
        <v>54776.592931341082</v>
      </c>
      <c r="AD47" s="1">
        <v>6871.9236197329328</v>
      </c>
      <c r="AE47" s="1">
        <v>2739.1372963179324</v>
      </c>
      <c r="AF47" s="1">
        <v>4.5814193809388168</v>
      </c>
      <c r="AG47" s="1"/>
      <c r="AH47" s="1"/>
      <c r="AI47" s="1"/>
      <c r="AJ47" s="1"/>
      <c r="AK47" s="1"/>
      <c r="AL47" s="1"/>
      <c r="AM47" s="1"/>
      <c r="AN47" s="1"/>
      <c r="AO47" s="1"/>
      <c r="AP47" s="1"/>
      <c r="AQ47" s="1"/>
      <c r="AU47" s="18"/>
    </row>
    <row r="48" spans="1:47" x14ac:dyDescent="0.3">
      <c r="A48" s="9">
        <f t="shared" si="1"/>
        <v>2020</v>
      </c>
      <c r="B48" s="9">
        <f t="shared" si="2"/>
        <v>2</v>
      </c>
      <c r="C48" s="10">
        <v>43873</v>
      </c>
      <c r="D48" s="9">
        <v>0.20899999999999999</v>
      </c>
      <c r="E48" s="9">
        <v>0.14699999999999999</v>
      </c>
      <c r="F48" s="9">
        <v>13.436171592564156</v>
      </c>
      <c r="G48" s="9">
        <v>10235.820895997787</v>
      </c>
      <c r="H48" s="9">
        <v>55002.57946142002</v>
      </c>
      <c r="I48" s="9">
        <v>1600.0575320517164</v>
      </c>
      <c r="J48" s="20">
        <v>70.989999999999995</v>
      </c>
      <c r="K48" s="9">
        <v>71.53</v>
      </c>
      <c r="L48" s="31">
        <f>Table1[[#This Row],[TN550 I (O2)]]/(Table1[[#This Row],[Flowmeter A]]+Table1[[#This Row],[Flowmeter B]])</f>
        <v>2.0808644866385957E-2</v>
      </c>
      <c r="M48" s="33">
        <f>Table1[[#This Row],[TN120 Venting2]]/100</f>
        <v>4.1799999999999997E-2</v>
      </c>
      <c r="N48" s="31">
        <f>Table1[[#This Row],[TN550 I Venting2]]/100</f>
        <v>0</v>
      </c>
      <c r="O48" s="31">
        <f>(Table1[[#This Row],[TN550 I (O2)]]-Table1[[#This Row],[O2]])/Table1[[#This Row],[TN550 I (O2)]]</f>
        <v>9.9463599274239978E-2</v>
      </c>
      <c r="P48" s="9">
        <f>Table1[[#This Row],[M-N2]]+Table1[[#This Row],[TEN-N2]]</f>
        <v>63545.500417631258</v>
      </c>
      <c r="Q48" s="9">
        <v>1440.9100508679951</v>
      </c>
      <c r="R48" s="9">
        <f>SUM(Table1[[#This Row],[TEN-CDA]:[TEN-CDA WWT]])</f>
        <v>99670.353158292972</v>
      </c>
      <c r="S48" s="9">
        <v>427.8709671475836</v>
      </c>
      <c r="T48" s="9">
        <v>242.10478766373177</v>
      </c>
      <c r="U48" s="9">
        <v>40.859208273109999</v>
      </c>
      <c r="V48" s="42">
        <v>4.18</v>
      </c>
      <c r="W48" s="9">
        <v>0</v>
      </c>
      <c r="X48" s="9">
        <v>75293.549309290422</v>
      </c>
      <c r="Y48" s="9">
        <v>1600.3350510713046</v>
      </c>
      <c r="Z48" s="1">
        <v>61372.986828265959</v>
      </c>
      <c r="AA48" s="1">
        <v>2172.5135893652955</v>
      </c>
      <c r="AB48" s="1">
        <v>35335.987931557946</v>
      </c>
      <c r="AC48" s="1">
        <v>54743.316246313327</v>
      </c>
      <c r="AD48" s="1">
        <v>6847.3171693376999</v>
      </c>
      <c r="AE48" s="1">
        <v>2739.4743164401348</v>
      </c>
      <c r="AF48" s="1">
        <v>4.2574946438786387</v>
      </c>
      <c r="AG48" s="1"/>
      <c r="AH48" s="1"/>
      <c r="AI48" s="1"/>
      <c r="AJ48" s="1"/>
      <c r="AK48" s="1"/>
      <c r="AL48" s="1"/>
      <c r="AM48" s="1"/>
      <c r="AN48" s="1"/>
      <c r="AO48" s="1"/>
      <c r="AP48" s="1"/>
      <c r="AQ48" s="1"/>
      <c r="AU48" s="18"/>
    </row>
    <row r="49" spans="1:47" x14ac:dyDescent="0.3">
      <c r="A49" s="9">
        <f t="shared" si="1"/>
        <v>2020</v>
      </c>
      <c r="B49" s="9">
        <f t="shared" si="2"/>
        <v>2</v>
      </c>
      <c r="C49" s="10">
        <v>43874</v>
      </c>
      <c r="D49" s="9">
        <v>0.20899999999999999</v>
      </c>
      <c r="E49" s="9">
        <v>0.14399999999999999</v>
      </c>
      <c r="F49" s="9">
        <v>13.530783576488826</v>
      </c>
      <c r="G49" s="9">
        <v>10307.88678923057</v>
      </c>
      <c r="H49" s="9">
        <v>55001.360491845939</v>
      </c>
      <c r="I49" s="9">
        <v>1599.9099047394116</v>
      </c>
      <c r="J49" s="20">
        <v>71.03</v>
      </c>
      <c r="K49" s="9">
        <v>71.53</v>
      </c>
      <c r="L49" s="31">
        <f>Table1[[#This Row],[TN550 I (O2)]]/(Table1[[#This Row],[Flowmeter A]]+Table1[[#This Row],[Flowmeter B]])</f>
        <v>2.0806890551168689E-2</v>
      </c>
      <c r="M49" s="33">
        <f>Table1[[#This Row],[TN120 Venting2]]/100</f>
        <v>2.86E-2</v>
      </c>
      <c r="N49" s="31">
        <f>Table1[[#This Row],[TN550 I Venting2]]/100</f>
        <v>0</v>
      </c>
      <c r="O49" s="31">
        <f>(Table1[[#This Row],[TN550 I (O2)]]-Table1[[#This Row],[O2]])/Table1[[#This Row],[TN550 I (O2)]]</f>
        <v>0.10127018286682579</v>
      </c>
      <c r="P49" s="9">
        <f>Table1[[#This Row],[M-N2]]+Table1[[#This Row],[TEN-N2]]</f>
        <v>63666.137624069524</v>
      </c>
      <c r="Q49" s="9">
        <v>1437.8867361160055</v>
      </c>
      <c r="R49" s="9">
        <f>SUM(Table1[[#This Row],[TEN-CDA]:[TEN-CDA WWT]])</f>
        <v>98909.504570542049</v>
      </c>
      <c r="S49" s="9">
        <v>431.83658160938313</v>
      </c>
      <c r="T49" s="9">
        <v>251.61300969438199</v>
      </c>
      <c r="U49" s="9">
        <v>40.169414803520162</v>
      </c>
      <c r="V49" s="42">
        <v>2.86</v>
      </c>
      <c r="W49" s="9">
        <v>0</v>
      </c>
      <c r="X49" s="9">
        <v>75293.180939885497</v>
      </c>
      <c r="Y49" s="9">
        <v>1600.0915462115338</v>
      </c>
      <c r="Z49" s="1">
        <v>61487.095764117803</v>
      </c>
      <c r="AA49" s="1">
        <v>2179.0418599517207</v>
      </c>
      <c r="AB49" s="1">
        <v>34671.260317270993</v>
      </c>
      <c r="AC49" s="1">
        <v>54649.06361413515</v>
      </c>
      <c r="AD49" s="1">
        <v>6863.6929869800706</v>
      </c>
      <c r="AE49" s="1">
        <v>2721.7319557883525</v>
      </c>
      <c r="AF49" s="1">
        <v>3.7556963674956769</v>
      </c>
      <c r="AG49" s="1"/>
      <c r="AH49" s="1"/>
      <c r="AI49" s="1"/>
      <c r="AJ49" s="1"/>
      <c r="AK49" s="1"/>
      <c r="AL49" s="1"/>
      <c r="AM49" s="1"/>
      <c r="AN49" s="1"/>
      <c r="AO49" s="1"/>
      <c r="AP49" s="1"/>
      <c r="AQ49" s="1"/>
      <c r="AU49" s="18"/>
    </row>
    <row r="50" spans="1:47" x14ac:dyDescent="0.3">
      <c r="A50" s="9">
        <f t="shared" si="1"/>
        <v>2020</v>
      </c>
      <c r="B50" s="9">
        <f t="shared" si="2"/>
        <v>2</v>
      </c>
      <c r="C50" s="10">
        <v>43875</v>
      </c>
      <c r="D50" s="9">
        <v>0.20499999999999999</v>
      </c>
      <c r="E50" s="9">
        <v>0.14599999999999999</v>
      </c>
      <c r="F50" s="9">
        <v>12.057782927624968</v>
      </c>
      <c r="G50" s="9">
        <v>10836.617794496564</v>
      </c>
      <c r="H50" s="9">
        <v>55001.42129760149</v>
      </c>
      <c r="I50" s="9">
        <v>1600.259544695524</v>
      </c>
      <c r="J50" s="20">
        <v>71.14</v>
      </c>
      <c r="K50" s="9">
        <v>71.53</v>
      </c>
      <c r="L50" s="31">
        <f>Table1[[#This Row],[TN550 I (O2)]]/(Table1[[#This Row],[Flowmeter A]]+Table1[[#This Row],[Flowmeter B]])</f>
        <v>2.0810437819510447E-2</v>
      </c>
      <c r="M50" s="33">
        <f>Table1[[#This Row],[TN120 Venting2]]/100</f>
        <v>8.5000000000000006E-3</v>
      </c>
      <c r="N50" s="31">
        <f>Table1[[#This Row],[TN550 I Venting2]]/100</f>
        <v>0</v>
      </c>
      <c r="O50" s="31">
        <f>(Table1[[#This Row],[TN550 I (O2)]]-Table1[[#This Row],[O2]])/Table1[[#This Row],[TN550 I (O2)]]</f>
        <v>0.10011854733182873</v>
      </c>
      <c r="P50" s="9">
        <f>Table1[[#This Row],[M-N2]]+Table1[[#This Row],[TEN-N2]]</f>
        <v>64367.142529584897</v>
      </c>
      <c r="Q50" s="9">
        <v>1440.0438837267145</v>
      </c>
      <c r="R50" s="9">
        <f>SUM(Table1[[#This Row],[TEN-CDA]:[TEN-CDA WWT]])</f>
        <v>98783.950941085684</v>
      </c>
      <c r="S50" s="9">
        <v>430.18407082805857</v>
      </c>
      <c r="T50" s="9">
        <v>252.65293380239621</v>
      </c>
      <c r="U50" s="9">
        <v>39.271030144092528</v>
      </c>
      <c r="V50" s="42">
        <v>0.85</v>
      </c>
      <c r="W50" s="9">
        <v>0</v>
      </c>
      <c r="X50" s="9">
        <v>75296.616797146082</v>
      </c>
      <c r="Y50" s="9">
        <v>1600.3499353476318</v>
      </c>
      <c r="Z50" s="1">
        <v>62202.60331638185</v>
      </c>
      <c r="AA50" s="1">
        <v>2164.5392132030438</v>
      </c>
      <c r="AB50" s="1">
        <v>34347.113831540599</v>
      </c>
      <c r="AC50" s="1">
        <v>54797.531583427306</v>
      </c>
      <c r="AD50" s="1">
        <v>6915.0256745803699</v>
      </c>
      <c r="AE50" s="1">
        <v>2718.8789494532334</v>
      </c>
      <c r="AF50" s="1">
        <v>5.4009020841763844</v>
      </c>
      <c r="AG50" s="1"/>
      <c r="AH50" s="1"/>
      <c r="AI50" s="1"/>
      <c r="AJ50" s="1"/>
      <c r="AK50" s="1"/>
      <c r="AL50" s="1"/>
      <c r="AM50" s="1"/>
      <c r="AN50" s="1"/>
      <c r="AO50" s="1"/>
      <c r="AP50" s="1"/>
      <c r="AQ50" s="1"/>
      <c r="AU50" s="18"/>
    </row>
    <row r="51" spans="1:47" x14ac:dyDescent="0.3">
      <c r="A51" s="9">
        <f t="shared" si="1"/>
        <v>2020</v>
      </c>
      <c r="B51" s="9">
        <f t="shared" si="2"/>
        <v>2</v>
      </c>
      <c r="C51" s="10">
        <v>43876</v>
      </c>
      <c r="D51" s="9">
        <v>0.20399999999999999</v>
      </c>
      <c r="E51" s="9">
        <v>0.14499999999999999</v>
      </c>
      <c r="F51" s="9">
        <v>12.334582502853532</v>
      </c>
      <c r="G51" s="9">
        <v>11089.972822285956</v>
      </c>
      <c r="H51" s="9">
        <v>54997.337550420714</v>
      </c>
      <c r="I51" s="9">
        <v>1599.988329197118</v>
      </c>
      <c r="J51" s="20">
        <v>71.13</v>
      </c>
      <c r="K51" s="9">
        <v>71.5</v>
      </c>
      <c r="L51" s="31">
        <f>Table1[[#This Row],[TN550 I (O2)]]/(Table1[[#This Row],[Flowmeter A]]+Table1[[#This Row],[Flowmeter B]])</f>
        <v>2.0800974608849408E-2</v>
      </c>
      <c r="M51" s="33">
        <f>Table1[[#This Row],[TN120 Venting2]]/100</f>
        <v>0.01</v>
      </c>
      <c r="N51" s="31">
        <f>Table1[[#This Row],[TN550 I Venting2]]/100</f>
        <v>0</v>
      </c>
      <c r="O51" s="31">
        <f>(Table1[[#This Row],[TN550 I (O2)]]-Table1[[#This Row],[O2]])/Table1[[#This Row],[TN550 I (O2)]]</f>
        <v>9.9945100520184973E-2</v>
      </c>
      <c r="P51" s="9">
        <f>Table1[[#This Row],[M-N2]]+Table1[[#This Row],[TEN-N2]]</f>
        <v>64730.500277263098</v>
      </c>
      <c r="Q51" s="9">
        <v>1440.0773348043892</v>
      </c>
      <c r="R51" s="9">
        <f>SUM(Table1[[#This Row],[TEN-CDA]:[TEN-CDA WWT]])</f>
        <v>99319.436394407487</v>
      </c>
      <c r="S51" s="9">
        <v>432.9158428756005</v>
      </c>
      <c r="T51" s="9">
        <v>252.00127166811581</v>
      </c>
      <c r="U51" s="9">
        <v>39.055423240211589</v>
      </c>
      <c r="V51" s="42">
        <v>1</v>
      </c>
      <c r="W51" s="9">
        <v>0</v>
      </c>
      <c r="X51" s="9">
        <v>75318.766562933728</v>
      </c>
      <c r="Y51" s="9">
        <v>1600.1451363494048</v>
      </c>
      <c r="Z51" s="1">
        <v>62556.898781770469</v>
      </c>
      <c r="AA51" s="1">
        <v>2173.6014954926318</v>
      </c>
      <c r="AB51" s="1">
        <v>34547.511206410476</v>
      </c>
      <c r="AC51" s="1">
        <v>55058.929958579109</v>
      </c>
      <c r="AD51" s="1">
        <v>6950.2532631148079</v>
      </c>
      <c r="AE51" s="1">
        <v>2758.3448477009779</v>
      </c>
      <c r="AF51" s="1">
        <v>4.3971186021212318</v>
      </c>
      <c r="AG51" s="1"/>
      <c r="AH51" s="1"/>
      <c r="AI51" s="1"/>
      <c r="AJ51" s="1"/>
      <c r="AK51" s="1"/>
      <c r="AL51" s="1"/>
      <c r="AM51" s="1"/>
      <c r="AN51" s="1"/>
      <c r="AO51" s="1"/>
      <c r="AP51" s="1"/>
      <c r="AQ51" s="1"/>
      <c r="AU51" s="18"/>
    </row>
    <row r="52" spans="1:47" x14ac:dyDescent="0.3">
      <c r="A52" s="9">
        <f t="shared" si="1"/>
        <v>2020</v>
      </c>
      <c r="B52" s="9">
        <f t="shared" si="2"/>
        <v>2</v>
      </c>
      <c r="C52" s="10">
        <v>43877</v>
      </c>
      <c r="D52" s="9">
        <v>0.20599999999999999</v>
      </c>
      <c r="E52" s="9">
        <v>0.14299999999999999</v>
      </c>
      <c r="F52" s="9">
        <v>12.73000584270787</v>
      </c>
      <c r="G52" s="9">
        <v>11167.863075229876</v>
      </c>
      <c r="H52" s="9">
        <v>54999.036628209578</v>
      </c>
      <c r="I52" s="9">
        <v>1600.051215484852</v>
      </c>
      <c r="J52" s="20">
        <v>71.150000000000006</v>
      </c>
      <c r="K52" s="9">
        <v>71.53</v>
      </c>
      <c r="L52" s="31">
        <f>Table1[[#This Row],[TN550 I (O2)]]/(Table1[[#This Row],[Flowmeter A]]+Table1[[#This Row],[Flowmeter B]])</f>
        <v>2.0809891917414704E-2</v>
      </c>
      <c r="M52" s="33">
        <f>Table1[[#This Row],[TN120 Venting2]]/100</f>
        <v>1.15E-2</v>
      </c>
      <c r="N52" s="31">
        <f>Table1[[#This Row],[TN550 I Venting2]]/100</f>
        <v>0</v>
      </c>
      <c r="O52" s="31">
        <f>(Table1[[#This Row],[TN550 I (O2)]]-Table1[[#This Row],[O2]])/Table1[[#This Row],[TN550 I (O2)]]</f>
        <v>0.1007251352153358</v>
      </c>
      <c r="P52" s="9">
        <f>Table1[[#This Row],[M-N2]]+Table1[[#This Row],[TEN-N2]]</f>
        <v>64704.548070882447</v>
      </c>
      <c r="Q52" s="9">
        <v>1438.8858404536779</v>
      </c>
      <c r="R52" s="9">
        <f>SUM(Table1[[#This Row],[TEN-CDA]:[TEN-CDA WWT]])</f>
        <v>100126.46363732465</v>
      </c>
      <c r="S52" s="9">
        <v>432.00173524516401</v>
      </c>
      <c r="T52" s="9">
        <v>255.02065247979783</v>
      </c>
      <c r="U52" s="9">
        <v>38.799176746238693</v>
      </c>
      <c r="V52" s="42">
        <v>1.1499999999999999</v>
      </c>
      <c r="W52" s="9">
        <v>0</v>
      </c>
      <c r="X52" s="9">
        <v>75288.884986554476</v>
      </c>
      <c r="Y52" s="9">
        <v>1600.08790358597</v>
      </c>
      <c r="Z52" s="1">
        <v>62532.969815340912</v>
      </c>
      <c r="AA52" s="1">
        <v>2171.5782555415349</v>
      </c>
      <c r="AB52" s="1">
        <v>35397.411812543374</v>
      </c>
      <c r="AC52" s="1">
        <v>54988.919901544061</v>
      </c>
      <c r="AD52" s="1">
        <v>6977.8645038167942</v>
      </c>
      <c r="AE52" s="1">
        <v>2757.7784861790315</v>
      </c>
      <c r="AF52" s="1">
        <v>4.4889332414045668</v>
      </c>
      <c r="AG52" s="1"/>
      <c r="AH52" s="1"/>
      <c r="AI52" s="1"/>
      <c r="AJ52" s="1"/>
      <c r="AK52" s="1"/>
      <c r="AL52" s="1"/>
      <c r="AM52" s="1"/>
      <c r="AN52" s="1"/>
      <c r="AO52" s="1"/>
      <c r="AP52" s="1"/>
      <c r="AQ52" s="1"/>
      <c r="AU52" s="18"/>
    </row>
    <row r="53" spans="1:47" x14ac:dyDescent="0.3">
      <c r="A53" s="9">
        <f t="shared" si="1"/>
        <v>2020</v>
      </c>
      <c r="B53" s="9">
        <f t="shared" si="2"/>
        <v>2</v>
      </c>
      <c r="C53" s="10">
        <v>43878</v>
      </c>
      <c r="D53" s="9">
        <v>0.20799999999999999</v>
      </c>
      <c r="E53" s="9">
        <v>0.14599999999999999</v>
      </c>
      <c r="F53" s="9">
        <v>12.539628754879848</v>
      </c>
      <c r="G53" s="9">
        <v>11031.436923279192</v>
      </c>
      <c r="H53" s="9">
        <v>55002.115132720333</v>
      </c>
      <c r="I53" s="9">
        <v>1599.8713023114915</v>
      </c>
      <c r="J53" s="20">
        <v>71.010000000000005</v>
      </c>
      <c r="K53" s="9">
        <v>71.53</v>
      </c>
      <c r="L53" s="31">
        <f>Table1[[#This Row],[TN550 I (O2)]]/(Table1[[#This Row],[Flowmeter A]]+Table1[[#This Row],[Flowmeter B]])</f>
        <v>2.0805306227165615E-2</v>
      </c>
      <c r="M53" s="33">
        <f>Table1[[#This Row],[TN120 Venting2]]/100</f>
        <v>1.7600000000000001E-2</v>
      </c>
      <c r="N53" s="31">
        <f>Table1[[#This Row],[TN550 I Venting2]]/100</f>
        <v>0</v>
      </c>
      <c r="O53" s="31">
        <f>(Table1[[#This Row],[TN550 I (O2)]]-Table1[[#This Row],[O2]])/Table1[[#This Row],[TN550 I (O2)]]</f>
        <v>0.10651053939876584</v>
      </c>
      <c r="P53" s="9">
        <f>Table1[[#This Row],[M-N2]]+Table1[[#This Row],[TEN-N2]]</f>
        <v>64398.499668182223</v>
      </c>
      <c r="Q53" s="9">
        <v>1429.4681469336886</v>
      </c>
      <c r="R53" s="9">
        <f>SUM(Table1[[#This Row],[TEN-CDA]:[TEN-CDA WWT]])</f>
        <v>100678.21691419027</v>
      </c>
      <c r="S53" s="9">
        <v>429.7270679778311</v>
      </c>
      <c r="T53" s="9">
        <v>254.23352510345055</v>
      </c>
      <c r="U53" s="9">
        <v>38.689380734435062</v>
      </c>
      <c r="V53" s="42">
        <v>1.76</v>
      </c>
      <c r="W53" s="9">
        <v>0</v>
      </c>
      <c r="X53" s="9">
        <v>75297.217280751211</v>
      </c>
      <c r="Y53" s="9">
        <v>1600.0552151724337</v>
      </c>
      <c r="Z53" s="1">
        <v>62244.46414707668</v>
      </c>
      <c r="AA53" s="1">
        <v>2154.0355211055421</v>
      </c>
      <c r="AB53" s="1">
        <v>36070.182270883939</v>
      </c>
      <c r="AC53" s="1">
        <v>55005.499568984211</v>
      </c>
      <c r="AD53" s="1">
        <v>6856.5604743613376</v>
      </c>
      <c r="AE53" s="1">
        <v>2740.5300367515506</v>
      </c>
      <c r="AF53" s="1">
        <v>5.444563209245306</v>
      </c>
      <c r="AG53" s="1"/>
      <c r="AH53" s="1"/>
      <c r="AI53" s="1"/>
      <c r="AJ53" s="1"/>
      <c r="AK53" s="1"/>
      <c r="AL53" s="1"/>
      <c r="AM53" s="1"/>
      <c r="AN53" s="1"/>
      <c r="AO53" s="1"/>
      <c r="AP53" s="1"/>
      <c r="AQ53" s="1"/>
      <c r="AU53" s="18"/>
    </row>
    <row r="54" spans="1:47" x14ac:dyDescent="0.3">
      <c r="A54" s="9">
        <f t="shared" si="1"/>
        <v>2020</v>
      </c>
      <c r="B54" s="9">
        <f t="shared" si="2"/>
        <v>2</v>
      </c>
      <c r="C54" s="10">
        <v>43879</v>
      </c>
      <c r="D54" s="9">
        <v>0.26500000000000001</v>
      </c>
      <c r="E54" s="9">
        <v>0.14599999999999999</v>
      </c>
      <c r="F54" s="9">
        <v>12.248200634301826</v>
      </c>
      <c r="G54" s="9">
        <v>11401.312874766872</v>
      </c>
      <c r="H54" s="9">
        <v>56168.710148659782</v>
      </c>
      <c r="I54" s="9">
        <v>1600.032612426673</v>
      </c>
      <c r="J54" s="20">
        <v>70.97</v>
      </c>
      <c r="K54" s="9">
        <v>71.48</v>
      </c>
      <c r="L54" s="31">
        <f>Table1[[#This Row],[TN550 I (O2)]]/(Table1[[#This Row],[Flowmeter A]]+Table1[[#This Row],[Flowmeter B]])</f>
        <v>2.0362459203406721E-2</v>
      </c>
      <c r="M54" s="33">
        <f>Table1[[#This Row],[TN120 Venting2]]/100</f>
        <v>9.0000000000000011E-3</v>
      </c>
      <c r="N54" s="31">
        <f>Table1[[#This Row],[TN550 I Venting2]]/100</f>
        <v>0</v>
      </c>
      <c r="O54" s="31">
        <f>(Table1[[#This Row],[TN550 I (O2)]]-Table1[[#This Row],[O2]])/Table1[[#This Row],[TN550 I (O2)]]</f>
        <v>0.10871995395662232</v>
      </c>
      <c r="P54" s="9">
        <f>Table1[[#This Row],[M-N2]]+Table1[[#This Row],[TEN-N2]]</f>
        <v>64038.684995652569</v>
      </c>
      <c r="Q54" s="9">
        <v>1426.077140474551</v>
      </c>
      <c r="R54" s="9">
        <f>SUM(Table1[[#This Row],[TEN-CDA]:[TEN-CDA WWT]])</f>
        <v>100267.29351689205</v>
      </c>
      <c r="S54" s="9">
        <v>430.19519830792416</v>
      </c>
      <c r="T54" s="9">
        <v>259.49642756910146</v>
      </c>
      <c r="U54" s="9">
        <v>40.098379116601038</v>
      </c>
      <c r="V54" s="42">
        <v>0.9</v>
      </c>
      <c r="W54" s="9">
        <v>0</v>
      </c>
      <c r="X54" s="9">
        <v>76978.043340128381</v>
      </c>
      <c r="Y54" s="9">
        <v>1599.5290662036184</v>
      </c>
      <c r="Z54" s="1">
        <v>61892.930514291293</v>
      </c>
      <c r="AA54" s="1">
        <v>2145.7544813612781</v>
      </c>
      <c r="AB54" s="1">
        <v>35498.366455586402</v>
      </c>
      <c r="AC54" s="1">
        <v>54917.337645298401</v>
      </c>
      <c r="AD54" s="1">
        <v>7115.9544546430434</v>
      </c>
      <c r="AE54" s="1">
        <v>2731.9445695738095</v>
      </c>
      <c r="AF54" s="1">
        <v>3.6903917904035817</v>
      </c>
      <c r="AG54" s="1"/>
      <c r="AH54" s="1"/>
      <c r="AI54" s="1"/>
      <c r="AJ54" s="1"/>
      <c r="AK54" s="1"/>
      <c r="AL54" s="1"/>
      <c r="AM54" s="1"/>
      <c r="AN54" s="1"/>
      <c r="AO54" s="1"/>
      <c r="AP54" s="1"/>
      <c r="AQ54" s="1"/>
      <c r="AU54" s="18"/>
    </row>
    <row r="55" spans="1:47" x14ac:dyDescent="0.3">
      <c r="A55" s="9">
        <f t="shared" si="1"/>
        <v>2020</v>
      </c>
      <c r="B55" s="9">
        <f t="shared" si="2"/>
        <v>2</v>
      </c>
      <c r="C55" s="10">
        <v>43880</v>
      </c>
      <c r="D55" s="9">
        <v>0.21199999999999999</v>
      </c>
      <c r="E55" s="9">
        <v>0.14399999999999999</v>
      </c>
      <c r="F55" s="9">
        <v>13.342368468073488</v>
      </c>
      <c r="G55" s="9">
        <v>11876.667705803262</v>
      </c>
      <c r="H55" s="9">
        <v>57199.177852294415</v>
      </c>
      <c r="I55" s="9">
        <v>1599.8387219907509</v>
      </c>
      <c r="J55" s="20">
        <v>70.73</v>
      </c>
      <c r="K55" s="9">
        <v>71.59</v>
      </c>
      <c r="L55" s="31">
        <f>Table1[[#This Row],[TN550 I (O2)]]/(Table1[[#This Row],[Flowmeter A]]+Table1[[#This Row],[Flowmeter B]])</f>
        <v>2.00227534695341E-2</v>
      </c>
      <c r="M55" s="33">
        <f>Table1[[#This Row],[TN120 Venting2]]/100</f>
        <v>0</v>
      </c>
      <c r="N55" s="31">
        <f>Table1[[#This Row],[TN550 I Venting2]]/100</f>
        <v>0</v>
      </c>
      <c r="O55" s="31">
        <f>(Table1[[#This Row],[TN550 I (O2)]]-Table1[[#This Row],[O2]])/Table1[[#This Row],[TN550 I (O2)]]</f>
        <v>0.10714023858673236</v>
      </c>
      <c r="P55" s="9">
        <f>Table1[[#This Row],[M-N2]]+Table1[[#This Row],[TEN-N2]]</f>
        <v>64048.965984654213</v>
      </c>
      <c r="Q55" s="9">
        <v>1428.4316196163688</v>
      </c>
      <c r="R55" s="9">
        <f>SUM(Table1[[#This Row],[TEN-CDA]:[TEN-CDA WWT]])</f>
        <v>100001.24230752398</v>
      </c>
      <c r="S55" s="9">
        <v>429.81268513856207</v>
      </c>
      <c r="T55" s="9">
        <v>254.65378437664344</v>
      </c>
      <c r="U55" s="9">
        <v>39.83657867622243</v>
      </c>
      <c r="V55" s="42">
        <v>0</v>
      </c>
      <c r="W55" s="9">
        <v>0</v>
      </c>
      <c r="X55" s="9">
        <v>78301.410771599578</v>
      </c>
      <c r="Y55" s="9">
        <v>1599.6240398716711</v>
      </c>
      <c r="Z55" s="1">
        <v>61891.962016394864</v>
      </c>
      <c r="AA55" s="1">
        <v>2157.0039682593469</v>
      </c>
      <c r="AB55" s="1">
        <v>35431.025744383238</v>
      </c>
      <c r="AC55" s="1">
        <v>54896.407730091953</v>
      </c>
      <c r="AD55" s="1">
        <v>6960.4307575847934</v>
      </c>
      <c r="AE55" s="1">
        <v>2710.510065506267</v>
      </c>
      <c r="AF55" s="1">
        <v>2.8680099577198321</v>
      </c>
      <c r="AG55" s="1"/>
      <c r="AH55" s="1"/>
      <c r="AI55" s="1"/>
      <c r="AJ55" s="1"/>
      <c r="AK55" s="1"/>
      <c r="AL55" s="1"/>
      <c r="AM55" s="1"/>
      <c r="AN55" s="1"/>
      <c r="AO55" s="1"/>
      <c r="AP55" s="1"/>
      <c r="AQ55" s="1"/>
      <c r="AU55" s="18"/>
    </row>
    <row r="56" spans="1:47" x14ac:dyDescent="0.3">
      <c r="A56" s="9">
        <f t="shared" si="1"/>
        <v>2020</v>
      </c>
      <c r="B56" s="9">
        <f t="shared" si="2"/>
        <v>2</v>
      </c>
      <c r="C56" s="10">
        <v>43881</v>
      </c>
      <c r="D56" s="9">
        <v>0.218</v>
      </c>
      <c r="E56" s="9">
        <v>0.14499999999999999</v>
      </c>
      <c r="F56" s="9">
        <v>12.964741790898552</v>
      </c>
      <c r="G56" s="9">
        <v>11960.020270618275</v>
      </c>
      <c r="H56" s="9">
        <v>57196.323408223456</v>
      </c>
      <c r="I56" s="9">
        <v>1600.0496276389551</v>
      </c>
      <c r="J56" s="20">
        <v>71.2</v>
      </c>
      <c r="K56" s="9">
        <v>71.599999999999994</v>
      </c>
      <c r="L56" s="31">
        <f>Table1[[#This Row],[TN550 I (O2)]]/(Table1[[#This Row],[Flowmeter A]]+Table1[[#This Row],[Flowmeter B]])</f>
        <v>2.0030490885871523E-2</v>
      </c>
      <c r="M56" s="33">
        <f>Table1[[#This Row],[TN120 Venting2]]/100</f>
        <v>0</v>
      </c>
      <c r="N56" s="31">
        <f>Table1[[#This Row],[TN550 I Venting2]]/100</f>
        <v>0</v>
      </c>
      <c r="O56" s="31">
        <f>(Table1[[#This Row],[TN550 I (O2)]]-Table1[[#This Row],[O2]])/Table1[[#This Row],[TN550 I (O2)]]</f>
        <v>0.10931102826521918</v>
      </c>
      <c r="P56" s="9">
        <f>Table1[[#This Row],[M-N2]]+Table1[[#This Row],[TEN-N2]]</f>
        <v>64361.246602616317</v>
      </c>
      <c r="Q56" s="9">
        <v>1425.1465575663599</v>
      </c>
      <c r="R56" s="9">
        <f>SUM(Table1[[#This Row],[TEN-CDA]:[TEN-CDA WWT]])</f>
        <v>100065.69962148444</v>
      </c>
      <c r="S56" s="9">
        <v>425.79473762591624</v>
      </c>
      <c r="T56" s="9">
        <v>252.17300209611923</v>
      </c>
      <c r="U56" s="9">
        <v>39.109450577862304</v>
      </c>
      <c r="V56" s="42">
        <v>0</v>
      </c>
      <c r="W56" s="9">
        <v>0</v>
      </c>
      <c r="X56" s="9">
        <v>78281.124479528109</v>
      </c>
      <c r="Y56" s="9">
        <v>1599.5752374991869</v>
      </c>
      <c r="Z56" s="1">
        <v>62216.802459229701</v>
      </c>
      <c r="AA56" s="1">
        <v>2144.4441433866182</v>
      </c>
      <c r="AB56" s="1">
        <v>35266.19945458883</v>
      </c>
      <c r="AC56" s="1">
        <v>54965.410720094551</v>
      </c>
      <c r="AD56" s="1">
        <v>7102.970688893347</v>
      </c>
      <c r="AE56" s="1">
        <v>2728.5448551217687</v>
      </c>
      <c r="AF56" s="1">
        <v>2.573902785938329</v>
      </c>
      <c r="AG56" s="1"/>
      <c r="AH56" s="1"/>
      <c r="AI56" s="1"/>
      <c r="AJ56" s="1"/>
      <c r="AK56" s="1"/>
      <c r="AL56" s="1"/>
      <c r="AM56" s="1"/>
      <c r="AN56" s="1"/>
      <c r="AO56" s="1"/>
      <c r="AP56" s="1"/>
      <c r="AQ56" s="1"/>
      <c r="AU56" s="18"/>
    </row>
    <row r="57" spans="1:47" x14ac:dyDescent="0.3">
      <c r="A57" s="9">
        <f t="shared" si="1"/>
        <v>2020</v>
      </c>
      <c r="B57" s="9">
        <f t="shared" si="2"/>
        <v>2</v>
      </c>
      <c r="C57" s="10">
        <v>43882</v>
      </c>
      <c r="D57" s="9">
        <v>0.214</v>
      </c>
      <c r="E57" s="9">
        <v>0.14399999999999999</v>
      </c>
      <c r="F57" s="9">
        <v>13.222107360463934</v>
      </c>
      <c r="G57" s="9">
        <v>12008.717583004423</v>
      </c>
      <c r="H57" s="9">
        <v>57199.391213241674</v>
      </c>
      <c r="I57" s="9">
        <v>1600.0769755398539</v>
      </c>
      <c r="J57" s="20">
        <v>71.489999999999995</v>
      </c>
      <c r="K57" s="9">
        <v>71.59</v>
      </c>
      <c r="L57" s="31">
        <f>Table1[[#This Row],[TN550 I (O2)]]/(Table1[[#This Row],[Flowmeter A]]+Table1[[#This Row],[Flowmeter B]])</f>
        <v>2.0027622580869146E-2</v>
      </c>
      <c r="M57" s="33">
        <f>Table1[[#This Row],[TN120 Venting2]]/100</f>
        <v>0</v>
      </c>
      <c r="N57" s="31">
        <f>Table1[[#This Row],[TN550 I Venting2]]/100</f>
        <v>0</v>
      </c>
      <c r="O57" s="31">
        <f>(Table1[[#This Row],[TN550 I (O2)]]-Table1[[#This Row],[O2]])/Table1[[#This Row],[TN550 I (O2)]]</f>
        <v>0.1105928281777028</v>
      </c>
      <c r="P57" s="9">
        <f>Table1[[#This Row],[M-N2]]+Table1[[#This Row],[TEN-N2]]</f>
        <v>64388.904048244629</v>
      </c>
      <c r="Q57" s="9">
        <v>1423.1199375128765</v>
      </c>
      <c r="R57" s="9">
        <f>SUM(Table1[[#This Row],[TEN-CDA]:[TEN-CDA WWT]])</f>
        <v>99631.155113132234</v>
      </c>
      <c r="S57" s="9">
        <v>430.22275417732914</v>
      </c>
      <c r="T57" s="9">
        <v>255.78223851751241</v>
      </c>
      <c r="U57" s="9">
        <v>38.723621397528035</v>
      </c>
      <c r="V57" s="42">
        <v>0</v>
      </c>
      <c r="W57" s="9">
        <v>0</v>
      </c>
      <c r="X57" s="9">
        <v>78293.6597577637</v>
      </c>
      <c r="Y57" s="9">
        <v>1599.8457783494534</v>
      </c>
      <c r="Z57" s="1">
        <v>62210.156184941014</v>
      </c>
      <c r="AA57" s="1">
        <v>2178.7478633036139</v>
      </c>
      <c r="AB57" s="1">
        <v>34783.676250216864</v>
      </c>
      <c r="AC57" s="1">
        <v>55000.586287192054</v>
      </c>
      <c r="AD57" s="1">
        <v>7114.9226187733129</v>
      </c>
      <c r="AE57" s="1">
        <v>2728.0273672999979</v>
      </c>
      <c r="AF57" s="1">
        <v>3.9425896500042743</v>
      </c>
      <c r="AG57" s="1"/>
      <c r="AH57" s="1"/>
      <c r="AI57" s="1"/>
      <c r="AJ57" s="1"/>
      <c r="AK57" s="1"/>
      <c r="AL57" s="1"/>
      <c r="AM57" s="1"/>
      <c r="AN57" s="1"/>
      <c r="AO57" s="1"/>
      <c r="AP57" s="1"/>
      <c r="AQ57" s="1"/>
      <c r="AU57" s="18"/>
    </row>
    <row r="58" spans="1:47" x14ac:dyDescent="0.3">
      <c r="A58" s="9">
        <f t="shared" si="1"/>
        <v>2020</v>
      </c>
      <c r="B58" s="9">
        <f t="shared" si="2"/>
        <v>2</v>
      </c>
      <c r="C58" s="10">
        <v>43883</v>
      </c>
      <c r="D58" s="9">
        <v>0.22</v>
      </c>
      <c r="E58" s="9">
        <v>0.14399999999999999</v>
      </c>
      <c r="F58" s="9">
        <v>13.096610247302932</v>
      </c>
      <c r="G58" s="9">
        <v>12011.970726844422</v>
      </c>
      <c r="H58" s="9">
        <v>57202.365571868497</v>
      </c>
      <c r="I58" s="9">
        <v>1599.95118026151</v>
      </c>
      <c r="J58" s="20">
        <v>71.5</v>
      </c>
      <c r="K58" s="9">
        <v>71.599999999999994</v>
      </c>
      <c r="L58" s="31">
        <f>Table1[[#This Row],[TN550 I (O2)]]/(Table1[[#This Row],[Flowmeter A]]+Table1[[#This Row],[Flowmeter B]])</f>
        <v>2.0026620768566664E-2</v>
      </c>
      <c r="M58" s="33">
        <f>Table1[[#This Row],[TN120 Venting2]]/100</f>
        <v>0</v>
      </c>
      <c r="N58" s="31">
        <f>Table1[[#This Row],[TN550 I Venting2]]/100</f>
        <v>0</v>
      </c>
      <c r="O58" s="31">
        <f>(Table1[[#This Row],[TN550 I (O2)]]-Table1[[#This Row],[O2]])/Table1[[#This Row],[TN550 I (O2)]]</f>
        <v>0.1090606371013805</v>
      </c>
      <c r="P58" s="9">
        <f>Table1[[#This Row],[M-N2]]+Table1[[#This Row],[TEN-N2]]</f>
        <v>64055.450434576371</v>
      </c>
      <c r="Q58" s="9">
        <v>1425.459485211084</v>
      </c>
      <c r="R58" s="9">
        <f>SUM(Table1[[#This Row],[TEN-CDA]:[TEN-CDA WWT]])</f>
        <v>99754.890268113857</v>
      </c>
      <c r="S58" s="9">
        <v>430.51048897006928</v>
      </c>
      <c r="T58" s="9">
        <v>252.58732694051929</v>
      </c>
      <c r="U58" s="9">
        <v>40.201861881894978</v>
      </c>
      <c r="V58" s="42">
        <v>0</v>
      </c>
      <c r="W58" s="9">
        <v>0</v>
      </c>
      <c r="X58" s="9">
        <v>78290.810065709578</v>
      </c>
      <c r="Y58" s="9">
        <v>1600.4106624902413</v>
      </c>
      <c r="Z58" s="1">
        <v>61919.610194796733</v>
      </c>
      <c r="AA58" s="1">
        <v>2135.8402397796399</v>
      </c>
      <c r="AB58" s="1">
        <v>35064.00168069049</v>
      </c>
      <c r="AC58" s="1">
        <v>54919.301492464387</v>
      </c>
      <c r="AD58" s="1">
        <v>7055.0530550322492</v>
      </c>
      <c r="AE58" s="1">
        <v>2713.1548057699301</v>
      </c>
      <c r="AF58" s="1">
        <v>3.379234156798181</v>
      </c>
      <c r="AG58" s="1"/>
      <c r="AH58" s="1"/>
      <c r="AI58" s="1"/>
      <c r="AJ58" s="1"/>
      <c r="AK58" s="1"/>
      <c r="AL58" s="1"/>
      <c r="AM58" s="1"/>
      <c r="AN58" s="1"/>
      <c r="AO58" s="1"/>
      <c r="AP58" s="1"/>
      <c r="AQ58" s="1"/>
      <c r="AU58" s="18"/>
    </row>
    <row r="59" spans="1:47" x14ac:dyDescent="0.3">
      <c r="A59" s="9">
        <f t="shared" si="1"/>
        <v>2020</v>
      </c>
      <c r="B59" s="9">
        <f t="shared" si="2"/>
        <v>2</v>
      </c>
      <c r="C59" s="10">
        <v>43884</v>
      </c>
      <c r="D59" s="9">
        <v>0.22600000000000001</v>
      </c>
      <c r="E59" s="9">
        <v>0.14499999999999999</v>
      </c>
      <c r="F59" s="9">
        <v>13.961885078345464</v>
      </c>
      <c r="G59" s="9">
        <v>12010.783619909134</v>
      </c>
      <c r="H59" s="9">
        <v>57199.454447866061</v>
      </c>
      <c r="I59" s="9">
        <v>1599.8681144211378</v>
      </c>
      <c r="J59" s="20">
        <v>71.5</v>
      </c>
      <c r="K59" s="9">
        <v>71.58</v>
      </c>
      <c r="L59" s="31">
        <f>Table1[[#This Row],[TN550 I (O2)]]/(Table1[[#This Row],[Flowmeter A]]+Table1[[#This Row],[Flowmeter B]])</f>
        <v>2.0021971955121121E-2</v>
      </c>
      <c r="M59" s="33">
        <f>Table1[[#This Row],[TN120 Venting2]]/100</f>
        <v>0</v>
      </c>
      <c r="N59" s="31">
        <f>Table1[[#This Row],[TN550 I Venting2]]/100</f>
        <v>0</v>
      </c>
      <c r="O59" s="31">
        <f>(Table1[[#This Row],[TN550 I (O2)]]-Table1[[#This Row],[O2]])/Table1[[#This Row],[TN550 I (O2)]]</f>
        <v>0.10959004928417691</v>
      </c>
      <c r="P59" s="9">
        <f>Table1[[#This Row],[M-N2]]+Table1[[#This Row],[TEN-N2]]</f>
        <v>63877.12134720898</v>
      </c>
      <c r="Q59" s="9">
        <v>1424.5384889135421</v>
      </c>
      <c r="R59" s="9">
        <f>SUM(Table1[[#This Row],[TEN-CDA]:[TEN-CDA WWT]])</f>
        <v>100001.38672545963</v>
      </c>
      <c r="S59" s="9">
        <v>432.98958859255049</v>
      </c>
      <c r="T59" s="9">
        <v>261.54611122401366</v>
      </c>
      <c r="U59" s="9">
        <v>40.148437638980987</v>
      </c>
      <c r="V59" s="42">
        <v>0</v>
      </c>
      <c r="W59" s="9">
        <v>0</v>
      </c>
      <c r="X59" s="9">
        <v>78305.410354137755</v>
      </c>
      <c r="Y59" s="9">
        <v>1600.2112303501528</v>
      </c>
      <c r="Z59" s="1">
        <v>61754.780724106531</v>
      </c>
      <c r="AA59" s="1">
        <v>2122.3406231024464</v>
      </c>
      <c r="AB59" s="1">
        <v>35500.45270753817</v>
      </c>
      <c r="AC59" s="1">
        <v>54885.312386146776</v>
      </c>
      <c r="AD59" s="1">
        <v>6919.9773320258282</v>
      </c>
      <c r="AE59" s="1">
        <v>2690.9512864059247</v>
      </c>
      <c r="AF59" s="1">
        <v>4.6930133429337175</v>
      </c>
      <c r="AG59" s="1"/>
      <c r="AH59" s="1"/>
      <c r="AI59" s="1"/>
      <c r="AJ59" s="1"/>
      <c r="AK59" s="1"/>
      <c r="AL59" s="1"/>
      <c r="AM59" s="1"/>
      <c r="AN59" s="1"/>
      <c r="AO59" s="1"/>
      <c r="AP59" s="1"/>
      <c r="AQ59" s="1"/>
      <c r="AU59" s="18"/>
    </row>
    <row r="60" spans="1:47" x14ac:dyDescent="0.3">
      <c r="A60" s="9">
        <f t="shared" si="1"/>
        <v>2020</v>
      </c>
      <c r="B60" s="9">
        <f t="shared" si="2"/>
        <v>2</v>
      </c>
      <c r="C60" s="10">
        <v>43885</v>
      </c>
      <c r="D60" s="9">
        <v>0.22</v>
      </c>
      <c r="E60" s="9">
        <v>0.14499999999999999</v>
      </c>
      <c r="F60" s="9">
        <v>14.443770196188002</v>
      </c>
      <c r="G60" s="9">
        <v>12009.249806178435</v>
      </c>
      <c r="H60" s="9">
        <v>57200.452994882027</v>
      </c>
      <c r="I60" s="9">
        <v>1599.965103138825</v>
      </c>
      <c r="J60" s="20">
        <v>71.52</v>
      </c>
      <c r="K60" s="9">
        <v>71.569999999999993</v>
      </c>
      <c r="L60" s="31">
        <f>Table1[[#This Row],[TN550 I (O2)]]/(Table1[[#This Row],[Flowmeter A]]+Table1[[#This Row],[Flowmeter B]])</f>
        <v>2.0019963527035004E-2</v>
      </c>
      <c r="M60" s="33">
        <f>Table1[[#This Row],[TN120 Venting2]]/100</f>
        <v>0</v>
      </c>
      <c r="N60" s="31">
        <f>Table1[[#This Row],[TN550 I Venting2]]/100</f>
        <v>0</v>
      </c>
      <c r="O60" s="31">
        <f>(Table1[[#This Row],[TN550 I (O2)]]-Table1[[#This Row],[O2]])/Table1[[#This Row],[TN550 I (O2)]]</f>
        <v>0.11391488422872421</v>
      </c>
      <c r="P60" s="9">
        <f>Table1[[#This Row],[M-N2]]+Table1[[#This Row],[TEN-N2]]</f>
        <v>63908.919588786543</v>
      </c>
      <c r="Q60" s="9">
        <v>1417.705263644767</v>
      </c>
      <c r="R60" s="9">
        <f>SUM(Table1[[#This Row],[TEN-CDA]:[TEN-CDA WWT]])</f>
        <v>100090.87058879143</v>
      </c>
      <c r="S60" s="9">
        <v>430.95362717405447</v>
      </c>
      <c r="T60" s="9">
        <v>247.72891272413159</v>
      </c>
      <c r="U60" s="9">
        <v>40.509451628558594</v>
      </c>
      <c r="V60" s="42">
        <v>0</v>
      </c>
      <c r="W60" s="9">
        <v>0</v>
      </c>
      <c r="X60" s="9">
        <v>78318.219243363987</v>
      </c>
      <c r="Y60" s="9">
        <v>1600.2631743601178</v>
      </c>
      <c r="Z60" s="1">
        <v>61802.303397163429</v>
      </c>
      <c r="AA60" s="1">
        <v>2106.6161916231131</v>
      </c>
      <c r="AB60" s="1">
        <v>35729.557997375952</v>
      </c>
      <c r="AC60" s="1">
        <v>54748.967568095075</v>
      </c>
      <c r="AD60" s="1">
        <v>6951.5879177329116</v>
      </c>
      <c r="AE60" s="1">
        <v>2656.8419222490893</v>
      </c>
      <c r="AF60" s="1">
        <v>3.9151833383864121</v>
      </c>
      <c r="AG60" s="1"/>
      <c r="AH60" s="1"/>
      <c r="AI60" s="1"/>
      <c r="AJ60" s="1"/>
      <c r="AK60" s="1"/>
      <c r="AL60" s="1"/>
      <c r="AM60" s="1"/>
      <c r="AN60" s="1"/>
      <c r="AO60" s="1"/>
      <c r="AP60" s="1"/>
      <c r="AQ60" s="1"/>
      <c r="AU60" s="18"/>
    </row>
    <row r="61" spans="1:47" x14ac:dyDescent="0.3">
      <c r="A61" s="9">
        <f t="shared" si="1"/>
        <v>2020</v>
      </c>
      <c r="B61" s="9">
        <f t="shared" si="2"/>
        <v>2</v>
      </c>
      <c r="C61" s="10">
        <v>43886</v>
      </c>
      <c r="D61" s="9">
        <v>0.221</v>
      </c>
      <c r="E61" s="9">
        <v>0.14599999999999999</v>
      </c>
      <c r="F61" s="9">
        <v>13.293124083757895</v>
      </c>
      <c r="G61" s="9">
        <v>12021.379762859991</v>
      </c>
      <c r="H61" s="9">
        <v>57195.355937716864</v>
      </c>
      <c r="I61" s="9">
        <v>1600.0014218946533</v>
      </c>
      <c r="J61" s="20">
        <v>71.55</v>
      </c>
      <c r="K61" s="9">
        <v>71.58</v>
      </c>
      <c r="L61" s="31">
        <f>Table1[[#This Row],[TN550 I (O2)]]/(Table1[[#This Row],[Flowmeter A]]+Table1[[#This Row],[Flowmeter B]])</f>
        <v>2.0025017002131169E-2</v>
      </c>
      <c r="M61" s="33">
        <f>Table1[[#This Row],[TN120 Venting2]]/100</f>
        <v>0</v>
      </c>
      <c r="N61" s="31">
        <f>Table1[[#This Row],[TN550 I Venting2]]/100</f>
        <v>0</v>
      </c>
      <c r="O61" s="31">
        <f>(Table1[[#This Row],[TN550 I (O2)]]-Table1[[#This Row],[O2]])/Table1[[#This Row],[TN550 I (O2)]]</f>
        <v>0.1154321673164168</v>
      </c>
      <c r="P61" s="9">
        <f>Table1[[#This Row],[M-N2]]+Table1[[#This Row],[TEN-N2]]</f>
        <v>63897.364832076659</v>
      </c>
      <c r="Q61" s="9">
        <v>1415.3097900560049</v>
      </c>
      <c r="R61" s="9">
        <f>SUM(Table1[[#This Row],[TEN-CDA]:[TEN-CDA WWT]])</f>
        <v>99637.309833896026</v>
      </c>
      <c r="S61" s="9">
        <v>431.86583038901887</v>
      </c>
      <c r="T61" s="9">
        <v>242.17534428317873</v>
      </c>
      <c r="U61" s="9">
        <v>39.850495017460034</v>
      </c>
      <c r="V61" s="42">
        <v>0</v>
      </c>
      <c r="W61" s="9">
        <v>0</v>
      </c>
      <c r="X61" s="9">
        <v>78300.21989395385</v>
      </c>
      <c r="Y61" s="9">
        <v>1599.9081171420942</v>
      </c>
      <c r="Z61" s="1">
        <v>61817.070927849585</v>
      </c>
      <c r="AA61" s="1">
        <v>2080.2939042270723</v>
      </c>
      <c r="AB61" s="1">
        <v>35217.843484342469</v>
      </c>
      <c r="AC61" s="1">
        <v>54749.100152888619</v>
      </c>
      <c r="AD61" s="1">
        <v>6993.2997541990153</v>
      </c>
      <c r="AE61" s="1">
        <v>2674.0708600798057</v>
      </c>
      <c r="AF61" s="1">
        <v>2.9955823861067699</v>
      </c>
      <c r="AG61" s="1"/>
      <c r="AH61" s="1"/>
      <c r="AI61" s="1"/>
      <c r="AJ61" s="1"/>
      <c r="AK61" s="1"/>
      <c r="AL61" s="1"/>
      <c r="AM61" s="1"/>
      <c r="AN61" s="1"/>
      <c r="AO61" s="1"/>
      <c r="AP61" s="1"/>
      <c r="AQ61" s="1"/>
      <c r="AU61" s="18"/>
    </row>
    <row r="62" spans="1:47" x14ac:dyDescent="0.3">
      <c r="A62" s="9">
        <f t="shared" si="1"/>
        <v>2020</v>
      </c>
      <c r="B62" s="9">
        <f t="shared" si="2"/>
        <v>2</v>
      </c>
      <c r="C62" s="10">
        <v>43887</v>
      </c>
      <c r="D62" s="9">
        <v>0.218</v>
      </c>
      <c r="E62" s="9">
        <v>0.14699999999999999</v>
      </c>
      <c r="F62" s="9">
        <v>13.392810556623672</v>
      </c>
      <c r="G62" s="9">
        <v>12017.71801130942</v>
      </c>
      <c r="H62" s="9">
        <v>57202.168055495313</v>
      </c>
      <c r="I62" s="9">
        <v>1599.8644324043903</v>
      </c>
      <c r="J62" s="20">
        <v>71.53</v>
      </c>
      <c r="K62" s="9">
        <v>71.59</v>
      </c>
      <c r="L62" s="31">
        <f>Table1[[#This Row],[TN550 I (O2)]]/(Table1[[#This Row],[Flowmeter A]]+Table1[[#This Row],[Flowmeter B]])</f>
        <v>2.0022546624203576E-2</v>
      </c>
      <c r="M62" s="33">
        <f>Table1[[#This Row],[TN120 Venting2]]/100</f>
        <v>0</v>
      </c>
      <c r="N62" s="31">
        <f>Table1[[#This Row],[TN550 I Venting2]]/100</f>
        <v>0</v>
      </c>
      <c r="O62" s="31">
        <f>(Table1[[#This Row],[TN550 I (O2)]]-Table1[[#This Row],[O2]])/Table1[[#This Row],[TN550 I (O2)]]</f>
        <v>0.11441591014387656</v>
      </c>
      <c r="P62" s="9">
        <f>Table1[[#This Row],[M-N2]]+Table1[[#This Row],[TEN-N2]]</f>
        <v>64022.469653879416</v>
      </c>
      <c r="Q62" s="9">
        <v>1416.8144872640255</v>
      </c>
      <c r="R62" s="9">
        <f>SUM(Table1[[#This Row],[TEN-CDA]:[TEN-CDA WWT]])</f>
        <v>99522.053105089013</v>
      </c>
      <c r="S62" s="9">
        <v>433.1414387879646</v>
      </c>
      <c r="T62" s="9">
        <v>239.56970903130556</v>
      </c>
      <c r="U62" s="9">
        <v>39.96314842679449</v>
      </c>
      <c r="V62" s="42">
        <v>0</v>
      </c>
      <c r="W62" s="9">
        <v>0</v>
      </c>
      <c r="X62" s="9">
        <v>78302.895786346286</v>
      </c>
      <c r="Y62" s="9">
        <v>1600.2485254990563</v>
      </c>
      <c r="Z62" s="1">
        <v>61969.293979875089</v>
      </c>
      <c r="AA62" s="1">
        <v>2053.1756740043265</v>
      </c>
      <c r="AB62" s="1">
        <v>35118.192414664292</v>
      </c>
      <c r="AC62" s="1">
        <v>54803.602782356</v>
      </c>
      <c r="AD62" s="1">
        <v>6916.2446411048104</v>
      </c>
      <c r="AE62" s="1">
        <v>2678.7152291906118</v>
      </c>
      <c r="AF62" s="1">
        <v>5.2980377733045616</v>
      </c>
      <c r="AG62" s="1"/>
      <c r="AH62" s="1"/>
      <c r="AI62" s="1"/>
      <c r="AJ62" s="1"/>
      <c r="AK62" s="1"/>
      <c r="AL62" s="1"/>
      <c r="AM62" s="1"/>
      <c r="AN62" s="1"/>
      <c r="AO62" s="1"/>
      <c r="AP62" s="1"/>
      <c r="AQ62" s="1"/>
      <c r="AU62" s="18"/>
    </row>
    <row r="63" spans="1:47" x14ac:dyDescent="0.3">
      <c r="A63" s="9">
        <f t="shared" si="1"/>
        <v>2020</v>
      </c>
      <c r="B63" s="9">
        <f t="shared" si="2"/>
        <v>2</v>
      </c>
      <c r="C63" s="10">
        <v>43888</v>
      </c>
      <c r="D63" s="9">
        <v>0.214</v>
      </c>
      <c r="E63" s="9">
        <v>0.14499999999999999</v>
      </c>
      <c r="F63" s="9">
        <v>12.158464841425708</v>
      </c>
      <c r="G63" s="9">
        <v>11320.989565487293</v>
      </c>
      <c r="H63" s="9">
        <v>56159.682536541462</v>
      </c>
      <c r="I63" s="9">
        <v>1581.0334305773172</v>
      </c>
      <c r="J63" s="20">
        <v>71.209999999999994</v>
      </c>
      <c r="K63" s="9">
        <v>71.62</v>
      </c>
      <c r="L63" s="31">
        <f>Table1[[#This Row],[TN550 I (O2)]]/(Table1[[#This Row],[Flowmeter A]]+Table1[[#This Row],[Flowmeter B]])</f>
        <v>2.0163962088891402E-2</v>
      </c>
      <c r="M63" s="33">
        <f>Table1[[#This Row],[TN120 Venting2]]/100</f>
        <v>3.9000000000000003E-3</v>
      </c>
      <c r="N63" s="31">
        <f>Table1[[#This Row],[TN550 I Venting2]]/100</f>
        <v>0</v>
      </c>
      <c r="O63" s="31">
        <f>(Table1[[#This Row],[TN550 I (O2)]]-Table1[[#This Row],[O2]])/Table1[[#This Row],[TN550 I (O2)]]</f>
        <v>0.10337096277865455</v>
      </c>
      <c r="P63" s="9">
        <f>Table1[[#This Row],[M-N2]]+Table1[[#This Row],[TEN-N2]]</f>
        <v>64265.101967170289</v>
      </c>
      <c r="Q63" s="9">
        <v>1417.6004826733008</v>
      </c>
      <c r="R63" s="9">
        <f>SUM(Table1[[#This Row],[TEN-CDA]:[TEN-CDA WWT]])</f>
        <v>100382.50495746105</v>
      </c>
      <c r="S63" s="9">
        <v>434.41098426961798</v>
      </c>
      <c r="T63" s="9">
        <v>239.74561482945057</v>
      </c>
      <c r="U63" s="9">
        <v>39.264340813006072</v>
      </c>
      <c r="V63" s="42">
        <v>0.39</v>
      </c>
      <c r="W63" s="9">
        <v>0</v>
      </c>
      <c r="X63" s="9">
        <v>76828.013532269251</v>
      </c>
      <c r="Y63" s="9">
        <v>1580.8539119087764</v>
      </c>
      <c r="Z63" s="1">
        <v>62197.722794500347</v>
      </c>
      <c r="AA63" s="1">
        <v>2067.3791726699396</v>
      </c>
      <c r="AB63" s="1">
        <v>35802.929565514401</v>
      </c>
      <c r="AC63" s="1">
        <v>54795.516774375435</v>
      </c>
      <c r="AD63" s="1">
        <v>7063.4814365024286</v>
      </c>
      <c r="AE63" s="1">
        <v>2715.6969237264702</v>
      </c>
      <c r="AF63" s="1">
        <v>4.8802573423235467</v>
      </c>
      <c r="AG63" s="1"/>
      <c r="AH63" s="1"/>
      <c r="AI63" s="1"/>
      <c r="AJ63" s="1"/>
      <c r="AK63" s="1"/>
      <c r="AL63" s="1"/>
      <c r="AM63" s="1"/>
      <c r="AN63" s="1"/>
      <c r="AO63" s="1"/>
      <c r="AP63" s="1"/>
      <c r="AQ63" s="1"/>
      <c r="AU63" s="18"/>
    </row>
    <row r="64" spans="1:47" x14ac:dyDescent="0.3">
      <c r="A64" s="9">
        <f t="shared" si="1"/>
        <v>2020</v>
      </c>
      <c r="B64" s="9">
        <f t="shared" si="2"/>
        <v>2</v>
      </c>
      <c r="C64" s="10">
        <v>43889</v>
      </c>
      <c r="D64" s="9">
        <v>0.20799999999999999</v>
      </c>
      <c r="E64" s="9">
        <v>0.13900000000000001</v>
      </c>
      <c r="F64" s="9">
        <v>12.008672583855994</v>
      </c>
      <c r="G64" s="9">
        <v>10445.505141015354</v>
      </c>
      <c r="H64" s="9">
        <v>55104.703149397123</v>
      </c>
      <c r="I64" s="9">
        <v>1503.1687854605364</v>
      </c>
      <c r="J64" s="20">
        <v>70.58</v>
      </c>
      <c r="K64" s="9">
        <v>71.760000000000005</v>
      </c>
      <c r="L64" s="31">
        <f>Table1[[#This Row],[TN550 I (O2)]]/(Table1[[#This Row],[Flowmeter A]]+Table1[[#This Row],[Flowmeter B]])</f>
        <v>1.9574971651796457E-2</v>
      </c>
      <c r="M64" s="33">
        <f>Table1[[#This Row],[TN120 Venting2]]/100</f>
        <v>2.64E-2</v>
      </c>
      <c r="N64" s="31">
        <f>Table1[[#This Row],[TN550 I Venting2]]/100</f>
        <v>0</v>
      </c>
      <c r="O64" s="31">
        <f>(Table1[[#This Row],[TN550 I (O2)]]-Table1[[#This Row],[O2]])/Table1[[#This Row],[TN550 I (O2)]]</f>
        <v>5.8843373197169715E-2</v>
      </c>
      <c r="P64" s="9">
        <f>Table1[[#This Row],[M-N2]]+Table1[[#This Row],[TEN-N2]]</f>
        <v>64192.504441715944</v>
      </c>
      <c r="Q64" s="9">
        <v>1414.7172636393457</v>
      </c>
      <c r="R64" s="9">
        <f>SUM(Table1[[#This Row],[TEN-CDA]:[TEN-CDA WWT]])</f>
        <v>100113.07351486935</v>
      </c>
      <c r="S64" s="9">
        <v>432.47298342978104</v>
      </c>
      <c r="T64" s="9">
        <v>256.68238015211267</v>
      </c>
      <c r="U64" s="9">
        <v>39.688916903250259</v>
      </c>
      <c r="V64" s="42">
        <v>2.64</v>
      </c>
      <c r="W64" s="9">
        <v>0</v>
      </c>
      <c r="X64" s="9">
        <v>75290.56954263532</v>
      </c>
      <c r="Y64" s="9">
        <v>1499.7733604965899</v>
      </c>
      <c r="Z64" s="1">
        <v>62119.977570914285</v>
      </c>
      <c r="AA64" s="1">
        <v>2072.5268708016624</v>
      </c>
      <c r="AB64" s="1">
        <v>35840.125867453156</v>
      </c>
      <c r="AC64" s="1">
        <v>54617.033765614156</v>
      </c>
      <c r="AD64" s="1">
        <v>6946.7791426987551</v>
      </c>
      <c r="AE64" s="1">
        <v>2704.9346653596135</v>
      </c>
      <c r="AF64" s="1">
        <v>4.2000737436668976</v>
      </c>
      <c r="AG64" s="1"/>
      <c r="AH64" s="1"/>
      <c r="AI64" s="1"/>
      <c r="AJ64" s="1"/>
      <c r="AK64" s="1"/>
      <c r="AL64" s="1"/>
      <c r="AM64" s="1"/>
      <c r="AN64" s="1"/>
      <c r="AO64" s="1"/>
      <c r="AP64" s="1"/>
      <c r="AQ64" s="1"/>
      <c r="AU64" s="18"/>
    </row>
    <row r="65" spans="1:47" x14ac:dyDescent="0.3">
      <c r="A65" s="9">
        <f t="shared" si="1"/>
        <v>2020</v>
      </c>
      <c r="B65" s="9">
        <f t="shared" si="2"/>
        <v>2</v>
      </c>
      <c r="C65" s="10">
        <v>43890</v>
      </c>
      <c r="D65" s="9">
        <v>0.20899999999999999</v>
      </c>
      <c r="E65" s="9">
        <v>0.14199999999999999</v>
      </c>
      <c r="F65" s="9">
        <v>12.74299235016335</v>
      </c>
      <c r="G65" s="9">
        <v>10694.785465280189</v>
      </c>
      <c r="H65" s="9">
        <v>55095.212471807776</v>
      </c>
      <c r="I65" s="9">
        <v>1514.683140878459</v>
      </c>
      <c r="J65" s="20">
        <v>70.75</v>
      </c>
      <c r="K65" s="9">
        <v>71.739999999999995</v>
      </c>
      <c r="L65" s="31">
        <f>Table1[[#This Row],[TN550 I (O2)]]/(Table1[[#This Row],[Flowmeter A]]+Table1[[#This Row],[Flowmeter B]])</f>
        <v>1.9724194403431927E-2</v>
      </c>
      <c r="M65" s="33">
        <f>Table1[[#This Row],[TN120 Venting2]]/100</f>
        <v>1.9400000000000001E-2</v>
      </c>
      <c r="N65" s="31">
        <f>Table1[[#This Row],[TN550 I Venting2]]/100</f>
        <v>0</v>
      </c>
      <c r="O65" s="31">
        <f>(Table1[[#This Row],[TN550 I (O2)]]-Table1[[#This Row],[O2]])/Table1[[#This Row],[TN550 I (O2)]]</f>
        <v>6.1808965797594567E-2</v>
      </c>
      <c r="P65" s="9">
        <f>Table1[[#This Row],[M-N2]]+Table1[[#This Row],[TEN-N2]]</f>
        <v>64062.679998647996</v>
      </c>
      <c r="Q65" s="9">
        <v>1421.0621424297092</v>
      </c>
      <c r="R65" s="9">
        <f>SUM(Table1[[#This Row],[TEN-CDA]:[TEN-CDA WWT]])</f>
        <v>100888.57064900549</v>
      </c>
      <c r="S65" s="9">
        <v>442.53443321000361</v>
      </c>
      <c r="T65" s="9">
        <v>256.47519050084577</v>
      </c>
      <c r="U65" s="9">
        <v>40.30809542240987</v>
      </c>
      <c r="V65" s="42">
        <v>1.94</v>
      </c>
      <c r="W65" s="9">
        <v>0</v>
      </c>
      <c r="X65" s="9">
        <v>75293.619453721374</v>
      </c>
      <c r="Y65" s="9">
        <v>1499.5367025021958</v>
      </c>
      <c r="Z65" s="1">
        <v>62052.593129228837</v>
      </c>
      <c r="AA65" s="1">
        <v>2010.0868694191588</v>
      </c>
      <c r="AB65" s="1">
        <v>36546.311090388619</v>
      </c>
      <c r="AC65" s="1">
        <v>54642.958562846979</v>
      </c>
      <c r="AD65" s="1">
        <v>6982.5702708215867</v>
      </c>
      <c r="AE65" s="1">
        <v>2709.3484476315816</v>
      </c>
      <c r="AF65" s="1">
        <v>7.3822773167298621</v>
      </c>
      <c r="AG65" s="1"/>
      <c r="AH65" s="1"/>
      <c r="AI65" s="1"/>
      <c r="AJ65" s="1"/>
      <c r="AK65" s="1"/>
      <c r="AL65" s="1"/>
      <c r="AM65" s="1"/>
      <c r="AN65" s="1"/>
      <c r="AO65" s="1"/>
      <c r="AP65" s="1"/>
      <c r="AQ65" s="1"/>
      <c r="AU65" s="18"/>
    </row>
    <row r="66" spans="1:47" x14ac:dyDescent="0.3">
      <c r="A66" s="9">
        <f t="shared" si="1"/>
        <v>2020</v>
      </c>
      <c r="B66" s="9">
        <f t="shared" si="2"/>
        <v>3</v>
      </c>
      <c r="C66" s="10">
        <v>43891</v>
      </c>
      <c r="D66" s="9">
        <v>0.20899999999999999</v>
      </c>
      <c r="E66" s="9">
        <v>0.14199999999999999</v>
      </c>
      <c r="F66" s="9">
        <v>12.121885140847199</v>
      </c>
      <c r="G66" s="9">
        <v>10421.444445046842</v>
      </c>
      <c r="H66" s="9">
        <v>55099.579770450211</v>
      </c>
      <c r="I66" s="9">
        <v>1502.9116482863733</v>
      </c>
      <c r="J66" s="20">
        <v>70.569999999999993</v>
      </c>
      <c r="K66" s="9">
        <v>71.75</v>
      </c>
      <c r="L66" s="31">
        <f>Table1[[#This Row],[TN550 I (O2)]]/(Table1[[#This Row],[Flowmeter A]]+Table1[[#This Row],[Flowmeter B]])</f>
        <v>1.9570992706932668E-2</v>
      </c>
      <c r="M66" s="33">
        <f>Table1[[#This Row],[TN120 Venting2]]/100</f>
        <v>2.7900000000000001E-2</v>
      </c>
      <c r="N66" s="31">
        <f>Table1[[#This Row],[TN550 I Venting2]]/100</f>
        <v>0</v>
      </c>
      <c r="O66" s="31">
        <f>(Table1[[#This Row],[TN550 I (O2)]]-Table1[[#This Row],[O2]])/Table1[[#This Row],[TN550 I (O2)]]</f>
        <v>5.4507725814948706E-2</v>
      </c>
      <c r="P66" s="9">
        <f>Table1[[#This Row],[M-N2]]+Table1[[#This Row],[TEN-N2]]</f>
        <v>63942.240791527285</v>
      </c>
      <c r="Q66" s="9">
        <v>1420.991352237487</v>
      </c>
      <c r="R66" s="9">
        <f>SUM(Table1[[#This Row],[TEN-CDA]:[TEN-CDA WWT]])</f>
        <v>100612.67156152289</v>
      </c>
      <c r="S66" s="9">
        <v>435.16166344986118</v>
      </c>
      <c r="T66" s="9">
        <v>256.68844050686033</v>
      </c>
      <c r="U66" s="9">
        <v>41.049579255039866</v>
      </c>
      <c r="V66" s="42">
        <v>2.79</v>
      </c>
      <c r="W66" s="9">
        <v>0</v>
      </c>
      <c r="X66" s="9">
        <v>75292.874718077728</v>
      </c>
      <c r="Y66" s="9">
        <v>1499.9416092204849</v>
      </c>
      <c r="Z66" s="1">
        <v>61895.621340431993</v>
      </c>
      <c r="AA66" s="1">
        <v>2046.6194510952953</v>
      </c>
      <c r="AB66" s="1">
        <v>36054.929175160483</v>
      </c>
      <c r="AC66" s="1">
        <v>54857.982547926789</v>
      </c>
      <c r="AD66" s="1">
        <v>6993.2804249029541</v>
      </c>
      <c r="AE66" s="1">
        <v>2701.8431748040098</v>
      </c>
      <c r="AF66" s="1">
        <v>4.636238728636342</v>
      </c>
      <c r="AG66" s="1"/>
      <c r="AH66" s="1"/>
      <c r="AI66" s="1"/>
      <c r="AJ66" s="1"/>
      <c r="AK66" s="1"/>
      <c r="AL66" s="1"/>
      <c r="AM66" s="1"/>
      <c r="AN66" s="1"/>
      <c r="AO66" s="1"/>
      <c r="AP66" s="1"/>
      <c r="AQ66" s="1"/>
      <c r="AU66" s="18"/>
    </row>
    <row r="67" spans="1:47" x14ac:dyDescent="0.3">
      <c r="A67" s="9">
        <f t="shared" si="1"/>
        <v>2020</v>
      </c>
      <c r="B67" s="9">
        <f t="shared" si="2"/>
        <v>3</v>
      </c>
      <c r="C67" s="10">
        <v>43892</v>
      </c>
      <c r="D67" s="9">
        <v>0.20699999999999999</v>
      </c>
      <c r="E67" s="9">
        <v>0.14099999999999999</v>
      </c>
      <c r="F67" s="9">
        <v>11.99264447280386</v>
      </c>
      <c r="G67" s="9">
        <v>10470.252897158009</v>
      </c>
      <c r="H67" s="9">
        <v>55098.046568680606</v>
      </c>
      <c r="I67" s="9">
        <v>1507.7718053496108</v>
      </c>
      <c r="J67" s="20">
        <v>70.569999999999993</v>
      </c>
      <c r="K67" s="9">
        <v>72.010000000000005</v>
      </c>
      <c r="L67" s="31">
        <f>Table1[[#This Row],[TN550 I (O2)]]/(Table1[[#This Row],[Flowmeter A]]+Table1[[#This Row],[Flowmeter B]])</f>
        <v>1.9705329772706094E-2</v>
      </c>
      <c r="M67" s="33">
        <f>Table1[[#This Row],[TN120 Venting2]]/100</f>
        <v>1.7600000000000001E-2</v>
      </c>
      <c r="N67" s="31">
        <f>Table1[[#This Row],[TN550 I Venting2]]/100</f>
        <v>0</v>
      </c>
      <c r="O67" s="31">
        <f>(Table1[[#This Row],[TN550 I (O2)]]-Table1[[#This Row],[O2]])/Table1[[#This Row],[TN550 I (O2)]]</f>
        <v>5.7108182983889373E-2</v>
      </c>
      <c r="P67" s="9">
        <f>Table1[[#This Row],[M-N2]]+Table1[[#This Row],[TEN-N2]]</f>
        <v>64292.169656725739</v>
      </c>
      <c r="Q67" s="9">
        <v>1421.665697191756</v>
      </c>
      <c r="R67" s="9">
        <f>SUM(Table1[[#This Row],[TEN-CDA]:[TEN-CDA WWT]])</f>
        <v>99619.291618058065</v>
      </c>
      <c r="S67" s="9">
        <v>430.73690166910194</v>
      </c>
      <c r="T67" s="9">
        <v>249.50607365456659</v>
      </c>
      <c r="U67" s="9">
        <v>42.075541727250027</v>
      </c>
      <c r="V67" s="42">
        <v>1.76</v>
      </c>
      <c r="W67" s="9">
        <v>0</v>
      </c>
      <c r="X67" s="9">
        <v>75015.791323299796</v>
      </c>
      <c r="Y67" s="9">
        <v>1500.14739689506</v>
      </c>
      <c r="Z67" s="1">
        <v>62245.100478183551</v>
      </c>
      <c r="AA67" s="1">
        <v>2047.0691785421909</v>
      </c>
      <c r="AB67" s="1">
        <v>35135.944577875605</v>
      </c>
      <c r="AC67" s="1">
        <v>54805.121798555694</v>
      </c>
      <c r="AD67" s="1">
        <v>6957.1302189505986</v>
      </c>
      <c r="AE67" s="1">
        <v>2717.1152333584532</v>
      </c>
      <c r="AF67" s="1">
        <v>3.9797893177296535</v>
      </c>
      <c r="AG67" s="1"/>
      <c r="AH67" s="1"/>
      <c r="AI67" s="1"/>
      <c r="AJ67" s="1"/>
      <c r="AK67" s="1"/>
      <c r="AL67" s="1"/>
      <c r="AM67" s="1"/>
      <c r="AN67" s="1"/>
      <c r="AO67" s="1"/>
      <c r="AP67" s="1"/>
      <c r="AQ67" s="1"/>
      <c r="AU67" s="18"/>
    </row>
    <row r="68" spans="1:47" x14ac:dyDescent="0.3">
      <c r="A68" s="9">
        <f t="shared" si="1"/>
        <v>2020</v>
      </c>
      <c r="B68" s="9">
        <f t="shared" si="2"/>
        <v>3</v>
      </c>
      <c r="C68" s="10">
        <v>43893</v>
      </c>
      <c r="D68" s="9">
        <v>0.20499999999999999</v>
      </c>
      <c r="E68" s="9">
        <v>0.14399999999999999</v>
      </c>
      <c r="F68" s="9">
        <v>12.001586912738873</v>
      </c>
      <c r="G68" s="9">
        <v>10474.307234288255</v>
      </c>
      <c r="H68" s="9">
        <v>55103.050624024108</v>
      </c>
      <c r="I68" s="9">
        <v>1499.9043592231958</v>
      </c>
      <c r="J68" s="20">
        <v>70.569999999999993</v>
      </c>
      <c r="K68" s="9">
        <v>72.040000000000006</v>
      </c>
      <c r="L68" s="31">
        <f>Table1[[#This Row],[TN550 I (O2)]]/(Table1[[#This Row],[Flowmeter A]]+Table1[[#This Row],[Flowmeter B]])</f>
        <v>1.96082043307182E-2</v>
      </c>
      <c r="M68" s="33">
        <f>Table1[[#This Row],[TN120 Venting2]]/100</f>
        <v>1.6299999999999999E-2</v>
      </c>
      <c r="N68" s="31">
        <f>Table1[[#This Row],[TN550 I Venting2]]/100</f>
        <v>0</v>
      </c>
      <c r="O68" s="31">
        <f>(Table1[[#This Row],[TN550 I (O2)]]-Table1[[#This Row],[O2]])/Table1[[#This Row],[TN550 I (O2)]]</f>
        <v>4.2962634068814128E-2</v>
      </c>
      <c r="P68" s="9">
        <f>Table1[[#This Row],[M-N2]]+Table1[[#This Row],[TEN-N2]]</f>
        <v>64254.951593487727</v>
      </c>
      <c r="Q68" s="9">
        <v>1435.4645170996705</v>
      </c>
      <c r="R68" s="9">
        <f>SUM(Table1[[#This Row],[TEN-CDA]:[TEN-CDA WWT]])</f>
        <v>99479.654210590699</v>
      </c>
      <c r="S68" s="9">
        <v>436.18194228522401</v>
      </c>
      <c r="T68" s="9">
        <v>246.22970663649104</v>
      </c>
      <c r="U68" s="9">
        <v>39.675495666567443</v>
      </c>
      <c r="V68" s="42">
        <v>1.63</v>
      </c>
      <c r="W68" s="9">
        <v>0</v>
      </c>
      <c r="X68" s="9">
        <v>74993.275085660993</v>
      </c>
      <c r="Y68" s="9">
        <v>1500.4381542324936</v>
      </c>
      <c r="Z68" s="1">
        <v>62223.93148475451</v>
      </c>
      <c r="AA68" s="1">
        <v>2031.02010873322</v>
      </c>
      <c r="AB68" s="1">
        <v>34944.782140494885</v>
      </c>
      <c r="AC68" s="1">
        <v>54778.869009151633</v>
      </c>
      <c r="AD68" s="1">
        <v>7050.1443038823954</v>
      </c>
      <c r="AE68" s="1">
        <v>2702.6214078629209</v>
      </c>
      <c r="AF68" s="1">
        <v>3.2373491988506355</v>
      </c>
      <c r="AG68" s="1"/>
      <c r="AH68" s="1"/>
      <c r="AI68" s="1"/>
      <c r="AJ68" s="1"/>
      <c r="AK68" s="1"/>
      <c r="AL68" s="1"/>
      <c r="AM68" s="1"/>
      <c r="AN68" s="1"/>
      <c r="AO68" s="1"/>
      <c r="AP68" s="1"/>
      <c r="AQ68" s="1"/>
      <c r="AU68" s="18"/>
    </row>
    <row r="69" spans="1:47" x14ac:dyDescent="0.3">
      <c r="A69" s="9">
        <f t="shared" si="1"/>
        <v>2020</v>
      </c>
      <c r="B69" s="9">
        <f t="shared" si="2"/>
        <v>3</v>
      </c>
      <c r="C69" s="10">
        <v>43894</v>
      </c>
      <c r="D69" s="9">
        <v>0.20699999999999999</v>
      </c>
      <c r="E69" s="9">
        <v>0.14699999999999999</v>
      </c>
      <c r="F69" s="9">
        <v>11.890712189393106</v>
      </c>
      <c r="G69" s="9">
        <v>10408.030772900764</v>
      </c>
      <c r="H69" s="9">
        <v>55099.091185591606</v>
      </c>
      <c r="I69" s="9">
        <v>1499.9985051681233</v>
      </c>
      <c r="J69" s="20">
        <v>70.56</v>
      </c>
      <c r="K69" s="9">
        <v>72.02</v>
      </c>
      <c r="L69" s="31">
        <f>Table1[[#This Row],[TN550 I (O2)]]/(Table1[[#This Row],[Flowmeter A]]+Table1[[#This Row],[Flowmeter B]])</f>
        <v>1.9605242692181182E-2</v>
      </c>
      <c r="M69" s="33">
        <f>Table1[[#This Row],[TN120 Venting2]]/100</f>
        <v>1.9799999999999998E-2</v>
      </c>
      <c r="N69" s="31">
        <f>Table1[[#This Row],[TN550 I Venting2]]/100</f>
        <v>0</v>
      </c>
      <c r="O69" s="31">
        <f>(Table1[[#This Row],[TN550 I (O2)]]-Table1[[#This Row],[O2]])/Table1[[#This Row],[TN550 I (O2)]]</f>
        <v>3.5686741640837578E-2</v>
      </c>
      <c r="P69" s="9">
        <f>Table1[[#This Row],[M-N2]]+Table1[[#This Row],[TEN-N2]]</f>
        <v>64153.843904430381</v>
      </c>
      <c r="Q69" s="9">
        <v>1446.4684460525459</v>
      </c>
      <c r="R69" s="9">
        <f>SUM(Table1[[#This Row],[TEN-CDA]:[TEN-CDA WWT]])</f>
        <v>99174.193734893022</v>
      </c>
      <c r="S69" s="9">
        <v>426.04077885433833</v>
      </c>
      <c r="T69" s="9">
        <v>255.31458329591877</v>
      </c>
      <c r="U69" s="9">
        <v>38.962073232795035</v>
      </c>
      <c r="V69" s="42">
        <v>1.98</v>
      </c>
      <c r="W69" s="9">
        <v>0</v>
      </c>
      <c r="X69" s="9">
        <v>75009.855850971551</v>
      </c>
      <c r="Y69" s="9">
        <v>1500.2148846660034</v>
      </c>
      <c r="Z69" s="1">
        <v>62141.409909568007</v>
      </c>
      <c r="AA69" s="1">
        <v>2012.4339948623733</v>
      </c>
      <c r="AB69" s="1">
        <v>34777.954682349497</v>
      </c>
      <c r="AC69" s="1">
        <v>54746.792518758673</v>
      </c>
      <c r="AD69" s="1">
        <v>6920.851239238159</v>
      </c>
      <c r="AE69" s="1">
        <v>2724.3633417345268</v>
      </c>
      <c r="AF69" s="1">
        <v>4.2319528121788164</v>
      </c>
      <c r="AG69" s="1"/>
      <c r="AH69" s="1"/>
      <c r="AI69" s="1"/>
      <c r="AJ69" s="1"/>
      <c r="AK69" s="1"/>
      <c r="AL69" s="1"/>
      <c r="AM69" s="1"/>
      <c r="AN69" s="1"/>
      <c r="AO69" s="1"/>
      <c r="AP69" s="1"/>
      <c r="AQ69" s="1"/>
      <c r="AU69" s="18"/>
    </row>
    <row r="70" spans="1:47" x14ac:dyDescent="0.3">
      <c r="A70" s="9">
        <f t="shared" si="1"/>
        <v>2020</v>
      </c>
      <c r="B70" s="9">
        <f t="shared" si="2"/>
        <v>3</v>
      </c>
      <c r="C70" s="10">
        <v>43895</v>
      </c>
      <c r="D70" s="9">
        <v>0.20799999999999999</v>
      </c>
      <c r="E70" s="9">
        <v>0.14299999999999999</v>
      </c>
      <c r="F70" s="9">
        <v>11.834027706625394</v>
      </c>
      <c r="G70" s="9">
        <v>10592.063518579762</v>
      </c>
      <c r="H70" s="9">
        <v>55091.145062565061</v>
      </c>
      <c r="I70" s="9">
        <v>1500.0251825717817</v>
      </c>
      <c r="J70" s="20">
        <v>70.75</v>
      </c>
      <c r="K70" s="9">
        <v>72.010000000000005</v>
      </c>
      <c r="L70" s="31">
        <f>Table1[[#This Row],[TN550 I (O2)]]/(Table1[[#This Row],[Flowmeter A]]+Table1[[#This Row],[Flowmeter B]])</f>
        <v>1.9607350970913835E-2</v>
      </c>
      <c r="M70" s="33">
        <f>Table1[[#This Row],[TN120 Venting2]]/100</f>
        <v>7.9000000000000008E-3</v>
      </c>
      <c r="N70" s="31">
        <f>Table1[[#This Row],[TN550 I Venting2]]/100</f>
        <v>0</v>
      </c>
      <c r="O70" s="31">
        <f>(Table1[[#This Row],[TN550 I (O2)]]-Table1[[#This Row],[O2]])/Table1[[#This Row],[TN550 I (O2)]]</f>
        <v>3.4326850791980737E-2</v>
      </c>
      <c r="P70" s="9">
        <f>Table1[[#This Row],[M-N2]]+Table1[[#This Row],[TEN-N2]]</f>
        <v>64311.742884766303</v>
      </c>
      <c r="Q70" s="9">
        <v>1448.5340419454265</v>
      </c>
      <c r="R70" s="9">
        <f>SUM(Table1[[#This Row],[TEN-CDA]:[TEN-CDA WWT]])</f>
        <v>98987.809952643511</v>
      </c>
      <c r="S70" s="9">
        <v>433.20034792156866</v>
      </c>
      <c r="T70" s="9">
        <v>252.52461023482903</v>
      </c>
      <c r="U70" s="9">
        <v>40.330005783409312</v>
      </c>
      <c r="V70" s="42">
        <v>0.79</v>
      </c>
      <c r="W70" s="9">
        <v>0</v>
      </c>
      <c r="X70" s="9">
        <v>75002.568967947605</v>
      </c>
      <c r="Y70" s="9">
        <v>1500.6356106294186</v>
      </c>
      <c r="Z70" s="1">
        <v>62300.937372592816</v>
      </c>
      <c r="AA70" s="1">
        <v>2010.8055121734851</v>
      </c>
      <c r="AB70" s="1">
        <v>34496.741694136013</v>
      </c>
      <c r="AC70" s="1">
        <v>54675.676177025503</v>
      </c>
      <c r="AD70" s="1">
        <v>7046.8096313053002</v>
      </c>
      <c r="AE70" s="1">
        <v>2764.2900453312045</v>
      </c>
      <c r="AF70" s="1">
        <v>4.2924048455068835</v>
      </c>
      <c r="AG70" s="1"/>
      <c r="AH70" s="1"/>
      <c r="AI70" s="1"/>
      <c r="AJ70" s="1"/>
      <c r="AK70" s="1"/>
      <c r="AL70" s="1"/>
      <c r="AM70" s="1"/>
      <c r="AN70" s="1"/>
      <c r="AO70" s="1"/>
      <c r="AP70" s="1"/>
      <c r="AQ70" s="1"/>
      <c r="AU70" s="18"/>
    </row>
    <row r="71" spans="1:47" x14ac:dyDescent="0.3">
      <c r="A71" s="9">
        <f t="shared" ref="A71:A134" si="18">YEAR(C71)</f>
        <v>2020</v>
      </c>
      <c r="B71" s="9">
        <f t="shared" ref="B71:B134" si="19">MONTH(C71)</f>
        <v>3</v>
      </c>
      <c r="C71" s="10">
        <v>43896</v>
      </c>
      <c r="D71" s="9">
        <v>0.20699999999999999</v>
      </c>
      <c r="E71" s="9">
        <v>0.14599999999999999</v>
      </c>
      <c r="F71" s="9">
        <v>12.54108663502044</v>
      </c>
      <c r="G71" s="9">
        <v>10658.438019116498</v>
      </c>
      <c r="H71" s="9">
        <v>55102.82911986034</v>
      </c>
      <c r="I71" s="9">
        <v>1500.0796370284579</v>
      </c>
      <c r="J71" s="20">
        <v>70.790000000000006</v>
      </c>
      <c r="K71" s="9">
        <v>72.040000000000006</v>
      </c>
      <c r="L71" s="31">
        <f>Table1[[#This Row],[TN550 I (O2)]]/(Table1[[#This Row],[Flowmeter A]]+Table1[[#This Row],[Flowmeter B]])</f>
        <v>1.961179184240339E-2</v>
      </c>
      <c r="M71" s="33">
        <f>Table1[[#This Row],[TN120 Venting2]]/100</f>
        <v>1.3300000000000001E-2</v>
      </c>
      <c r="N71" s="31">
        <f>Table1[[#This Row],[TN550 I Venting2]]/100</f>
        <v>0</v>
      </c>
      <c r="O71" s="31">
        <f>(Table1[[#This Row],[TN550 I (O2)]]-Table1[[#This Row],[O2]])/Table1[[#This Row],[TN550 I (O2)]]</f>
        <v>3.6121310768768913E-2</v>
      </c>
      <c r="P71" s="9">
        <f>Table1[[#This Row],[M-N2]]+Table1[[#This Row],[TEN-N2]]</f>
        <v>64092.804711897115</v>
      </c>
      <c r="Q71" s="9">
        <v>1445.8947942814509</v>
      </c>
      <c r="R71" s="9">
        <f>SUM(Table1[[#This Row],[TEN-CDA]:[TEN-CDA WWT]])</f>
        <v>99475.625763016593</v>
      </c>
      <c r="S71" s="9">
        <v>421.5869723021529</v>
      </c>
      <c r="T71" s="9">
        <v>246.57323766598512</v>
      </c>
      <c r="U71" s="9">
        <v>40.953067648501793</v>
      </c>
      <c r="V71" s="42">
        <v>1.33</v>
      </c>
      <c r="W71" s="9">
        <v>0</v>
      </c>
      <c r="X71" s="9">
        <v>74989.287907702979</v>
      </c>
      <c r="Y71" s="9">
        <v>1499.3699917286986</v>
      </c>
      <c r="Z71" s="1">
        <v>62079.246722653537</v>
      </c>
      <c r="AA71" s="1">
        <v>2013.5579892435808</v>
      </c>
      <c r="AB71" s="1">
        <v>35204.666346341517</v>
      </c>
      <c r="AC71" s="1">
        <v>54549.626244253122</v>
      </c>
      <c r="AD71" s="1">
        <v>6942.57063915033</v>
      </c>
      <c r="AE71" s="1">
        <v>2774.1992982100646</v>
      </c>
      <c r="AF71" s="1">
        <v>4.5632350615456465</v>
      </c>
      <c r="AG71" s="1"/>
      <c r="AH71" s="1"/>
      <c r="AI71" s="1"/>
      <c r="AJ71" s="1"/>
      <c r="AK71" s="1"/>
      <c r="AL71" s="1"/>
      <c r="AM71" s="1"/>
      <c r="AN71" s="1"/>
      <c r="AO71" s="1"/>
      <c r="AP71" s="1"/>
      <c r="AQ71" s="1"/>
    </row>
    <row r="72" spans="1:47" x14ac:dyDescent="0.3">
      <c r="A72" s="9">
        <f t="shared" si="18"/>
        <v>2020</v>
      </c>
      <c r="B72" s="9">
        <f t="shared" si="19"/>
        <v>3</v>
      </c>
      <c r="C72" s="10">
        <v>43897</v>
      </c>
      <c r="D72" s="9">
        <v>0.20799999999999999</v>
      </c>
      <c r="E72" s="9">
        <v>0.14499999999999999</v>
      </c>
      <c r="F72" s="9">
        <v>12.960035331376636</v>
      </c>
      <c r="G72" s="9">
        <v>10744.381564858388</v>
      </c>
      <c r="H72" s="9">
        <v>55102.637195849238</v>
      </c>
      <c r="I72" s="9">
        <v>1500.1372962332202</v>
      </c>
      <c r="J72" s="20">
        <v>70.83</v>
      </c>
      <c r="K72" s="9">
        <v>72.040000000000006</v>
      </c>
      <c r="L72" s="31">
        <f>Table1[[#This Row],[TN550 I (O2)]]/(Table1[[#This Row],[Flowmeter A]]+Table1[[#This Row],[Flowmeter B]])</f>
        <v>1.9611992819261355E-2</v>
      </c>
      <c r="M72" s="33">
        <f>Table1[[#This Row],[TN120 Venting2]]/100</f>
        <v>1.5800000000000002E-2</v>
      </c>
      <c r="N72" s="31">
        <f>Table1[[#This Row],[TN550 I Venting2]]/100</f>
        <v>0</v>
      </c>
      <c r="O72" s="31">
        <f>(Table1[[#This Row],[TN550 I (O2)]]-Table1[[#This Row],[O2]])/Table1[[#This Row],[TN550 I (O2)]]</f>
        <v>3.175128500069576E-2</v>
      </c>
      <c r="P72" s="9">
        <f>Table1[[#This Row],[M-N2]]+Table1[[#This Row],[TEN-N2]]</f>
        <v>63987.709156086668</v>
      </c>
      <c r="Q72" s="9">
        <v>1452.5060094003461</v>
      </c>
      <c r="R72" s="9">
        <f>SUM(Table1[[#This Row],[TEN-CDA]:[TEN-CDA WWT]])</f>
        <v>99951.850887648427</v>
      </c>
      <c r="S72" s="9">
        <v>423.29564154768553</v>
      </c>
      <c r="T72" s="9">
        <v>244.53369450883511</v>
      </c>
      <c r="U72" s="9">
        <v>39.214224039060554</v>
      </c>
      <c r="V72" s="42">
        <v>1.58</v>
      </c>
      <c r="W72" s="9">
        <v>0</v>
      </c>
      <c r="X72" s="9">
        <v>74990.49333145385</v>
      </c>
      <c r="Y72" s="9">
        <v>1500.3207361458242</v>
      </c>
      <c r="Z72" s="1">
        <v>62011.554608887054</v>
      </c>
      <c r="AA72" s="1">
        <v>1976.1545471996171</v>
      </c>
      <c r="AB72" s="1">
        <v>35496.812050008673</v>
      </c>
      <c r="AC72" s="1">
        <v>54638.156287951075</v>
      </c>
      <c r="AD72" s="1">
        <v>7021.7448867702551</v>
      </c>
      <c r="AE72" s="1">
        <v>2790.3410054934184</v>
      </c>
      <c r="AF72" s="1">
        <v>4.7966574249914498</v>
      </c>
      <c r="AG72" s="1"/>
      <c r="AH72" s="1"/>
      <c r="AI72" s="1"/>
      <c r="AJ72" s="1"/>
      <c r="AK72" s="1"/>
      <c r="AL72" s="1"/>
      <c r="AM72" s="1"/>
      <c r="AN72" s="1"/>
      <c r="AO72" s="1"/>
      <c r="AP72" s="1"/>
      <c r="AQ72" s="1"/>
    </row>
    <row r="73" spans="1:47" x14ac:dyDescent="0.3">
      <c r="A73" s="9">
        <f t="shared" si="18"/>
        <v>2020</v>
      </c>
      <c r="B73" s="9">
        <f t="shared" si="19"/>
        <v>3</v>
      </c>
      <c r="C73" s="10">
        <v>43898</v>
      </c>
      <c r="D73" s="9">
        <v>0.20799999999999999</v>
      </c>
      <c r="E73" s="9">
        <v>0.14399999999999999</v>
      </c>
      <c r="F73" s="9">
        <v>12.276919640905737</v>
      </c>
      <c r="G73" s="9">
        <v>10655.732497777151</v>
      </c>
      <c r="H73" s="9">
        <v>55100.432303413429</v>
      </c>
      <c r="I73" s="9">
        <v>1500.2631822383544</v>
      </c>
      <c r="J73" s="20">
        <v>70.8</v>
      </c>
      <c r="K73" s="9">
        <v>72.02</v>
      </c>
      <c r="L73" s="31">
        <f>Table1[[#This Row],[TN550 I (O2)]]/(Table1[[#This Row],[Flowmeter A]]+Table1[[#This Row],[Flowmeter B]])</f>
        <v>1.9610214634463215E-2</v>
      </c>
      <c r="M73" s="33">
        <f>Table1[[#This Row],[TN120 Venting2]]/100</f>
        <v>1.9599999999999999E-2</v>
      </c>
      <c r="N73" s="31">
        <f>Table1[[#This Row],[TN550 I Venting2]]/100</f>
        <v>0</v>
      </c>
      <c r="O73" s="31">
        <f>(Table1[[#This Row],[TN550 I (O2)]]-Table1[[#This Row],[O2]])/Table1[[#This Row],[TN550 I (O2)]]</f>
        <v>3.0953387135529271E-2</v>
      </c>
      <c r="P73" s="9">
        <f>Table1[[#This Row],[M-N2]]+Table1[[#This Row],[TEN-N2]]</f>
        <v>63968.350295459291</v>
      </c>
      <c r="Q73" s="9">
        <v>1453.8249551533495</v>
      </c>
      <c r="R73" s="9">
        <f>SUM(Table1[[#This Row],[TEN-CDA]:[TEN-CDA WWT]])</f>
        <v>99969.71044785183</v>
      </c>
      <c r="S73" s="9">
        <v>430.7249518453371</v>
      </c>
      <c r="T73" s="9">
        <v>247.26620760830968</v>
      </c>
      <c r="U73" s="9">
        <v>40.599698374455045</v>
      </c>
      <c r="V73" s="42">
        <v>1.96</v>
      </c>
      <c r="W73" s="9">
        <v>0</v>
      </c>
      <c r="X73" s="9">
        <v>75004.432571781756</v>
      </c>
      <c r="Y73" s="9">
        <v>1499.7368217431199</v>
      </c>
      <c r="Z73" s="1">
        <v>61979.99088089868</v>
      </c>
      <c r="AA73" s="1">
        <v>1988.359414560608</v>
      </c>
      <c r="AB73" s="1">
        <v>35506.40804725451</v>
      </c>
      <c r="AC73" s="1">
        <v>54585.779048837619</v>
      </c>
      <c r="AD73" s="1">
        <v>7045.9687455949643</v>
      </c>
      <c r="AE73" s="1">
        <v>2824.9107292434724</v>
      </c>
      <c r="AF73" s="1">
        <v>6.6438769212666067</v>
      </c>
      <c r="AG73" s="1"/>
      <c r="AH73" s="1"/>
      <c r="AI73" s="1"/>
      <c r="AJ73" s="1"/>
      <c r="AK73" s="1"/>
      <c r="AL73" s="1"/>
      <c r="AM73" s="1"/>
      <c r="AN73" s="1"/>
      <c r="AO73" s="1"/>
      <c r="AP73" s="1"/>
      <c r="AQ73" s="1"/>
    </row>
    <row r="74" spans="1:47" x14ac:dyDescent="0.3">
      <c r="A74" s="9">
        <f t="shared" si="18"/>
        <v>2020</v>
      </c>
      <c r="B74" s="9">
        <f t="shared" si="19"/>
        <v>3</v>
      </c>
      <c r="C74" s="10">
        <v>43899</v>
      </c>
      <c r="D74" s="9">
        <v>0.20399999999999999</v>
      </c>
      <c r="E74" s="9">
        <v>0.14399999999999999</v>
      </c>
      <c r="F74" s="9">
        <v>11.890142788910188</v>
      </c>
      <c r="G74" s="9">
        <v>10625.721300854442</v>
      </c>
      <c r="H74" s="9">
        <v>55101.868350429395</v>
      </c>
      <c r="I74" s="9">
        <v>1506.2352546517177</v>
      </c>
      <c r="J74" s="20">
        <v>70.73</v>
      </c>
      <c r="K74" s="9">
        <v>72.03</v>
      </c>
      <c r="L74" s="31">
        <f>Table1[[#This Row],[TN550 I (O2)]]/(Table1[[#This Row],[Flowmeter A]]+Table1[[#This Row],[Flowmeter B]])</f>
        <v>1.9690946840076058E-2</v>
      </c>
      <c r="M74" s="33">
        <f>Table1[[#This Row],[TN120 Venting2]]/100</f>
        <v>1.9799999999999998E-2</v>
      </c>
      <c r="N74" s="31">
        <f>Table1[[#This Row],[TN550 I Venting2]]/100</f>
        <v>0</v>
      </c>
      <c r="O74" s="31">
        <f>(Table1[[#This Row],[TN550 I (O2)]]-Table1[[#This Row],[O2]])/Table1[[#This Row],[TN550 I (O2)]]</f>
        <v>4.2173388243949721E-2</v>
      </c>
      <c r="P74" s="9">
        <f>Table1[[#This Row],[M-N2]]+Table1[[#This Row],[TEN-N2]]</f>
        <v>64255.568000872874</v>
      </c>
      <c r="Q74" s="9">
        <v>1442.7122104705663</v>
      </c>
      <c r="R74" s="9">
        <f>SUM(Table1[[#This Row],[TEN-CDA]:[TEN-CDA WWT]])</f>
        <v>99845.985473569628</v>
      </c>
      <c r="S74" s="9">
        <v>434.97983529317889</v>
      </c>
      <c r="T74" s="9">
        <v>250.29961622398321</v>
      </c>
      <c r="U74" s="9">
        <v>40.955054217622482</v>
      </c>
      <c r="V74" s="42">
        <v>1.98</v>
      </c>
      <c r="W74" s="9">
        <v>0</v>
      </c>
      <c r="X74" s="9">
        <v>74993.869838653714</v>
      </c>
      <c r="Y74" s="9">
        <v>1499.9253498106511</v>
      </c>
      <c r="Z74" s="1">
        <v>62212.085479376299</v>
      </c>
      <c r="AA74" s="1">
        <v>2043.4825214965736</v>
      </c>
      <c r="AB74" s="1">
        <v>35503.311532247571</v>
      </c>
      <c r="AC74" s="1">
        <v>54642.536682425402</v>
      </c>
      <c r="AD74" s="1">
        <v>6901.4055773849541</v>
      </c>
      <c r="AE74" s="1">
        <v>2792.7666230794043</v>
      </c>
      <c r="AF74" s="1">
        <v>5.9650584323064146</v>
      </c>
      <c r="AG74" s="1"/>
      <c r="AH74" s="1"/>
      <c r="AI74" s="1"/>
      <c r="AJ74" s="1"/>
      <c r="AK74" s="1"/>
      <c r="AL74" s="1"/>
      <c r="AM74" s="1"/>
      <c r="AN74" s="1"/>
      <c r="AO74" s="1"/>
      <c r="AP74" s="1"/>
      <c r="AQ74" s="1"/>
    </row>
    <row r="75" spans="1:47" x14ac:dyDescent="0.3">
      <c r="A75" s="9">
        <f t="shared" si="18"/>
        <v>2020</v>
      </c>
      <c r="B75" s="9">
        <f t="shared" si="19"/>
        <v>3</v>
      </c>
      <c r="C75" s="10">
        <v>43900</v>
      </c>
      <c r="D75" s="9">
        <v>0.20799999999999999</v>
      </c>
      <c r="E75" s="9">
        <v>0.14399999999999999</v>
      </c>
      <c r="F75" s="9">
        <v>12.196104469272845</v>
      </c>
      <c r="G75" s="9">
        <v>10574.30984206931</v>
      </c>
      <c r="H75" s="9">
        <v>55101.015212959741</v>
      </c>
      <c r="I75" s="9">
        <v>1523.9285609968665</v>
      </c>
      <c r="J75" s="20">
        <v>70.75</v>
      </c>
      <c r="K75" s="9">
        <v>72.03</v>
      </c>
      <c r="L75" s="31">
        <f>Table1[[#This Row],[TN550 I (O2)]]/(Table1[[#This Row],[Flowmeter A]]+Table1[[#This Row],[Flowmeter B]])</f>
        <v>1.9921386893106418E-2</v>
      </c>
      <c r="M75" s="33">
        <f>Table1[[#This Row],[TN120 Venting2]]/100</f>
        <v>2.2599999999999999E-2</v>
      </c>
      <c r="N75" s="31">
        <f>Table1[[#This Row],[TN550 I Venting2]]/100</f>
        <v>0</v>
      </c>
      <c r="O75" s="31">
        <f>(Table1[[#This Row],[TN550 I (O2)]]-Table1[[#This Row],[O2]])/Table1[[#This Row],[TN550 I (O2)]]</f>
        <v>5.4998005402248834E-2</v>
      </c>
      <c r="P75" s="9">
        <f>Table1[[#This Row],[M-N2]]+Table1[[#This Row],[TEN-N2]]</f>
        <v>64274.486607675324</v>
      </c>
      <c r="Q75" s="9">
        <v>1440.1155297665196</v>
      </c>
      <c r="R75" s="9">
        <f>SUM(Table1[[#This Row],[TEN-CDA]:[TEN-CDA WWT]])</f>
        <v>100692.56429316764</v>
      </c>
      <c r="S75" s="9">
        <v>433.41474428514402</v>
      </c>
      <c r="T75" s="9">
        <v>253.24769134839156</v>
      </c>
      <c r="U75" s="9">
        <v>40.189800687335911</v>
      </c>
      <c r="V75" s="42">
        <v>2.2599999999999998</v>
      </c>
      <c r="W75" s="9">
        <v>0</v>
      </c>
      <c r="X75" s="9">
        <v>74997.074785305347</v>
      </c>
      <c r="Y75" s="9">
        <v>1500.0370460102577</v>
      </c>
      <c r="Z75" s="1">
        <v>62260.466917505197</v>
      </c>
      <c r="AA75" s="1">
        <v>2014.0196901701293</v>
      </c>
      <c r="AB75" s="1">
        <v>36026.84551743581</v>
      </c>
      <c r="AC75" s="1">
        <v>54743.595335812803</v>
      </c>
      <c r="AD75" s="1">
        <v>7132.9913732461182</v>
      </c>
      <c r="AE75" s="1">
        <v>2783.7947087390485</v>
      </c>
      <c r="AF75" s="1">
        <v>5.3373579338637596</v>
      </c>
      <c r="AG75" s="1"/>
      <c r="AH75" s="1"/>
      <c r="AI75" s="1"/>
      <c r="AJ75" s="1"/>
      <c r="AK75" s="1"/>
      <c r="AL75" s="1"/>
      <c r="AM75" s="1"/>
      <c r="AN75" s="1"/>
      <c r="AO75" s="1"/>
      <c r="AP75" s="1"/>
      <c r="AQ75" s="1"/>
    </row>
    <row r="76" spans="1:47" x14ac:dyDescent="0.3">
      <c r="A76" s="9">
        <f t="shared" si="18"/>
        <v>2020</v>
      </c>
      <c r="B76" s="9">
        <f t="shared" si="19"/>
        <v>3</v>
      </c>
      <c r="C76" s="10">
        <v>43901</v>
      </c>
      <c r="D76" s="9">
        <v>0.20699999999999999</v>
      </c>
      <c r="E76" s="9">
        <v>0.14299999999999999</v>
      </c>
      <c r="F76" s="9">
        <v>12.162897058363839</v>
      </c>
      <c r="G76" s="9">
        <v>10206.398156255422</v>
      </c>
      <c r="H76" s="9">
        <v>55078.67383490198</v>
      </c>
      <c r="I76" s="9">
        <v>1507.2047158108248</v>
      </c>
      <c r="J76" s="20">
        <v>70.510000000000005</v>
      </c>
      <c r="K76" s="9">
        <v>72</v>
      </c>
      <c r="L76" s="31">
        <f>Table1[[#This Row],[TN550 I (O2)]]/(Table1[[#This Row],[Flowmeter A]]+Table1[[#This Row],[Flowmeter B]])</f>
        <v>1.9702807254404996E-2</v>
      </c>
      <c r="M76" s="33">
        <f>Table1[[#This Row],[TN120 Venting2]]/100</f>
        <v>2.9500000000000002E-2</v>
      </c>
      <c r="N76" s="31">
        <f>Table1[[#This Row],[TN550 I Venting2]]/100</f>
        <v>0</v>
      </c>
      <c r="O76" s="31">
        <f>(Table1[[#This Row],[TN550 I (O2)]]-Table1[[#This Row],[O2]])/Table1[[#This Row],[TN550 I (O2)]]</f>
        <v>4.0215496367499465E-2</v>
      </c>
      <c r="P76" s="9">
        <f>Table1[[#This Row],[M-N2]]+Table1[[#This Row],[TEN-N2]]</f>
        <v>63722.703251729487</v>
      </c>
      <c r="Q76" s="9">
        <v>1446.5917300370565</v>
      </c>
      <c r="R76" s="9">
        <f>SUM(Table1[[#This Row],[TEN-CDA]:[TEN-CDA WWT]])</f>
        <v>99727.491465456609</v>
      </c>
      <c r="S76" s="9">
        <v>429.69190027050303</v>
      </c>
      <c r="T76" s="9">
        <v>243.38845786015909</v>
      </c>
      <c r="U76" s="9">
        <v>41.925571435032246</v>
      </c>
      <c r="V76" s="42">
        <v>2.95</v>
      </c>
      <c r="W76" s="9">
        <v>0</v>
      </c>
      <c r="X76" s="9">
        <v>74996.944900459755</v>
      </c>
      <c r="Y76" s="9">
        <v>1500.0078611248157</v>
      </c>
      <c r="Z76" s="1">
        <v>61714.252005985429</v>
      </c>
      <c r="AA76" s="1">
        <v>2008.451245744058</v>
      </c>
      <c r="AB76" s="1">
        <v>35185.630969162041</v>
      </c>
      <c r="AC76" s="1">
        <v>54672.938334923667</v>
      </c>
      <c r="AD76" s="1">
        <v>7112.9804016579201</v>
      </c>
      <c r="AE76" s="1">
        <v>2746.5268849486033</v>
      </c>
      <c r="AF76" s="1">
        <v>9.4148747643726018</v>
      </c>
      <c r="AG76" s="1"/>
      <c r="AH76" s="1"/>
      <c r="AI76" s="1"/>
      <c r="AJ76" s="1"/>
      <c r="AK76" s="1"/>
      <c r="AL76" s="1"/>
      <c r="AM76" s="1"/>
      <c r="AN76" s="1"/>
      <c r="AO76" s="1"/>
      <c r="AP76" s="1"/>
      <c r="AQ76" s="1"/>
    </row>
    <row r="77" spans="1:47" x14ac:dyDescent="0.3">
      <c r="A77" s="9">
        <f t="shared" si="18"/>
        <v>2020</v>
      </c>
      <c r="B77" s="9">
        <f t="shared" si="19"/>
        <v>3</v>
      </c>
      <c r="C77" s="10">
        <v>43902</v>
      </c>
      <c r="D77" s="9">
        <v>0.20699999999999999</v>
      </c>
      <c r="E77" s="9">
        <v>0.14399999999999999</v>
      </c>
      <c r="F77" s="9">
        <v>13.594720014509932</v>
      </c>
      <c r="G77" s="9">
        <v>10310.155048441837</v>
      </c>
      <c r="H77" s="9">
        <v>54927.351988094211</v>
      </c>
      <c r="I77" s="9">
        <v>1525.7848395110004</v>
      </c>
      <c r="J77" s="20">
        <v>70.67</v>
      </c>
      <c r="K77" s="9">
        <v>72.06</v>
      </c>
      <c r="L77" s="31">
        <f>Table1[[#This Row],[TN550 I (O2)]]/(Table1[[#This Row],[Flowmeter A]]+Table1[[#This Row],[Flowmeter B]])</f>
        <v>2.0016501065125782E-2</v>
      </c>
      <c r="M77" s="33">
        <f>Table1[[#This Row],[TN120 Venting2]]/100</f>
        <v>2.41E-2</v>
      </c>
      <c r="N77" s="31">
        <f>Table1[[#This Row],[TN550 I Venting2]]/100</f>
        <v>0</v>
      </c>
      <c r="O77" s="31">
        <f>(Table1[[#This Row],[TN550 I (O2)]]-Table1[[#This Row],[O2]])/Table1[[#This Row],[TN550 I (O2)]]</f>
        <v>4.9041315464305651E-2</v>
      </c>
      <c r="P77" s="9">
        <f>Table1[[#This Row],[M-N2]]+Table1[[#This Row],[TEN-N2]]</f>
        <v>63819.395249609639</v>
      </c>
      <c r="Q77" s="9">
        <v>1450.9583438658865</v>
      </c>
      <c r="R77" s="9">
        <f>SUM(Table1[[#This Row],[TEN-CDA]:[TEN-CDA WWT]])</f>
        <v>100062.5836906199</v>
      </c>
      <c r="S77" s="9">
        <v>426.9638597540025</v>
      </c>
      <c r="T77" s="9">
        <v>244.66595512988417</v>
      </c>
      <c r="U77" s="9">
        <v>40.471654918440343</v>
      </c>
      <c r="V77" s="42">
        <v>2.41</v>
      </c>
      <c r="W77" s="9">
        <v>0</v>
      </c>
      <c r="X77" s="9">
        <v>74726.289187196395</v>
      </c>
      <c r="Y77" s="9">
        <v>1500.0619891005863</v>
      </c>
      <c r="Z77" s="1">
        <v>61690.480184116925</v>
      </c>
      <c r="AA77" s="1">
        <v>2128.9150654927134</v>
      </c>
      <c r="AB77" s="1">
        <v>35401.638090410306</v>
      </c>
      <c r="AC77" s="1">
        <v>54845.920020818878</v>
      </c>
      <c r="AD77" s="1">
        <v>7117.2326143411692</v>
      </c>
      <c r="AE77" s="1">
        <v>2689.2406377746033</v>
      </c>
      <c r="AF77" s="1">
        <v>8.5523272749349353</v>
      </c>
      <c r="AG77" s="1"/>
      <c r="AH77" s="1"/>
      <c r="AI77" s="1"/>
      <c r="AJ77" s="1"/>
      <c r="AK77" s="1"/>
      <c r="AL77" s="1"/>
      <c r="AM77" s="1"/>
      <c r="AN77" s="1"/>
      <c r="AO77" s="1"/>
      <c r="AP77" s="1"/>
      <c r="AQ77" s="1"/>
    </row>
    <row r="78" spans="1:47" x14ac:dyDescent="0.3">
      <c r="A78" s="9">
        <f t="shared" si="18"/>
        <v>2020</v>
      </c>
      <c r="B78" s="9">
        <f t="shared" si="19"/>
        <v>3</v>
      </c>
      <c r="C78" s="10">
        <v>43903</v>
      </c>
      <c r="D78" s="9">
        <v>0.20499999999999999</v>
      </c>
      <c r="E78" s="9">
        <v>0.14099999999999999</v>
      </c>
      <c r="F78" s="9">
        <v>12.858313967501596</v>
      </c>
      <c r="G78" s="9">
        <v>10594.216772477879</v>
      </c>
      <c r="H78" s="9">
        <v>54799.179234797884</v>
      </c>
      <c r="I78" s="9">
        <v>1500.1968333385289</v>
      </c>
      <c r="J78" s="20">
        <v>70.67</v>
      </c>
      <c r="K78" s="9">
        <v>72.11</v>
      </c>
      <c r="L78" s="31">
        <f>Table1[[#This Row],[TN550 I (O2)]]/(Table1[[#This Row],[Flowmeter A]]+Table1[[#This Row],[Flowmeter B]])</f>
        <v>1.9739815468670308E-2</v>
      </c>
      <c r="M78" s="33">
        <f>Table1[[#This Row],[TN120 Venting2]]/100</f>
        <v>1.8000000000000002E-2</v>
      </c>
      <c r="N78" s="31">
        <f>Table1[[#This Row],[TN550 I Venting2]]/100</f>
        <v>1E-4</v>
      </c>
      <c r="O78" s="31">
        <f>(Table1[[#This Row],[TN550 I (O2)]]-Table1[[#This Row],[O2]])/Table1[[#This Row],[TN550 I (O2)]]</f>
        <v>3.4160312555530571E-2</v>
      </c>
      <c r="P78" s="9">
        <f>Table1[[#This Row],[M-N2]]+Table1[[#This Row],[TEN-N2]]</f>
        <v>63946.065628168239</v>
      </c>
      <c r="Q78" s="9">
        <v>1448.9496406168676</v>
      </c>
      <c r="R78" s="9">
        <f>SUM(Table1[[#This Row],[TEN-CDA]:[TEN-CDA WWT]])</f>
        <v>99817.581919707867</v>
      </c>
      <c r="S78" s="9">
        <v>428.55043206621917</v>
      </c>
      <c r="T78" s="9">
        <v>243.76681691155841</v>
      </c>
      <c r="U78" s="9">
        <v>40.927078212655971</v>
      </c>
      <c r="V78" s="42">
        <v>1.8</v>
      </c>
      <c r="W78" s="9">
        <v>0.01</v>
      </c>
      <c r="X78" s="9">
        <v>74498.632660695701</v>
      </c>
      <c r="Y78" s="9">
        <v>1499.8910195048195</v>
      </c>
      <c r="Z78" s="1">
        <v>61879.082096308986</v>
      </c>
      <c r="AA78" s="1">
        <v>2066.9835318592504</v>
      </c>
      <c r="AB78" s="1">
        <v>35351.704206605653</v>
      </c>
      <c r="AC78" s="1">
        <v>54750.128814083102</v>
      </c>
      <c r="AD78" s="1">
        <v>7019.5022377580672</v>
      </c>
      <c r="AE78" s="1">
        <v>2684.4833298205999</v>
      </c>
      <c r="AF78" s="1">
        <v>11.763331440434447</v>
      </c>
      <c r="AG78" s="1"/>
      <c r="AH78" s="1"/>
      <c r="AI78" s="1"/>
      <c r="AJ78" s="1"/>
      <c r="AK78" s="1"/>
      <c r="AL78" s="1"/>
      <c r="AM78" s="1"/>
      <c r="AN78" s="1"/>
      <c r="AO78" s="1"/>
      <c r="AP78" s="1"/>
      <c r="AQ78" s="1"/>
    </row>
    <row r="79" spans="1:47" x14ac:dyDescent="0.3">
      <c r="A79" s="9">
        <f t="shared" si="18"/>
        <v>2020</v>
      </c>
      <c r="B79" s="9">
        <f t="shared" si="19"/>
        <v>3</v>
      </c>
      <c r="C79" s="10">
        <v>43904</v>
      </c>
      <c r="D79" s="9">
        <v>0.20699999999999999</v>
      </c>
      <c r="E79" s="9">
        <v>0.14000000000000001</v>
      </c>
      <c r="F79" s="9">
        <v>12.09998400553823</v>
      </c>
      <c r="G79" s="9">
        <v>10764.196175886971</v>
      </c>
      <c r="H79" s="9">
        <v>54796.094324687714</v>
      </c>
      <c r="I79" s="9">
        <v>1499.9108510596482</v>
      </c>
      <c r="J79" s="20">
        <v>70.77</v>
      </c>
      <c r="K79" s="9">
        <v>72.09</v>
      </c>
      <c r="L79" s="31">
        <f>Table1[[#This Row],[TN550 I (O2)]]/(Table1[[#This Row],[Flowmeter A]]+Table1[[#This Row],[Flowmeter B]])</f>
        <v>1.9732836874895739E-2</v>
      </c>
      <c r="M79" s="33">
        <f>Table1[[#This Row],[TN120 Venting2]]/100</f>
        <v>7.1999999999999998E-3</v>
      </c>
      <c r="N79" s="31">
        <f>Table1[[#This Row],[TN550 I Venting2]]/100</f>
        <v>0</v>
      </c>
      <c r="O79" s="31">
        <f>(Table1[[#This Row],[TN550 I (O2)]]-Table1[[#This Row],[O2]])/Table1[[#This Row],[TN550 I (O2)]]</f>
        <v>3.1655910126474424E-2</v>
      </c>
      <c r="P79" s="9">
        <f>Table1[[#This Row],[M-N2]]+Table1[[#This Row],[TEN-N2]]</f>
        <v>64070.460027606023</v>
      </c>
      <c r="Q79" s="9">
        <v>1452.4298079607802</v>
      </c>
      <c r="R79" s="9">
        <f>SUM(Table1[[#This Row],[TEN-CDA]:[TEN-CDA WWT]])</f>
        <v>100826.81355437169</v>
      </c>
      <c r="S79" s="9">
        <v>431.06847843802854</v>
      </c>
      <c r="T79" s="9">
        <v>253.19395639497651</v>
      </c>
      <c r="U79" s="9">
        <v>40.154332312505169</v>
      </c>
      <c r="V79" s="42">
        <v>0.72</v>
      </c>
      <c r="W79" s="9">
        <v>0</v>
      </c>
      <c r="X79" s="9">
        <v>74510.988349019783</v>
      </c>
      <c r="Y79" s="9">
        <v>1499.9197920111633</v>
      </c>
      <c r="Z79" s="1">
        <v>62016.729519973109</v>
      </c>
      <c r="AA79" s="1">
        <v>2053.7305076329103</v>
      </c>
      <c r="AB79" s="1">
        <v>36173.939145450211</v>
      </c>
      <c r="AC79" s="1">
        <v>54846.633904948823</v>
      </c>
      <c r="AD79" s="1">
        <v>7114.9589938627687</v>
      </c>
      <c r="AE79" s="1">
        <v>2680.9580272963112</v>
      </c>
      <c r="AF79" s="1">
        <v>10.323482813578588</v>
      </c>
      <c r="AG79" s="1"/>
      <c r="AH79" s="1"/>
      <c r="AI79" s="1"/>
      <c r="AJ79" s="1"/>
      <c r="AK79" s="1"/>
      <c r="AL79" s="1"/>
      <c r="AM79" s="1"/>
      <c r="AN79" s="1"/>
      <c r="AO79" s="1"/>
      <c r="AP79" s="1"/>
      <c r="AQ79" s="1"/>
    </row>
    <row r="80" spans="1:47" x14ac:dyDescent="0.3">
      <c r="A80" s="9">
        <f t="shared" si="18"/>
        <v>2020</v>
      </c>
      <c r="B80" s="9">
        <f t="shared" si="19"/>
        <v>3</v>
      </c>
      <c r="C80" s="10">
        <v>43905</v>
      </c>
      <c r="D80" s="9">
        <v>0.20899999999999999</v>
      </c>
      <c r="E80" s="9">
        <v>0.216</v>
      </c>
      <c r="F80" s="9">
        <v>12.046108971859828</v>
      </c>
      <c r="G80" s="9">
        <v>11024.644824693138</v>
      </c>
      <c r="H80" s="9">
        <v>54805.975087829633</v>
      </c>
      <c r="I80" s="9">
        <v>1500.1427278962092</v>
      </c>
      <c r="J80" s="20">
        <v>70.959999999999994</v>
      </c>
      <c r="K80" s="9">
        <v>71.95</v>
      </c>
      <c r="L80" s="31">
        <f>Table1[[#This Row],[TN550 I (O2)]]/(Table1[[#This Row],[Flowmeter A]]+Table1[[#This Row],[Flowmeter B]])</f>
        <v>1.9692749006351536E-2</v>
      </c>
      <c r="M80" s="33">
        <f>Table1[[#This Row],[TN120 Venting2]]/100</f>
        <v>4.4000000000000003E-3</v>
      </c>
      <c r="N80" s="31">
        <f>Table1[[#This Row],[TN550 I Venting2]]/100</f>
        <v>0</v>
      </c>
      <c r="O80" s="31">
        <f>(Table1[[#This Row],[TN550 I (O2)]]-Table1[[#This Row],[O2]])/Table1[[#This Row],[TN550 I (O2)]]</f>
        <v>3.370100395624586E-2</v>
      </c>
      <c r="P80" s="9">
        <f>Table1[[#This Row],[M-N2]]+Table1[[#This Row],[TEN-N2]]</f>
        <v>64367.315929997887</v>
      </c>
      <c r="Q80" s="9">
        <v>1449.5864118884456</v>
      </c>
      <c r="R80" s="9">
        <f>SUM(Table1[[#This Row],[TEN-CDA]:[TEN-CDA WWT]])</f>
        <v>100468.90211475284</v>
      </c>
      <c r="S80" s="9">
        <v>425.25598085232696</v>
      </c>
      <c r="T80" s="9">
        <v>251.65760953586852</v>
      </c>
      <c r="U80" s="9">
        <v>38.867677647566147</v>
      </c>
      <c r="V80" s="42">
        <v>0.44</v>
      </c>
      <c r="W80" s="9">
        <v>0</v>
      </c>
      <c r="X80" s="9">
        <v>74677.809610296667</v>
      </c>
      <c r="Y80" s="9">
        <v>1499.6061183233214</v>
      </c>
      <c r="Z80" s="1">
        <v>62308.209790835361</v>
      </c>
      <c r="AA80" s="1">
        <v>2059.1061391625281</v>
      </c>
      <c r="AB80" s="1">
        <v>35842.49260496183</v>
      </c>
      <c r="AC80" s="1">
        <v>54876.749566273422</v>
      </c>
      <c r="AD80" s="1">
        <v>7083.0714510322696</v>
      </c>
      <c r="AE80" s="1">
        <v>2658.5589630952895</v>
      </c>
      <c r="AF80" s="1">
        <v>8.0295293900203077</v>
      </c>
      <c r="AG80" s="1"/>
      <c r="AH80" s="1"/>
      <c r="AI80" s="1"/>
      <c r="AJ80" s="1"/>
      <c r="AK80" s="1"/>
      <c r="AL80" s="1"/>
      <c r="AM80" s="1"/>
      <c r="AN80" s="1"/>
      <c r="AO80" s="1"/>
      <c r="AP80" s="1"/>
      <c r="AQ80" s="1"/>
    </row>
    <row r="81" spans="1:43" x14ac:dyDescent="0.3">
      <c r="A81" s="9">
        <f t="shared" si="18"/>
        <v>2020</v>
      </c>
      <c r="B81" s="9">
        <f t="shared" si="19"/>
        <v>3</v>
      </c>
      <c r="C81" s="10">
        <v>43906</v>
      </c>
      <c r="D81" s="9">
        <v>0.20699999999999999</v>
      </c>
      <c r="E81" s="9">
        <v>0.13900000000000001</v>
      </c>
      <c r="F81" s="9">
        <v>13.12712223574488</v>
      </c>
      <c r="G81" s="9">
        <v>10824.066899956597</v>
      </c>
      <c r="H81" s="9">
        <v>54797.142804476061</v>
      </c>
      <c r="I81" s="9">
        <v>1499.9226840864362</v>
      </c>
      <c r="J81" s="20">
        <v>70.87</v>
      </c>
      <c r="K81" s="9">
        <v>71.819999999999993</v>
      </c>
      <c r="L81" s="31">
        <f>Table1[[#This Row],[TN550 I (O2)]]/(Table1[[#This Row],[Flowmeter A]]+Table1[[#This Row],[Flowmeter B]])</f>
        <v>1.9658116767642338E-2</v>
      </c>
      <c r="M81" s="33">
        <f>Table1[[#This Row],[TN120 Venting2]]/100</f>
        <v>1.2500000000000001E-2</v>
      </c>
      <c r="N81" s="31">
        <f>Table1[[#This Row],[TN550 I Venting2]]/100</f>
        <v>0</v>
      </c>
      <c r="O81" s="31">
        <f>(Table1[[#This Row],[TN550 I (O2)]]-Table1[[#This Row],[O2]])/Table1[[#This Row],[TN550 I (O2)]]</f>
        <v>3.7629851149963756E-2</v>
      </c>
      <c r="P81" s="9">
        <f>Table1[[#This Row],[M-N2]]+Table1[[#This Row],[TEN-N2]]</f>
        <v>64046.735941074854</v>
      </c>
      <c r="Q81" s="9">
        <v>1443.4808167478095</v>
      </c>
      <c r="R81" s="9">
        <f>SUM(Table1[[#This Row],[TEN-CDA]:[TEN-CDA WWT]])</f>
        <v>99799.940779987068</v>
      </c>
      <c r="S81" s="9">
        <v>429.36328235125887</v>
      </c>
      <c r="T81" s="9">
        <v>239.73930586550816</v>
      </c>
      <c r="U81" s="9">
        <v>39.275372602474683</v>
      </c>
      <c r="V81" s="42">
        <v>1.25</v>
      </c>
      <c r="W81" s="9">
        <v>0</v>
      </c>
      <c r="X81" s="9">
        <v>74800.417169066626</v>
      </c>
      <c r="Y81" s="9">
        <v>1500.0088491234658</v>
      </c>
      <c r="Z81" s="1">
        <v>62026.252857173837</v>
      </c>
      <c r="AA81" s="1">
        <v>2020.4830839010181</v>
      </c>
      <c r="AB81" s="1">
        <v>35319.901651142871</v>
      </c>
      <c r="AC81" s="1">
        <v>54690.319867930259</v>
      </c>
      <c r="AD81" s="1">
        <v>7118.176329846352</v>
      </c>
      <c r="AE81" s="1">
        <v>2660.0129098038474</v>
      </c>
      <c r="AF81" s="1">
        <v>11.530021263747932</v>
      </c>
      <c r="AG81" s="1"/>
      <c r="AH81" s="1"/>
      <c r="AI81" s="1"/>
      <c r="AJ81" s="1"/>
      <c r="AK81" s="1"/>
      <c r="AL81" s="1"/>
      <c r="AM81" s="1"/>
      <c r="AN81" s="1"/>
      <c r="AO81" s="1"/>
      <c r="AP81" s="1"/>
      <c r="AQ81" s="1"/>
    </row>
    <row r="82" spans="1:43" x14ac:dyDescent="0.3">
      <c r="A82" s="9">
        <f t="shared" si="18"/>
        <v>2020</v>
      </c>
      <c r="B82" s="9">
        <f t="shared" si="19"/>
        <v>3</v>
      </c>
      <c r="C82" s="10">
        <v>43907</v>
      </c>
      <c r="D82" s="9">
        <v>0.20899999999999999</v>
      </c>
      <c r="E82" s="9">
        <v>0.14499999999999999</v>
      </c>
      <c r="F82" s="9">
        <v>13.418033411236458</v>
      </c>
      <c r="G82" s="9">
        <v>10694.603884292592</v>
      </c>
      <c r="H82" s="9">
        <v>54801.10814430083</v>
      </c>
      <c r="I82" s="9">
        <v>1500.2877097305202</v>
      </c>
      <c r="J82" s="20">
        <v>70.790000000000006</v>
      </c>
      <c r="K82" s="9">
        <v>71.83</v>
      </c>
      <c r="L82" s="31">
        <f>Table1[[#This Row],[TN550 I (O2)]]/(Table1[[#This Row],[Flowmeter A]]+Table1[[#This Row],[Flowmeter B]])</f>
        <v>1.9664269895225212E-2</v>
      </c>
      <c r="M82" s="33">
        <f>Table1[[#This Row],[TN120 Venting2]]/100</f>
        <v>1.9799999999999998E-2</v>
      </c>
      <c r="N82" s="31">
        <f>Table1[[#This Row],[TN550 I Venting2]]/100</f>
        <v>0</v>
      </c>
      <c r="O82" s="31">
        <f>(Table1[[#This Row],[TN550 I (O2)]]-Table1[[#This Row],[O2]])/Table1[[#This Row],[TN550 I (O2)]]</f>
        <v>3.774474980691693E-2</v>
      </c>
      <c r="P82" s="9">
        <f>Table1[[#This Row],[M-N2]]+Table1[[#This Row],[TEN-N2]]</f>
        <v>63968.835212956365</v>
      </c>
      <c r="Q82" s="9">
        <v>1443.6597254883493</v>
      </c>
      <c r="R82" s="9">
        <f>SUM(Table1[[#This Row],[TEN-CDA]:[TEN-CDA WWT]])</f>
        <v>99630.120286694422</v>
      </c>
      <c r="S82" s="9">
        <v>428.01157139308913</v>
      </c>
      <c r="T82" s="9">
        <v>245.10516894285584</v>
      </c>
      <c r="U82" s="9">
        <v>39.1555776907122</v>
      </c>
      <c r="V82" s="42">
        <v>1.98</v>
      </c>
      <c r="W82" s="9">
        <v>0</v>
      </c>
      <c r="X82" s="9">
        <v>74795.037528192217</v>
      </c>
      <c r="Y82" s="9">
        <v>1500.0762860670759</v>
      </c>
      <c r="Z82" s="1">
        <v>61941.010176309857</v>
      </c>
      <c r="AA82" s="1">
        <v>2027.8250366465072</v>
      </c>
      <c r="AB82" s="1">
        <v>35167.018907768041</v>
      </c>
      <c r="AC82" s="1">
        <v>54737.870383522728</v>
      </c>
      <c r="AD82" s="1">
        <v>7086.5418268292415</v>
      </c>
      <c r="AE82" s="1">
        <v>2627.4925997096743</v>
      </c>
      <c r="AF82" s="1">
        <v>11.196568864726673</v>
      </c>
      <c r="AG82" s="1"/>
      <c r="AH82" s="1"/>
      <c r="AI82" s="1"/>
      <c r="AJ82" s="1"/>
      <c r="AK82" s="1"/>
      <c r="AL82" s="1"/>
      <c r="AM82" s="1"/>
      <c r="AN82" s="1"/>
      <c r="AO82" s="1"/>
      <c r="AP82" s="1"/>
      <c r="AQ82" s="1"/>
    </row>
    <row r="83" spans="1:43" x14ac:dyDescent="0.3">
      <c r="A83" s="9">
        <f t="shared" si="18"/>
        <v>2020</v>
      </c>
      <c r="B83" s="9">
        <f t="shared" si="19"/>
        <v>3</v>
      </c>
      <c r="C83" s="10">
        <v>43908</v>
      </c>
      <c r="D83" s="9">
        <v>0.20799999999999999</v>
      </c>
      <c r="E83" s="9">
        <v>0.14499999999999999</v>
      </c>
      <c r="F83" s="9">
        <v>13.038609330642563</v>
      </c>
      <c r="G83" s="9">
        <v>10562.046507010104</v>
      </c>
      <c r="H83" s="9">
        <v>54791.232911172803</v>
      </c>
      <c r="I83" s="9">
        <v>1500.3002351950142</v>
      </c>
      <c r="J83" s="20">
        <v>70.77</v>
      </c>
      <c r="K83" s="9">
        <v>71.92</v>
      </c>
      <c r="L83" s="31">
        <f>Table1[[#This Row],[TN550 I (O2)]]/(Table1[[#This Row],[Flowmeter A]]+Table1[[#This Row],[Flowmeter B]])</f>
        <v>1.9694144311808149E-2</v>
      </c>
      <c r="M83" s="33">
        <f>Table1[[#This Row],[TN120 Venting2]]/100</f>
        <v>3.6699999999999997E-2</v>
      </c>
      <c r="N83" s="31">
        <f>Table1[[#This Row],[TN550 I Venting2]]/100</f>
        <v>0</v>
      </c>
      <c r="O83" s="31">
        <f>(Table1[[#This Row],[TN550 I (O2)]]-Table1[[#This Row],[O2]])/Table1[[#This Row],[TN550 I (O2)]]</f>
        <v>3.5657957902886589E-2</v>
      </c>
      <c r="P83" s="9">
        <f>Table1[[#This Row],[M-N2]]+Table1[[#This Row],[TEN-N2]]</f>
        <v>63679.908569590079</v>
      </c>
      <c r="Q83" s="9">
        <v>1446.8025925667396</v>
      </c>
      <c r="R83" s="9">
        <f>SUM(Table1[[#This Row],[TEN-CDA]:[TEN-CDA WWT]])</f>
        <v>100334.93852138176</v>
      </c>
      <c r="S83" s="9">
        <v>421.22223889405814</v>
      </c>
      <c r="T83" s="9">
        <v>246.99444391593431</v>
      </c>
      <c r="U83" s="9">
        <v>39.688907273853097</v>
      </c>
      <c r="V83" s="42">
        <v>3.67</v>
      </c>
      <c r="W83" s="9">
        <v>0</v>
      </c>
      <c r="X83" s="9">
        <v>74680.002927654394</v>
      </c>
      <c r="Y83" s="9">
        <v>1500.0133980850972</v>
      </c>
      <c r="Z83" s="1">
        <v>61710.042117561592</v>
      </c>
      <c r="AA83" s="1">
        <v>1969.8664520284849</v>
      </c>
      <c r="AB83" s="1">
        <v>35740.033784589694</v>
      </c>
      <c r="AC83" s="1">
        <v>54885.659722523422</v>
      </c>
      <c r="AD83" s="1">
        <v>7044.4587027915723</v>
      </c>
      <c r="AE83" s="1">
        <v>2655.9492597507156</v>
      </c>
      <c r="AF83" s="1">
        <v>8.837051726355476</v>
      </c>
      <c r="AG83" s="1"/>
      <c r="AH83" s="1"/>
      <c r="AI83" s="1"/>
      <c r="AJ83" s="1"/>
      <c r="AK83" s="1"/>
      <c r="AL83" s="1"/>
      <c r="AM83" s="1"/>
      <c r="AN83" s="1"/>
      <c r="AO83" s="1"/>
      <c r="AP83" s="1"/>
      <c r="AQ83" s="1"/>
    </row>
    <row r="84" spans="1:43" x14ac:dyDescent="0.3">
      <c r="A84" s="9">
        <f t="shared" si="18"/>
        <v>2020</v>
      </c>
      <c r="B84" s="9">
        <f t="shared" si="19"/>
        <v>3</v>
      </c>
      <c r="C84" s="10">
        <v>43909</v>
      </c>
      <c r="D84" s="9">
        <v>0.21099999999999999</v>
      </c>
      <c r="E84" s="9">
        <v>0.126</v>
      </c>
      <c r="F84" s="9">
        <v>12.534892159646621</v>
      </c>
      <c r="G84" s="9">
        <v>10495.87283949948</v>
      </c>
      <c r="H84" s="9">
        <v>54803.593140072</v>
      </c>
      <c r="I84" s="9">
        <v>1508.0442171540217</v>
      </c>
      <c r="J84" s="20">
        <v>70.900000000000006</v>
      </c>
      <c r="K84" s="9">
        <v>71.92</v>
      </c>
      <c r="L84" s="31">
        <f>Table1[[#This Row],[TN550 I (O2)]]/(Table1[[#This Row],[Flowmeter A]]+Table1[[#This Row],[Flowmeter B]])</f>
        <v>1.9789728474015469E-2</v>
      </c>
      <c r="M84" s="33">
        <f>Table1[[#This Row],[TN120 Venting2]]/100</f>
        <v>3.6499999999999998E-2</v>
      </c>
      <c r="N84" s="31">
        <f>Table1[[#This Row],[TN550 I Venting2]]/100</f>
        <v>0</v>
      </c>
      <c r="O84" s="31">
        <f>(Table1[[#This Row],[TN550 I (O2)]]-Table1[[#This Row],[O2]])/Table1[[#This Row],[TN550 I (O2)]]</f>
        <v>3.8732561106155652E-2</v>
      </c>
      <c r="P84" s="9">
        <f>Table1[[#This Row],[M-N2]]+Table1[[#This Row],[TEN-N2]]</f>
        <v>63881.10871432937</v>
      </c>
      <c r="Q84" s="9">
        <v>1449.6338023623189</v>
      </c>
      <c r="R84" s="9">
        <f>SUM(Table1[[#This Row],[TEN-CDA]:[TEN-CDA WWT]])</f>
        <v>100324.80395840986</v>
      </c>
      <c r="S84" s="9">
        <v>422.93491244398825</v>
      </c>
      <c r="T84" s="9">
        <v>256.40400539083168</v>
      </c>
      <c r="U84" s="9">
        <v>39.975817532774315</v>
      </c>
      <c r="V84" s="42">
        <v>3.65</v>
      </c>
      <c r="W84" s="9">
        <v>0</v>
      </c>
      <c r="X84" s="9">
        <v>74703.686421105129</v>
      </c>
      <c r="Y84" s="9">
        <v>1499.6944961283125</v>
      </c>
      <c r="Z84" s="1">
        <v>61922.473792071469</v>
      </c>
      <c r="AA84" s="1">
        <v>1958.6349222578992</v>
      </c>
      <c r="AB84" s="1">
        <v>35549.965388619014</v>
      </c>
      <c r="AC84" s="1">
        <v>54964.785272814021</v>
      </c>
      <c r="AD84" s="1">
        <v>7113.64704889725</v>
      </c>
      <c r="AE84" s="1">
        <v>2685.5706830312611</v>
      </c>
      <c r="AF84" s="1">
        <v>10.835565048319692</v>
      </c>
      <c r="AG84" s="1"/>
      <c r="AH84" s="1"/>
      <c r="AI84" s="1"/>
      <c r="AJ84" s="1"/>
      <c r="AK84" s="1"/>
      <c r="AL84" s="1"/>
      <c r="AM84" s="1"/>
      <c r="AN84" s="1"/>
      <c r="AO84" s="1"/>
      <c r="AP84" s="1"/>
      <c r="AQ84" s="1"/>
    </row>
    <row r="85" spans="1:43" x14ac:dyDescent="0.3">
      <c r="A85" s="9">
        <f t="shared" si="18"/>
        <v>2020</v>
      </c>
      <c r="B85" s="9">
        <f t="shared" si="19"/>
        <v>3</v>
      </c>
      <c r="C85" s="10">
        <v>43910</v>
      </c>
      <c r="D85" s="9">
        <v>0.21</v>
      </c>
      <c r="E85" s="9">
        <v>0.14499999999999999</v>
      </c>
      <c r="F85" s="9">
        <v>13.80252218014825</v>
      </c>
      <c r="G85" s="9">
        <v>11103.193055088695</v>
      </c>
      <c r="H85" s="9">
        <v>54594.824969639143</v>
      </c>
      <c r="I85" s="9">
        <v>1530.6838609323495</v>
      </c>
      <c r="J85" s="20">
        <v>71.069999999999993</v>
      </c>
      <c r="K85" s="9">
        <v>71.73</v>
      </c>
      <c r="L85" s="31">
        <f>Table1[[#This Row],[TN550 I (O2)]]/(Table1[[#This Row],[Flowmeter A]]+Table1[[#This Row],[Flowmeter B]])</f>
        <v>2.0111357628303499E-2</v>
      </c>
      <c r="M85" s="33">
        <f>Table1[[#This Row],[TN120 Venting2]]/100</f>
        <v>8.199999999999999E-3</v>
      </c>
      <c r="N85" s="31">
        <f>Table1[[#This Row],[TN550 I Venting2]]/100</f>
        <v>0</v>
      </c>
      <c r="O85" s="31">
        <f>(Table1[[#This Row],[TN550 I (O2)]]-Table1[[#This Row],[O2]])/Table1[[#This Row],[TN550 I (O2)]]</f>
        <v>5.5379533282737543E-2</v>
      </c>
      <c r="P85" s="9">
        <f>Table1[[#This Row],[M-N2]]+Table1[[#This Row],[TEN-N2]]</f>
        <v>64094.337896385434</v>
      </c>
      <c r="Q85" s="9">
        <v>1445.9153031104972</v>
      </c>
      <c r="R85" s="9">
        <f>SUM(Table1[[#This Row],[TEN-CDA]:[TEN-CDA WWT]])</f>
        <v>100573.18136578871</v>
      </c>
      <c r="S85" s="9">
        <v>429.30894310320525</v>
      </c>
      <c r="T85" s="9">
        <v>254.80165560720368</v>
      </c>
      <c r="U85" s="9">
        <v>40.11452744091492</v>
      </c>
      <c r="V85" s="42">
        <v>0.82</v>
      </c>
      <c r="W85" s="9">
        <v>0</v>
      </c>
      <c r="X85" s="9">
        <v>74609.967871703673</v>
      </c>
      <c r="Y85" s="9">
        <v>1500.4513860274983</v>
      </c>
      <c r="Z85" s="1">
        <v>62077.542036237857</v>
      </c>
      <c r="AA85" s="1">
        <v>2016.7958601475757</v>
      </c>
      <c r="AB85" s="1">
        <v>35923.967001539728</v>
      </c>
      <c r="AC85" s="1">
        <v>54819.271323082925</v>
      </c>
      <c r="AD85" s="1">
        <v>7135.5015163487815</v>
      </c>
      <c r="AE85" s="1">
        <v>2674.7614732539796</v>
      </c>
      <c r="AF85" s="1">
        <v>19.680051563288252</v>
      </c>
      <c r="AG85" s="1"/>
      <c r="AH85" s="1"/>
      <c r="AI85" s="1"/>
      <c r="AJ85" s="1"/>
      <c r="AK85" s="1"/>
      <c r="AL85" s="1"/>
      <c r="AM85" s="1"/>
      <c r="AN85" s="1"/>
      <c r="AO85" s="1"/>
      <c r="AP85" s="1"/>
      <c r="AQ85" s="1"/>
    </row>
    <row r="86" spans="1:43" x14ac:dyDescent="0.3">
      <c r="A86" s="9">
        <f t="shared" si="18"/>
        <v>2020</v>
      </c>
      <c r="B86" s="9">
        <f t="shared" si="19"/>
        <v>3</v>
      </c>
      <c r="C86" s="10">
        <v>43911</v>
      </c>
      <c r="D86" s="9">
        <v>0.21099999999999999</v>
      </c>
      <c r="E86" s="9">
        <v>0.14499999999999999</v>
      </c>
      <c r="F86" s="9">
        <v>15.123736249167914</v>
      </c>
      <c r="G86" s="9">
        <v>11103.590677995966</v>
      </c>
      <c r="H86" s="9">
        <v>54774.079567140878</v>
      </c>
      <c r="I86" s="9">
        <v>1510.8708348694483</v>
      </c>
      <c r="J86" s="20">
        <v>71.02</v>
      </c>
      <c r="K86" s="9">
        <v>71.58</v>
      </c>
      <c r="L86" s="31">
        <f>Table1[[#This Row],[TN550 I (O2)]]/(Table1[[#This Row],[Flowmeter A]]+Table1[[#This Row],[Flowmeter B]])</f>
        <v>1.9743639574420799E-2</v>
      </c>
      <c r="M86" s="33">
        <f>Table1[[#This Row],[TN120 Venting2]]/100</f>
        <v>7.4999999999999997E-3</v>
      </c>
      <c r="N86" s="31">
        <f>Table1[[#This Row],[TN550 I Venting2]]/100</f>
        <v>0</v>
      </c>
      <c r="O86" s="31">
        <f>(Table1[[#This Row],[TN550 I (O2)]]-Table1[[#This Row],[O2]])/Table1[[#This Row],[TN550 I (O2)]]</f>
        <v>3.8039317438901883E-2</v>
      </c>
      <c r="P86" s="9">
        <f>Table1[[#This Row],[M-N2]]+Table1[[#This Row],[TEN-N2]]</f>
        <v>64173.809477985415</v>
      </c>
      <c r="Q86" s="9">
        <v>1453.3983395726707</v>
      </c>
      <c r="R86" s="9">
        <f>SUM(Table1[[#This Row],[TEN-CDA]:[TEN-CDA WWT]])</f>
        <v>100681.12868451716</v>
      </c>
      <c r="S86" s="9">
        <v>428.74192544274001</v>
      </c>
      <c r="T86" s="9">
        <v>250.27254109644045</v>
      </c>
      <c r="U86" s="9">
        <v>39.961055500154941</v>
      </c>
      <c r="V86" s="42">
        <v>0.75</v>
      </c>
      <c r="W86" s="9">
        <v>0</v>
      </c>
      <c r="X86" s="9">
        <v>75024.337406748789</v>
      </c>
      <c r="Y86" s="9">
        <v>1500.0961544717211</v>
      </c>
      <c r="Z86" s="1">
        <v>62117.116959793544</v>
      </c>
      <c r="AA86" s="1">
        <v>2056.6925181918673</v>
      </c>
      <c r="AB86" s="1">
        <v>36099.407191297745</v>
      </c>
      <c r="AC86" s="1">
        <v>54881.040228140184</v>
      </c>
      <c r="AD86" s="1">
        <v>6992.3244766140051</v>
      </c>
      <c r="AE86" s="1">
        <v>2683.4526069000476</v>
      </c>
      <c r="AF86" s="1">
        <v>24.904181565168415</v>
      </c>
      <c r="AG86" s="1"/>
      <c r="AH86" s="1"/>
      <c r="AI86" s="1"/>
      <c r="AJ86" s="1"/>
      <c r="AK86" s="1"/>
      <c r="AL86" s="1"/>
      <c r="AM86" s="1"/>
      <c r="AN86" s="1"/>
      <c r="AO86" s="1"/>
      <c r="AP86" s="1"/>
      <c r="AQ86" s="1"/>
    </row>
    <row r="87" spans="1:43" x14ac:dyDescent="0.3">
      <c r="A87" s="9">
        <f t="shared" si="18"/>
        <v>2020</v>
      </c>
      <c r="B87" s="9">
        <f t="shared" si="19"/>
        <v>3</v>
      </c>
      <c r="C87" s="10">
        <v>43912</v>
      </c>
      <c r="D87" s="9">
        <v>0.20699999999999999</v>
      </c>
      <c r="E87" s="9">
        <v>0.14699999999999999</v>
      </c>
      <c r="F87" s="9">
        <v>14.784463593233468</v>
      </c>
      <c r="G87" s="9">
        <v>10819.467259064886</v>
      </c>
      <c r="H87" s="9">
        <v>54998.343478920891</v>
      </c>
      <c r="I87" s="9">
        <v>1531.5706177181371</v>
      </c>
      <c r="J87" s="20">
        <v>70.98</v>
      </c>
      <c r="K87" s="9">
        <v>71.900000000000006</v>
      </c>
      <c r="L87" s="31">
        <f>Table1[[#This Row],[TN550 I (O2)]]/(Table1[[#This Row],[Flowmeter A]]+Table1[[#This Row],[Flowmeter B]])</f>
        <v>2.0022424426541865E-2</v>
      </c>
      <c r="M87" s="33">
        <f>Table1[[#This Row],[TN120 Venting2]]/100</f>
        <v>1.84E-2</v>
      </c>
      <c r="N87" s="31">
        <f>Table1[[#This Row],[TN550 I Venting2]]/100</f>
        <v>0</v>
      </c>
      <c r="O87" s="31">
        <f>(Table1[[#This Row],[TN550 I (O2)]]-Table1[[#This Row],[O2]])/Table1[[#This Row],[TN550 I (O2)]]</f>
        <v>4.7117426358164224E-2</v>
      </c>
      <c r="P87" s="9">
        <f>Table1[[#This Row],[M-N2]]+Table1[[#This Row],[TEN-N2]]</f>
        <v>64389.956837682577</v>
      </c>
      <c r="Q87" s="9">
        <v>1459.4069519254747</v>
      </c>
      <c r="R87" s="9">
        <f>SUM(Table1[[#This Row],[TEN-CDA]:[TEN-CDA WWT]])</f>
        <v>100418.84936923806</v>
      </c>
      <c r="S87" s="9">
        <v>429.82918763011799</v>
      </c>
      <c r="T87" s="9">
        <v>255.28393417030139</v>
      </c>
      <c r="U87" s="9">
        <v>40.350569394791314</v>
      </c>
      <c r="V87" s="42">
        <v>1.84</v>
      </c>
      <c r="W87" s="9">
        <v>0</v>
      </c>
      <c r="X87" s="9">
        <v>74992.611906878898</v>
      </c>
      <c r="Y87" s="9">
        <v>1500.153658907253</v>
      </c>
      <c r="Z87" s="1">
        <v>62317.512396447783</v>
      </c>
      <c r="AA87" s="1">
        <v>2072.4444412347925</v>
      </c>
      <c r="AB87" s="1">
        <v>35817.344359928</v>
      </c>
      <c r="AC87" s="1">
        <v>55011.114894170714</v>
      </c>
      <c r="AD87" s="1">
        <v>6857.4739415038384</v>
      </c>
      <c r="AE87" s="1">
        <v>2716.0303832245404</v>
      </c>
      <c r="AF87" s="1">
        <v>16.885790410970895</v>
      </c>
      <c r="AG87" s="1"/>
      <c r="AH87" s="1"/>
      <c r="AI87" s="1"/>
      <c r="AJ87" s="1"/>
      <c r="AK87" s="1"/>
      <c r="AL87" s="1"/>
      <c r="AM87" s="1"/>
      <c r="AN87" s="1"/>
      <c r="AO87" s="1"/>
      <c r="AP87" s="1"/>
      <c r="AQ87" s="1"/>
    </row>
    <row r="88" spans="1:43" x14ac:dyDescent="0.3">
      <c r="A88" s="9">
        <f t="shared" si="18"/>
        <v>2020</v>
      </c>
      <c r="B88" s="9">
        <f t="shared" si="19"/>
        <v>3</v>
      </c>
      <c r="C88" s="10">
        <v>43913</v>
      </c>
      <c r="D88" s="9">
        <v>0.20899999999999999</v>
      </c>
      <c r="E88" s="9">
        <v>0.14399999999999999</v>
      </c>
      <c r="F88" s="9">
        <v>14.874783719107146</v>
      </c>
      <c r="G88" s="9">
        <v>10653.451594758417</v>
      </c>
      <c r="H88" s="9">
        <v>55001.643438801177</v>
      </c>
      <c r="I88" s="9">
        <v>1501.2276113220255</v>
      </c>
      <c r="J88" s="20">
        <v>71</v>
      </c>
      <c r="K88" s="9">
        <v>71.900000000000006</v>
      </c>
      <c r="L88" s="31">
        <f>Table1[[#This Row],[TN550 I (O2)]]/(Table1[[#This Row],[Flowmeter A]]+Table1[[#This Row],[Flowmeter B]])</f>
        <v>1.9624485298025376E-2</v>
      </c>
      <c r="M88" s="33">
        <f>Table1[[#This Row],[TN120 Venting2]]/100</f>
        <v>2.64E-2</v>
      </c>
      <c r="N88" s="31">
        <f>Table1[[#This Row],[TN550 I Venting2]]/100</f>
        <v>0</v>
      </c>
      <c r="O88" s="31">
        <f>(Table1[[#This Row],[TN550 I (O2)]]-Table1[[#This Row],[O2]])/Table1[[#This Row],[TN550 I (O2)]]</f>
        <v>2.8045813765689091E-2</v>
      </c>
      <c r="P88" s="9">
        <f>Table1[[#This Row],[M-N2]]+Table1[[#This Row],[TEN-N2]]</f>
        <v>64291.411442943951</v>
      </c>
      <c r="Q88" s="9">
        <v>1459.1244613149777</v>
      </c>
      <c r="R88" s="9">
        <f>SUM(Table1[[#This Row],[TEN-CDA]:[TEN-CDA WWT]])</f>
        <v>100129.68842528616</v>
      </c>
      <c r="S88" s="9">
        <v>425.87902846855889</v>
      </c>
      <c r="T88" s="9">
        <v>248.09888156994111</v>
      </c>
      <c r="U88" s="9">
        <v>41.375305641698475</v>
      </c>
      <c r="V88" s="42">
        <v>2.64</v>
      </c>
      <c r="W88" s="9">
        <v>0</v>
      </c>
      <c r="X88" s="9">
        <v>74997.966630161347</v>
      </c>
      <c r="Y88" s="9">
        <v>1499.7141254750661</v>
      </c>
      <c r="Z88" s="1">
        <v>62208.432983822</v>
      </c>
      <c r="AA88" s="1">
        <v>2082.9784591219477</v>
      </c>
      <c r="AB88" s="1">
        <v>35482.626368949517</v>
      </c>
      <c r="AC88" s="1">
        <v>54859.610434919327</v>
      </c>
      <c r="AD88" s="1">
        <v>7072.6171902107908</v>
      </c>
      <c r="AE88" s="1">
        <v>2694.9376192748091</v>
      </c>
      <c r="AF88" s="1">
        <v>19.896811931735936</v>
      </c>
      <c r="AG88" s="1"/>
      <c r="AH88" s="1"/>
      <c r="AI88" s="1"/>
      <c r="AJ88" s="1"/>
      <c r="AK88" s="1"/>
      <c r="AL88" s="1"/>
      <c r="AM88" s="1"/>
      <c r="AN88" s="1"/>
      <c r="AO88" s="1"/>
      <c r="AP88" s="1"/>
      <c r="AQ88" s="1"/>
    </row>
    <row r="89" spans="1:43" x14ac:dyDescent="0.3">
      <c r="A89" s="9">
        <f t="shared" si="18"/>
        <v>2020</v>
      </c>
      <c r="B89" s="9">
        <f t="shared" si="19"/>
        <v>3</v>
      </c>
      <c r="C89" s="10">
        <v>43914</v>
      </c>
      <c r="D89" s="9">
        <v>0.21</v>
      </c>
      <c r="E89" s="9">
        <v>0.14499999999999999</v>
      </c>
      <c r="F89" s="9">
        <v>16.318004152826102</v>
      </c>
      <c r="G89" s="9">
        <v>10765.110888299139</v>
      </c>
      <c r="H89" s="9">
        <v>54997.910801418286</v>
      </c>
      <c r="I89" s="9">
        <v>1553.3319326449732</v>
      </c>
      <c r="J89" s="20">
        <v>70.959999999999994</v>
      </c>
      <c r="K89" s="9">
        <v>71.75</v>
      </c>
      <c r="L89" s="31">
        <f>Table1[[#This Row],[TN550 I (O2)]]/(Table1[[#This Row],[Flowmeter A]]+Table1[[#This Row],[Flowmeter B]])</f>
        <v>2.0265154953039231E-2</v>
      </c>
      <c r="M89" s="33">
        <f>Table1[[#This Row],[TN120 Venting2]]/100</f>
        <v>1.9699999999999999E-2</v>
      </c>
      <c r="N89" s="31">
        <f>Table1[[#This Row],[TN550 I Venting2]]/100</f>
        <v>0</v>
      </c>
      <c r="O89" s="31">
        <f>(Table1[[#This Row],[TN550 I (O2)]]-Table1[[#This Row],[O2]])/Table1[[#This Row],[TN550 I (O2)]]</f>
        <v>5.9029503311405176E-2</v>
      </c>
      <c r="P89" s="9">
        <f>Table1[[#This Row],[M-N2]]+Table1[[#This Row],[TEN-N2]]</f>
        <v>64235.835845333102</v>
      </c>
      <c r="Q89" s="9">
        <v>1461.6395201831954</v>
      </c>
      <c r="R89" s="9">
        <f>SUM(Table1[[#This Row],[TEN-CDA]:[TEN-CDA WWT]])</f>
        <v>99924.09879508616</v>
      </c>
      <c r="S89" s="9">
        <v>424.00127023859704</v>
      </c>
      <c r="T89" s="9">
        <v>256.29935884707345</v>
      </c>
      <c r="U89" s="9">
        <v>41.096335739993457</v>
      </c>
      <c r="V89" s="42">
        <v>1.97</v>
      </c>
      <c r="W89" s="9">
        <v>0</v>
      </c>
      <c r="X89" s="9">
        <v>75068.24087005551</v>
      </c>
      <c r="Y89" s="9">
        <v>1582.1442982066762</v>
      </c>
      <c r="Z89" s="1">
        <v>62159.025698299789</v>
      </c>
      <c r="AA89" s="1">
        <v>2076.8101470333104</v>
      </c>
      <c r="AB89" s="1">
        <v>35396.208478812456</v>
      </c>
      <c r="AC89" s="1">
        <v>54757.811469899374</v>
      </c>
      <c r="AD89" s="1">
        <v>7022.9071604869669</v>
      </c>
      <c r="AE89" s="1">
        <v>2728.895578970767</v>
      </c>
      <c r="AF89" s="1">
        <v>18.276106916595506</v>
      </c>
      <c r="AG89" s="1"/>
      <c r="AH89" s="1"/>
      <c r="AI89" s="1"/>
      <c r="AJ89" s="1"/>
      <c r="AK89" s="1"/>
      <c r="AL89" s="1"/>
      <c r="AM89" s="1"/>
      <c r="AN89" s="1"/>
      <c r="AO89" s="1"/>
      <c r="AP89" s="1"/>
      <c r="AQ89" s="1"/>
    </row>
    <row r="90" spans="1:43" x14ac:dyDescent="0.3">
      <c r="A90" s="9">
        <f t="shared" si="18"/>
        <v>2020</v>
      </c>
      <c r="B90" s="9">
        <f t="shared" si="19"/>
        <v>3</v>
      </c>
      <c r="C90" s="10">
        <v>43915</v>
      </c>
      <c r="D90" s="9">
        <v>0.21099999999999999</v>
      </c>
      <c r="E90" s="9">
        <v>0.14599999999999999</v>
      </c>
      <c r="F90" s="9">
        <v>17.787914144422015</v>
      </c>
      <c r="G90" s="9">
        <v>10831.992540580544</v>
      </c>
      <c r="H90" s="9">
        <v>55000.569914013715</v>
      </c>
      <c r="I90" s="9">
        <v>1601.4690553875621</v>
      </c>
      <c r="J90" s="20">
        <v>70.989999999999995</v>
      </c>
      <c r="K90" s="9">
        <v>71.64</v>
      </c>
      <c r="L90" s="31">
        <f>Table1[[#This Row],[TN550 I (O2)]]/(Table1[[#This Row],[Flowmeter A]]+Table1[[#This Row],[Flowmeter B]])</f>
        <v>2.0858400668260259E-2</v>
      </c>
      <c r="M90" s="33">
        <f>Table1[[#This Row],[TN120 Venting2]]/100</f>
        <v>1.5300000000000001E-2</v>
      </c>
      <c r="N90" s="31">
        <f>Table1[[#This Row],[TN550 I Venting2]]/100</f>
        <v>0</v>
      </c>
      <c r="O90" s="31">
        <f>(Table1[[#This Row],[TN550 I (O2)]]-Table1[[#This Row],[O2]])/Table1[[#This Row],[TN550 I (O2)]]</f>
        <v>9.0494686804482846E-2</v>
      </c>
      <c r="P90" s="9">
        <f>Table1[[#This Row],[M-N2]]+Table1[[#This Row],[TEN-N2]]</f>
        <v>64253.860756910486</v>
      </c>
      <c r="Q90" s="9">
        <v>1456.5446147931937</v>
      </c>
      <c r="R90" s="9">
        <f>SUM(Table1[[#This Row],[TEN-CDA]:[TEN-CDA WWT]])</f>
        <v>99706.837212286075</v>
      </c>
      <c r="S90" s="9">
        <v>423.73488242621227</v>
      </c>
      <c r="T90" s="9">
        <v>246.29333086298377</v>
      </c>
      <c r="U90" s="9">
        <v>40.59200479188452</v>
      </c>
      <c r="V90" s="42">
        <v>1.53</v>
      </c>
      <c r="W90" s="9">
        <v>0</v>
      </c>
      <c r="X90" s="9">
        <v>75078.084788124572</v>
      </c>
      <c r="Y90" s="9">
        <v>1700.0479583846125</v>
      </c>
      <c r="Z90" s="1">
        <v>62177.147377580673</v>
      </c>
      <c r="AA90" s="1">
        <v>2076.7133793298112</v>
      </c>
      <c r="AB90" s="1">
        <v>35234.271743255551</v>
      </c>
      <c r="AC90" s="1">
        <v>54679.499205738211</v>
      </c>
      <c r="AD90" s="1">
        <v>7043.0979307176003</v>
      </c>
      <c r="AE90" s="1">
        <v>2731.6941309339218</v>
      </c>
      <c r="AF90" s="1">
        <v>18.274201640780397</v>
      </c>
      <c r="AG90" s="1"/>
      <c r="AH90" s="1"/>
      <c r="AI90" s="1"/>
      <c r="AJ90" s="1"/>
      <c r="AK90" s="1"/>
      <c r="AL90" s="1"/>
      <c r="AM90" s="1"/>
      <c r="AN90" s="1"/>
      <c r="AO90" s="1"/>
      <c r="AP90" s="1"/>
      <c r="AQ90" s="1"/>
    </row>
    <row r="91" spans="1:43" x14ac:dyDescent="0.3">
      <c r="A91" s="9">
        <f t="shared" si="18"/>
        <v>2020</v>
      </c>
      <c r="B91" s="9">
        <f t="shared" si="19"/>
        <v>3</v>
      </c>
      <c r="C91" s="10">
        <v>43916</v>
      </c>
      <c r="D91" s="9">
        <v>0.20399999999999999</v>
      </c>
      <c r="E91" s="9">
        <v>0.15</v>
      </c>
      <c r="F91" s="9">
        <v>13.509103430219197</v>
      </c>
      <c r="G91" s="9">
        <v>10646.90993667592</v>
      </c>
      <c r="H91" s="9">
        <v>55001.960636602184</v>
      </c>
      <c r="I91" s="9">
        <v>1600.1319535180646</v>
      </c>
      <c r="J91" s="20">
        <v>70.97</v>
      </c>
      <c r="K91" s="9">
        <v>71.89</v>
      </c>
      <c r="L91" s="31">
        <f>Table1[[#This Row],[TN550 I (O2)]]/(Table1[[#This Row],[Flowmeter A]]+Table1[[#This Row],[Flowmeter B]])</f>
        <v>2.0915830551208391E-2</v>
      </c>
      <c r="M91" s="33">
        <f>Table1[[#This Row],[TN120 Venting2]]/100</f>
        <v>2.7999999999999997E-2</v>
      </c>
      <c r="N91" s="31">
        <f>Table1[[#This Row],[TN550 I Venting2]]/100</f>
        <v>0</v>
      </c>
      <c r="O91" s="31">
        <f>(Table1[[#This Row],[TN550 I (O2)]]-Table1[[#This Row],[O2]])/Table1[[#This Row],[TN550 I (O2)]]</f>
        <v>8.9061151608770567E-2</v>
      </c>
      <c r="P91" s="9">
        <f>Table1[[#This Row],[M-N2]]+Table1[[#This Row],[TEN-N2]]</f>
        <v>64519.171307428107</v>
      </c>
      <c r="Q91" s="9">
        <v>1457.622359011754</v>
      </c>
      <c r="R91" s="9">
        <f>SUM(Table1[[#This Row],[TEN-CDA]:[TEN-CDA WWT]])</f>
        <v>100342.42585254183</v>
      </c>
      <c r="S91" s="9">
        <v>426.53814203816927</v>
      </c>
      <c r="T91" s="9">
        <v>246.27638423583477</v>
      </c>
      <c r="U91" s="9">
        <v>38.950630184017399</v>
      </c>
      <c r="V91" s="42">
        <v>2.8</v>
      </c>
      <c r="W91" s="9">
        <v>0</v>
      </c>
      <c r="X91" s="9">
        <v>74803.662896859823</v>
      </c>
      <c r="Y91" s="9">
        <v>1699.7276618105102</v>
      </c>
      <c r="Z91" s="1">
        <v>62467.976139616585</v>
      </c>
      <c r="AA91" s="1">
        <v>2051.1951678115238</v>
      </c>
      <c r="AB91" s="1">
        <v>35472.583313454197</v>
      </c>
      <c r="AC91" s="1">
        <v>54978.370090757286</v>
      </c>
      <c r="AD91" s="1">
        <v>7100.2896351546233</v>
      </c>
      <c r="AE91" s="1">
        <v>2775.0079000924379</v>
      </c>
      <c r="AF91" s="1">
        <v>16.17491308327229</v>
      </c>
      <c r="AG91" s="1"/>
      <c r="AH91" s="1"/>
      <c r="AI91" s="1"/>
      <c r="AJ91" s="1"/>
      <c r="AK91" s="1"/>
      <c r="AL91" s="1"/>
      <c r="AM91" s="1"/>
      <c r="AN91" s="1"/>
      <c r="AO91" s="1"/>
      <c r="AP91" s="1"/>
      <c r="AQ91" s="1"/>
    </row>
    <row r="92" spans="1:43" x14ac:dyDescent="0.3">
      <c r="A92" s="9">
        <f t="shared" si="18"/>
        <v>2020</v>
      </c>
      <c r="B92" s="9">
        <f t="shared" si="19"/>
        <v>3</v>
      </c>
      <c r="C92" s="10">
        <v>43917</v>
      </c>
      <c r="D92" s="9">
        <v>0.20200000000000001</v>
      </c>
      <c r="E92" s="9">
        <v>0.14599999999999999</v>
      </c>
      <c r="F92" s="9">
        <v>11.872934490338867</v>
      </c>
      <c r="G92" s="9">
        <v>10648.312093381332</v>
      </c>
      <c r="H92" s="9">
        <v>54996.624081041809</v>
      </c>
      <c r="I92" s="9">
        <v>1600.017924682702</v>
      </c>
      <c r="J92" s="20">
        <v>70.92</v>
      </c>
      <c r="K92" s="9">
        <v>71.89</v>
      </c>
      <c r="L92" s="31">
        <f>Table1[[#This Row],[TN550 I (O2)]]/(Table1[[#This Row],[Flowmeter A]]+Table1[[#This Row],[Flowmeter B]])</f>
        <v>2.0914589280382208E-2</v>
      </c>
      <c r="M92" s="33">
        <f>Table1[[#This Row],[TN120 Venting2]]/100</f>
        <v>2.0199999999999999E-2</v>
      </c>
      <c r="N92" s="31">
        <f>Table1[[#This Row],[TN550 I Venting2]]/100</f>
        <v>1E-4</v>
      </c>
      <c r="O92" s="31">
        <f>(Table1[[#This Row],[TN550 I (O2)]]-Table1[[#This Row],[O2]])/Table1[[#This Row],[TN550 I (O2)]]</f>
        <v>9.1264432257333009E-2</v>
      </c>
      <c r="P92" s="9">
        <f>Table1[[#This Row],[M-N2]]+Table1[[#This Row],[TEN-N2]]</f>
        <v>64797.710337568038</v>
      </c>
      <c r="Q92" s="9">
        <v>1453.993197184979</v>
      </c>
      <c r="R92" s="9">
        <f>SUM(Table1[[#This Row],[TEN-CDA]:[TEN-CDA WWT]])</f>
        <v>100462.31683401119</v>
      </c>
      <c r="S92" s="9">
        <v>427.49982705999793</v>
      </c>
      <c r="T92" s="9">
        <v>259.74270867077036</v>
      </c>
      <c r="U92" s="9">
        <v>39.266442985190523</v>
      </c>
      <c r="V92" s="42">
        <v>2.02</v>
      </c>
      <c r="W92" s="9">
        <v>0.01</v>
      </c>
      <c r="X92" s="9">
        <v>74802.365100190844</v>
      </c>
      <c r="Y92" s="9">
        <v>1700.1137786801701</v>
      </c>
      <c r="Z92" s="1">
        <v>62776.33577485253</v>
      </c>
      <c r="AA92" s="1">
        <v>2021.3745627155081</v>
      </c>
      <c r="AB92" s="1">
        <v>35210.531773182687</v>
      </c>
      <c r="AC92" s="1">
        <v>55307.828011146776</v>
      </c>
      <c r="AD92" s="1">
        <v>7143.906825365415</v>
      </c>
      <c r="AE92" s="1">
        <v>2782.792826772315</v>
      </c>
      <c r="AF92" s="1">
        <v>17.25739754400346</v>
      </c>
      <c r="AG92" s="1"/>
      <c r="AH92" s="1"/>
      <c r="AI92" s="1"/>
      <c r="AJ92" s="1"/>
      <c r="AK92" s="1"/>
      <c r="AL92" s="1"/>
      <c r="AM92" s="1"/>
      <c r="AN92" s="1"/>
      <c r="AO92" s="1"/>
      <c r="AP92" s="1"/>
      <c r="AQ92" s="1"/>
    </row>
    <row r="93" spans="1:43" x14ac:dyDescent="0.3">
      <c r="A93" s="9">
        <f t="shared" si="18"/>
        <v>2020</v>
      </c>
      <c r="B93" s="9">
        <f t="shared" si="19"/>
        <v>3</v>
      </c>
      <c r="C93" s="10">
        <v>43918</v>
      </c>
      <c r="D93" s="9">
        <v>0.20599999999999999</v>
      </c>
      <c r="E93" s="9">
        <v>0.14799999999999999</v>
      </c>
      <c r="F93" s="9">
        <v>12.12758550372577</v>
      </c>
      <c r="G93" s="9">
        <v>10619.144689831281</v>
      </c>
      <c r="H93" s="9">
        <v>55000.667459121272</v>
      </c>
      <c r="I93" s="9">
        <v>1600.0461614689509</v>
      </c>
      <c r="J93" s="20">
        <v>70.86</v>
      </c>
      <c r="K93" s="9">
        <v>71.91</v>
      </c>
      <c r="L93" s="31">
        <f>Table1[[#This Row],[TN550 I (O2)]]/(Table1[[#This Row],[Flowmeter A]]+Table1[[#This Row],[Flowmeter B]])</f>
        <v>2.0920416488560786E-2</v>
      </c>
      <c r="M93" s="33">
        <f>Table1[[#This Row],[TN120 Venting2]]/100</f>
        <v>9.5999999999999992E-3</v>
      </c>
      <c r="N93" s="31">
        <f>Table1[[#This Row],[TN550 I Venting2]]/100</f>
        <v>0</v>
      </c>
      <c r="O93" s="31">
        <f>(Table1[[#This Row],[TN550 I (O2)]]-Table1[[#This Row],[O2]])/Table1[[#This Row],[TN550 I (O2)]]</f>
        <v>8.9686481703637591E-2</v>
      </c>
      <c r="P93" s="9">
        <f>Table1[[#This Row],[M-N2]]+Table1[[#This Row],[TEN-N2]]</f>
        <v>64592.93228604742</v>
      </c>
      <c r="Q93" s="9">
        <v>1456.5436506833903</v>
      </c>
      <c r="R93" s="9">
        <f>SUM(Table1[[#This Row],[TEN-CDA]:[TEN-CDA WWT]])</f>
        <v>100090.94748083588</v>
      </c>
      <c r="S93" s="9">
        <v>430.47966527574846</v>
      </c>
      <c r="T93" s="9">
        <v>257.75313991146896</v>
      </c>
      <c r="U93" s="9">
        <v>39.255550548651414</v>
      </c>
      <c r="V93" s="42">
        <v>0.96</v>
      </c>
      <c r="W93" s="9">
        <v>0</v>
      </c>
      <c r="X93" s="9">
        <v>74782.163542028109</v>
      </c>
      <c r="Y93" s="9">
        <v>1700.3559309398854</v>
      </c>
      <c r="Z93" s="1">
        <v>62562.53572280534</v>
      </c>
      <c r="AA93" s="1">
        <v>2030.3965632420793</v>
      </c>
      <c r="AB93" s="1">
        <v>35007.600090540422</v>
      </c>
      <c r="AC93" s="1">
        <v>55267.15743732651</v>
      </c>
      <c r="AD93" s="1">
        <v>7034.7450450126862</v>
      </c>
      <c r="AE93" s="1">
        <v>2764.4153006538427</v>
      </c>
      <c r="AF93" s="1">
        <v>17.029607302421997</v>
      </c>
      <c r="AG93" s="1"/>
      <c r="AH93" s="1"/>
      <c r="AI93" s="1"/>
      <c r="AJ93" s="1"/>
      <c r="AK93" s="1"/>
      <c r="AL93" s="1"/>
      <c r="AM93" s="1"/>
      <c r="AN93" s="1"/>
      <c r="AO93" s="1"/>
      <c r="AP93" s="1"/>
      <c r="AQ93" s="1"/>
    </row>
    <row r="94" spans="1:43" x14ac:dyDescent="0.3">
      <c r="A94" s="9">
        <f t="shared" si="18"/>
        <v>2020</v>
      </c>
      <c r="B94" s="9">
        <f t="shared" si="19"/>
        <v>3</v>
      </c>
      <c r="C94" s="10">
        <v>43919</v>
      </c>
      <c r="D94" s="9">
        <v>0.255</v>
      </c>
      <c r="E94" s="9">
        <v>0.14699999999999999</v>
      </c>
      <c r="F94" s="9">
        <v>12.407760393776718</v>
      </c>
      <c r="G94" s="9">
        <v>11231.984248270515</v>
      </c>
      <c r="H94" s="9">
        <v>56094.780385257633</v>
      </c>
      <c r="I94" s="9">
        <v>1654.3730995660023</v>
      </c>
      <c r="J94" s="20">
        <v>70.930000000000007</v>
      </c>
      <c r="K94" s="9">
        <v>71.78</v>
      </c>
      <c r="L94" s="31">
        <f>Table1[[#This Row],[TN550 I (O2)]]/(Table1[[#This Row],[Flowmeter A]]+Table1[[#This Row],[Flowmeter B]])</f>
        <v>2.1170428631533535E-2</v>
      </c>
      <c r="M94" s="33">
        <f>Table1[[#This Row],[TN120 Venting2]]/100</f>
        <v>4.7999999999999996E-3</v>
      </c>
      <c r="N94" s="31">
        <f>Table1[[#This Row],[TN550 I Venting2]]/100</f>
        <v>0</v>
      </c>
      <c r="O94" s="31">
        <f>(Table1[[#This Row],[TN550 I (O2)]]-Table1[[#This Row],[O2]])/Table1[[#This Row],[TN550 I (O2)]]</f>
        <v>0.11698324001531386</v>
      </c>
      <c r="P94" s="9">
        <f>Table1[[#This Row],[M-N2]]+Table1[[#This Row],[TEN-N2]]</f>
        <v>64528.046699476276</v>
      </c>
      <c r="Q94" s="9">
        <v>1460.839174184594</v>
      </c>
      <c r="R94" s="9">
        <f>SUM(Table1[[#This Row],[TEN-CDA]:[TEN-CDA WWT]])</f>
        <v>100555.47094677472</v>
      </c>
      <c r="S94" s="9">
        <v>429.51726128011006</v>
      </c>
      <c r="T94" s="9">
        <v>273.90279283066906</v>
      </c>
      <c r="U94" s="9">
        <v>38.44850838374628</v>
      </c>
      <c r="V94" s="42">
        <v>0.48</v>
      </c>
      <c r="W94" s="9">
        <v>0</v>
      </c>
      <c r="X94" s="9">
        <v>76445.367507373347</v>
      </c>
      <c r="Y94" s="9">
        <v>1700.1026840898248</v>
      </c>
      <c r="Z94" s="1">
        <v>62453.663471547537</v>
      </c>
      <c r="AA94" s="1">
        <v>2074.3832279287385</v>
      </c>
      <c r="AB94" s="1">
        <v>35600.107897618844</v>
      </c>
      <c r="AC94" s="1">
        <v>55263.92145753817</v>
      </c>
      <c r="AD94" s="1">
        <v>6893.9332664219728</v>
      </c>
      <c r="AE94" s="1">
        <v>2777.7634153663907</v>
      </c>
      <c r="AF94" s="1">
        <v>19.744909829331469</v>
      </c>
      <c r="AG94" s="1"/>
      <c r="AH94" s="1"/>
      <c r="AI94" s="1"/>
      <c r="AJ94" s="1"/>
      <c r="AK94" s="1"/>
      <c r="AL94" s="1"/>
      <c r="AM94" s="1"/>
      <c r="AN94" s="1"/>
      <c r="AO94" s="1"/>
      <c r="AP94" s="1"/>
      <c r="AQ94" s="1"/>
    </row>
    <row r="95" spans="1:43" x14ac:dyDescent="0.3">
      <c r="A95" s="9">
        <f t="shared" si="18"/>
        <v>2020</v>
      </c>
      <c r="B95" s="9">
        <f t="shared" si="19"/>
        <v>3</v>
      </c>
      <c r="C95" s="10">
        <v>43920</v>
      </c>
      <c r="D95" s="9">
        <v>0.218</v>
      </c>
      <c r="E95" s="9">
        <v>0.14799999999999999</v>
      </c>
      <c r="F95" s="9">
        <v>12.441787426542856</v>
      </c>
      <c r="G95" s="9">
        <v>12045.69858484101</v>
      </c>
      <c r="H95" s="9">
        <v>56989.714209424877</v>
      </c>
      <c r="I95" s="9">
        <v>1700.1063544162853</v>
      </c>
      <c r="J95" s="20">
        <v>70.98</v>
      </c>
      <c r="K95" s="9">
        <v>71.69</v>
      </c>
      <c r="L95" s="31">
        <f>Table1[[#This Row],[TN550 I (O2)]]/(Table1[[#This Row],[Flowmeter A]]+Table1[[#This Row],[Flowmeter B]])</f>
        <v>2.1387373604615147E-2</v>
      </c>
      <c r="M95" s="33">
        <f>Table1[[#This Row],[TN120 Venting2]]/100</f>
        <v>0</v>
      </c>
      <c r="N95" s="31">
        <f>Table1[[#This Row],[TN550 I Venting2]]/100</f>
        <v>0</v>
      </c>
      <c r="O95" s="31">
        <f>(Table1[[#This Row],[TN550 I (O2)]]-Table1[[#This Row],[O2]])/Table1[[#This Row],[TN550 I (O2)]]</f>
        <v>0.14426725290449252</v>
      </c>
      <c r="P95" s="9">
        <f>Table1[[#This Row],[M-N2]]+Table1[[#This Row],[TEN-N2]]</f>
        <v>64670.773902400673</v>
      </c>
      <c r="Q95" s="9">
        <v>1454.8366810191762</v>
      </c>
      <c r="R95" s="9">
        <f>SUM(Table1[[#This Row],[TEN-CDA]:[TEN-CDA WWT]])</f>
        <v>100120.68258682035</v>
      </c>
      <c r="S95" s="9">
        <v>428.69731636762123</v>
      </c>
      <c r="T95" s="9">
        <v>269.20601433271503</v>
      </c>
      <c r="U95" s="9">
        <v>39.251233116112843</v>
      </c>
      <c r="V95" s="42">
        <v>0</v>
      </c>
      <c r="W95" s="9">
        <v>0</v>
      </c>
      <c r="X95" s="9">
        <v>77791.206827940667</v>
      </c>
      <c r="Y95" s="9">
        <v>1699.9165725231501</v>
      </c>
      <c r="Z95" s="1">
        <v>62605.343964152496</v>
      </c>
      <c r="AA95" s="1">
        <v>2065.4299382481781</v>
      </c>
      <c r="AB95" s="1">
        <v>35263.909107173837</v>
      </c>
      <c r="AC95" s="1">
        <v>55132.800499327721</v>
      </c>
      <c r="AD95" s="1">
        <v>6942.2349195301658</v>
      </c>
      <c r="AE95" s="1">
        <v>2754.3565490002602</v>
      </c>
      <c r="AF95" s="1">
        <v>27.381511788352508</v>
      </c>
      <c r="AG95" s="1"/>
      <c r="AH95" s="1"/>
      <c r="AI95" s="1"/>
      <c r="AJ95" s="1"/>
      <c r="AK95" s="1"/>
      <c r="AL95" s="1"/>
      <c r="AM95" s="1"/>
      <c r="AN95" s="1"/>
      <c r="AO95" s="1"/>
      <c r="AP95" s="1"/>
      <c r="AQ95" s="1"/>
    </row>
    <row r="96" spans="1:43" x14ac:dyDescent="0.3">
      <c r="A96" s="9">
        <f t="shared" si="18"/>
        <v>2020</v>
      </c>
      <c r="B96" s="9">
        <f t="shared" si="19"/>
        <v>3</v>
      </c>
      <c r="C96" s="10">
        <v>43921</v>
      </c>
      <c r="D96" s="9">
        <v>0.218</v>
      </c>
      <c r="E96" s="9">
        <v>0.14599999999999999</v>
      </c>
      <c r="F96" s="9">
        <v>14.361153143962833</v>
      </c>
      <c r="G96" s="9">
        <v>12031.235356984082</v>
      </c>
      <c r="H96" s="9">
        <v>56942.208142674361</v>
      </c>
      <c r="I96" s="9">
        <v>1724.2188974839792</v>
      </c>
      <c r="J96" s="20">
        <v>70.91</v>
      </c>
      <c r="K96" s="9">
        <v>71.66</v>
      </c>
      <c r="L96" s="31">
        <f>Table1[[#This Row],[TN550 I (O2)]]/(Table1[[#This Row],[Flowmeter A]]+Table1[[#This Row],[Flowmeter B]])</f>
        <v>2.1699645665294792E-2</v>
      </c>
      <c r="M96" s="33">
        <f>Table1[[#This Row],[TN120 Venting2]]/100</f>
        <v>0</v>
      </c>
      <c r="N96" s="31">
        <f>Table1[[#This Row],[TN550 I Venting2]]/100</f>
        <v>0</v>
      </c>
      <c r="O96" s="31">
        <f>(Table1[[#This Row],[TN550 I (O2)]]-Table1[[#This Row],[O2]])/Table1[[#This Row],[TN550 I (O2)]]</f>
        <v>0.1537454725159795</v>
      </c>
      <c r="P96" s="9">
        <f>Table1[[#This Row],[M-N2]]+Table1[[#This Row],[TEN-N2]]</f>
        <v>64547.293652631772</v>
      </c>
      <c r="Q96" s="9">
        <v>1459.1280483693236</v>
      </c>
      <c r="R96" s="9">
        <f>SUM(Table1[[#This Row],[TEN-CDA]:[TEN-CDA WWT]])</f>
        <v>99523.136126851241</v>
      </c>
      <c r="S96" s="9">
        <v>428.02065610124527</v>
      </c>
      <c r="T96" s="9">
        <v>261.6448143900144</v>
      </c>
      <c r="U96" s="9">
        <v>39.109657752191254</v>
      </c>
      <c r="V96" s="42">
        <v>0</v>
      </c>
      <c r="W96" s="9">
        <v>0</v>
      </c>
      <c r="X96" s="9">
        <v>77758.239075511796</v>
      </c>
      <c r="Y96" s="9">
        <v>1700.1504336588089</v>
      </c>
      <c r="Z96" s="1">
        <v>62475.109350602877</v>
      </c>
      <c r="AA96" s="1">
        <v>2072.1843020288916</v>
      </c>
      <c r="AB96" s="1">
        <v>34728.654051548401</v>
      </c>
      <c r="AC96" s="1">
        <v>55014.013385886537</v>
      </c>
      <c r="AD96" s="1">
        <v>7013.6921300312279</v>
      </c>
      <c r="AE96" s="1">
        <v>2743.5431640963848</v>
      </c>
      <c r="AF96" s="1">
        <v>23.233395288701608</v>
      </c>
      <c r="AG96" s="1"/>
      <c r="AH96" s="1"/>
      <c r="AI96" s="1"/>
      <c r="AJ96" s="1"/>
      <c r="AK96" s="1"/>
      <c r="AL96" s="1"/>
      <c r="AM96" s="1"/>
      <c r="AN96" s="1"/>
      <c r="AO96" s="1"/>
      <c r="AP96" s="1"/>
      <c r="AQ96" s="1"/>
    </row>
    <row r="97" spans="1:43" x14ac:dyDescent="0.3">
      <c r="A97" s="9">
        <f t="shared" si="18"/>
        <v>2020</v>
      </c>
      <c r="B97" s="9">
        <f t="shared" si="19"/>
        <v>4</v>
      </c>
      <c r="C97" s="10">
        <v>43922</v>
      </c>
      <c r="D97" s="9">
        <v>0.223</v>
      </c>
      <c r="E97" s="9">
        <v>0.14799999999999999</v>
      </c>
      <c r="F97" s="9">
        <v>14.312413913851229</v>
      </c>
      <c r="G97" s="9">
        <v>12031.78678272467</v>
      </c>
      <c r="H97" s="9">
        <v>57153.12443344466</v>
      </c>
      <c r="I97" s="9">
        <v>1752.0150780131801</v>
      </c>
      <c r="J97" s="20">
        <v>70.900000000000006</v>
      </c>
      <c r="K97" s="9">
        <v>71.72</v>
      </c>
      <c r="L97" s="31">
        <f>Table1[[#This Row],[TN550 I (O2)]]/(Table1[[#This Row],[Flowmeter A]]+Table1[[#This Row],[Flowmeter B]])</f>
        <v>2.1985660910465079E-2</v>
      </c>
      <c r="M97" s="33">
        <f>Table1[[#This Row],[TN120 Venting2]]/100</f>
        <v>0</v>
      </c>
      <c r="N97" s="31">
        <f>Table1[[#This Row],[TN550 I Venting2]]/100</f>
        <v>0</v>
      </c>
      <c r="O97" s="31">
        <f>(Table1[[#This Row],[TN550 I (O2)]]-Table1[[#This Row],[O2]])/Table1[[#This Row],[TN550 I (O2)]]</f>
        <v>0.17153972055429151</v>
      </c>
      <c r="P97" s="9">
        <f>Table1[[#This Row],[M-N2]]+Table1[[#This Row],[TEN-N2]]</f>
        <v>64737.166409536832</v>
      </c>
      <c r="Q97" s="9">
        <v>1451.4749011238939</v>
      </c>
      <c r="R97" s="9">
        <f>SUM(Table1[[#This Row],[TEN-CDA]:[TEN-CDA WWT]])</f>
        <v>99900.842046058926</v>
      </c>
      <c r="S97" s="9">
        <v>419.89710232948448</v>
      </c>
      <c r="T97" s="9">
        <v>258.62766262162978</v>
      </c>
      <c r="U97" s="9">
        <v>39.481802404960931</v>
      </c>
      <c r="V97" s="42">
        <v>0</v>
      </c>
      <c r="W97" s="9">
        <v>0</v>
      </c>
      <c r="X97" s="9">
        <v>77988.885913645034</v>
      </c>
      <c r="Y97" s="9">
        <v>1700.1025205952355</v>
      </c>
      <c r="Z97" s="1">
        <v>62679.699321760061</v>
      </c>
      <c r="AA97" s="1">
        <v>2057.4670877767717</v>
      </c>
      <c r="AB97" s="1">
        <v>34886.969598477619</v>
      </c>
      <c r="AC97" s="1">
        <v>55114.33896545368</v>
      </c>
      <c r="AD97" s="1">
        <v>7089.0345120982611</v>
      </c>
      <c r="AE97" s="1">
        <v>2790.744566049781</v>
      </c>
      <c r="AF97" s="1">
        <v>19.754403979595718</v>
      </c>
      <c r="AG97" s="1"/>
      <c r="AH97" s="1"/>
      <c r="AI97" s="1"/>
      <c r="AJ97" s="1"/>
      <c r="AK97" s="1"/>
      <c r="AL97" s="1"/>
      <c r="AM97" s="1"/>
      <c r="AN97" s="1"/>
      <c r="AO97" s="1"/>
      <c r="AP97" s="1"/>
      <c r="AQ97" s="1"/>
    </row>
    <row r="98" spans="1:43" x14ac:dyDescent="0.3">
      <c r="A98" s="9">
        <f t="shared" si="18"/>
        <v>2020</v>
      </c>
      <c r="B98" s="9">
        <f t="shared" si="19"/>
        <v>4</v>
      </c>
      <c r="C98" s="10">
        <v>43923</v>
      </c>
      <c r="D98" s="9">
        <v>0.219</v>
      </c>
      <c r="E98" s="9">
        <v>0.14699999999999999</v>
      </c>
      <c r="F98" s="9">
        <v>13.157188762318004</v>
      </c>
      <c r="G98" s="9">
        <v>12034.387304280879</v>
      </c>
      <c r="H98" s="9">
        <v>57002.027013033483</v>
      </c>
      <c r="I98" s="9">
        <v>1706.4269719649983</v>
      </c>
      <c r="J98" s="20">
        <v>70.91</v>
      </c>
      <c r="K98" s="9">
        <v>71.7</v>
      </c>
      <c r="L98" s="31">
        <f>Table1[[#This Row],[TN550 I (O2)]]/(Table1[[#This Row],[Flowmeter A]]+Table1[[#This Row],[Flowmeter B]])</f>
        <v>2.1464969614251126E-2</v>
      </c>
      <c r="M98" s="33">
        <f>Table1[[#This Row],[TN120 Venting2]]/100</f>
        <v>0</v>
      </c>
      <c r="N98" s="31">
        <f>Table1[[#This Row],[TN550 I Venting2]]/100</f>
        <v>0</v>
      </c>
      <c r="O98" s="31">
        <f>(Table1[[#This Row],[TN550 I (O2)]]-Table1[[#This Row],[O2]])/Table1[[#This Row],[TN550 I (O2)]]</f>
        <v>0.14797993691391867</v>
      </c>
      <c r="P98" s="9">
        <f>Table1[[#This Row],[M-N2]]+Table1[[#This Row],[TEN-N2]]</f>
        <v>65065.900880431072</v>
      </c>
      <c r="Q98" s="9">
        <v>1453.9100163054086</v>
      </c>
      <c r="R98" s="9">
        <f>SUM(Table1[[#This Row],[TEN-CDA]:[TEN-CDA WWT]])</f>
        <v>98989.20052824897</v>
      </c>
      <c r="S98" s="9">
        <v>420.900544885957</v>
      </c>
      <c r="T98" s="9">
        <v>259.30356422651982</v>
      </c>
      <c r="U98" s="9">
        <v>40.054949931846899</v>
      </c>
      <c r="V98" s="42">
        <v>0</v>
      </c>
      <c r="W98" s="9">
        <v>0</v>
      </c>
      <c r="X98" s="9">
        <v>77797.50076986468</v>
      </c>
      <c r="Y98" s="9">
        <v>1700.7236688999069</v>
      </c>
      <c r="Z98" s="1">
        <v>62977.514326531054</v>
      </c>
      <c r="AA98" s="1">
        <v>2088.3865539000153</v>
      </c>
      <c r="AB98" s="1">
        <v>33957.624365674877</v>
      </c>
      <c r="AC98" s="1">
        <v>55172.81484483432</v>
      </c>
      <c r="AD98" s="1">
        <v>7046.2920152292245</v>
      </c>
      <c r="AE98" s="1">
        <v>2794.6018361204783</v>
      </c>
      <c r="AF98" s="1">
        <v>17.867466390081201</v>
      </c>
      <c r="AG98" s="1"/>
      <c r="AH98" s="1"/>
      <c r="AI98" s="1"/>
      <c r="AJ98" s="1"/>
      <c r="AK98" s="1"/>
      <c r="AL98" s="1"/>
      <c r="AM98" s="1"/>
      <c r="AN98" s="1"/>
      <c r="AO98" s="1"/>
      <c r="AP98" s="1"/>
      <c r="AQ98" s="1"/>
    </row>
    <row r="99" spans="1:43" x14ac:dyDescent="0.3">
      <c r="A99" s="9">
        <f t="shared" si="18"/>
        <v>2020</v>
      </c>
      <c r="B99" s="9">
        <f t="shared" si="19"/>
        <v>4</v>
      </c>
      <c r="C99" s="10">
        <v>43924</v>
      </c>
      <c r="D99" s="9">
        <v>0.219</v>
      </c>
      <c r="E99" s="9">
        <v>0.14899999999999999</v>
      </c>
      <c r="F99" s="9">
        <v>13.416806064820141</v>
      </c>
      <c r="G99" s="9">
        <v>12029.117388098544</v>
      </c>
      <c r="H99" s="9">
        <v>56994.347523421238</v>
      </c>
      <c r="I99" s="9">
        <v>1767.8374807025557</v>
      </c>
      <c r="J99" s="20">
        <v>70.87</v>
      </c>
      <c r="K99" s="9">
        <v>71.67</v>
      </c>
      <c r="L99" s="31">
        <f>Table1[[#This Row],[TN550 I (O2)]]/(Table1[[#This Row],[Flowmeter A]]+Table1[[#This Row],[Flowmeter B]])</f>
        <v>2.2231274136162094E-2</v>
      </c>
      <c r="M99" s="33">
        <f>Table1[[#This Row],[TN120 Venting2]]/100</f>
        <v>0</v>
      </c>
      <c r="N99" s="31">
        <f>Table1[[#This Row],[TN550 I Venting2]]/100</f>
        <v>0</v>
      </c>
      <c r="O99" s="31">
        <f>(Table1[[#This Row],[TN550 I (O2)]]-Table1[[#This Row],[O2]])/Table1[[#This Row],[TN550 I (O2)]]</f>
        <v>0.17331564278126663</v>
      </c>
      <c r="P99" s="9">
        <f>Table1[[#This Row],[M-N2]]+Table1[[#This Row],[TEN-N2]]</f>
        <v>64880.875602303902</v>
      </c>
      <c r="Q99" s="9">
        <v>1461.4435914017772</v>
      </c>
      <c r="R99" s="9">
        <f>SUM(Table1[[#This Row],[TEN-CDA]:[TEN-CDA WWT]])</f>
        <v>99811.553621671846</v>
      </c>
      <c r="S99" s="9">
        <v>430.22916128038111</v>
      </c>
      <c r="T99" s="9">
        <v>272.50233561127322</v>
      </c>
      <c r="U99" s="9">
        <v>39.601320290548941</v>
      </c>
      <c r="V99" s="42">
        <v>0</v>
      </c>
      <c r="W99" s="9">
        <v>0</v>
      </c>
      <c r="X99" s="9">
        <v>77760.089965735606</v>
      </c>
      <c r="Y99" s="9">
        <v>1760.2051768147392</v>
      </c>
      <c r="Z99" s="1">
        <v>62815.150893476755</v>
      </c>
      <c r="AA99" s="1">
        <v>2065.7247088271492</v>
      </c>
      <c r="AB99" s="1">
        <v>34442.254920085878</v>
      </c>
      <c r="AC99" s="1">
        <v>55361.500680408571</v>
      </c>
      <c r="AD99" s="1">
        <v>7198.5355232233478</v>
      </c>
      <c r="AE99" s="1">
        <v>2791.4301081808967</v>
      </c>
      <c r="AF99" s="1">
        <v>17.832389773158543</v>
      </c>
      <c r="AG99" s="1"/>
      <c r="AH99" s="1"/>
      <c r="AI99" s="1"/>
      <c r="AJ99" s="1"/>
      <c r="AK99" s="1"/>
      <c r="AL99" s="1"/>
      <c r="AM99" s="1"/>
      <c r="AN99" s="1"/>
      <c r="AO99" s="1"/>
      <c r="AP99" s="1"/>
      <c r="AQ99" s="1"/>
    </row>
    <row r="100" spans="1:43" x14ac:dyDescent="0.3">
      <c r="A100" s="9">
        <f t="shared" si="18"/>
        <v>2020</v>
      </c>
      <c r="B100" s="9">
        <f t="shared" si="19"/>
        <v>4</v>
      </c>
      <c r="C100" s="10">
        <v>43925</v>
      </c>
      <c r="D100" s="9">
        <v>0.216</v>
      </c>
      <c r="E100" s="9">
        <v>0.14699999999999999</v>
      </c>
      <c r="F100" s="9">
        <v>13.739822351957343</v>
      </c>
      <c r="G100" s="9">
        <v>12030.049583758024</v>
      </c>
      <c r="H100" s="9">
        <v>56977.414165510061</v>
      </c>
      <c r="I100" s="9">
        <v>1906.6068920000489</v>
      </c>
      <c r="J100" s="20">
        <v>70.88</v>
      </c>
      <c r="K100" s="9">
        <v>71.58</v>
      </c>
      <c r="L100" s="31">
        <f>Table1[[#This Row],[TN550 I (O2)]]/(Table1[[#This Row],[Flowmeter A]]+Table1[[#This Row],[Flowmeter B]])</f>
        <v>2.3953679379535953E-2</v>
      </c>
      <c r="M100" s="33">
        <f>Table1[[#This Row],[TN120 Venting2]]/100</f>
        <v>0</v>
      </c>
      <c r="N100" s="31">
        <f>Table1[[#This Row],[TN550 I Venting2]]/100</f>
        <v>0</v>
      </c>
      <c r="O100" s="31">
        <f>(Table1[[#This Row],[TN550 I (O2)]]-Table1[[#This Row],[O2]])/Table1[[#This Row],[TN550 I (O2)]]</f>
        <v>0.2317506009219788</v>
      </c>
      <c r="P100" s="9">
        <f>Table1[[#This Row],[M-N2]]+Table1[[#This Row],[TEN-N2]]</f>
        <v>64755.723922613011</v>
      </c>
      <c r="Q100" s="9">
        <v>1464.7495990570512</v>
      </c>
      <c r="R100" s="9">
        <f>SUM(Table1[[#This Row],[TEN-CDA]:[TEN-CDA WWT]])</f>
        <v>100036.31777963373</v>
      </c>
      <c r="S100" s="9">
        <v>430.48423658022858</v>
      </c>
      <c r="T100" s="9">
        <v>267.98202895853439</v>
      </c>
      <c r="U100" s="9">
        <v>39.355049784525981</v>
      </c>
      <c r="V100" s="42">
        <v>0</v>
      </c>
      <c r="W100" s="9">
        <v>0</v>
      </c>
      <c r="X100" s="9">
        <v>77696.08762903366</v>
      </c>
      <c r="Y100" s="9">
        <v>1899.4877224881809</v>
      </c>
      <c r="Z100" s="1">
        <v>62679.153268129769</v>
      </c>
      <c r="AA100" s="1">
        <v>2076.5706544832419</v>
      </c>
      <c r="AB100" s="1">
        <v>34732.346149050136</v>
      </c>
      <c r="AC100" s="1">
        <v>55380.571453743061</v>
      </c>
      <c r="AD100" s="1">
        <v>7080.3518918611207</v>
      </c>
      <c r="AE100" s="1">
        <v>2824.8328068751084</v>
      </c>
      <c r="AF100" s="1">
        <v>18.215478104287804</v>
      </c>
      <c r="AG100" s="1"/>
      <c r="AH100" s="1"/>
      <c r="AI100" s="1"/>
      <c r="AJ100" s="1"/>
      <c r="AK100" s="1"/>
      <c r="AL100" s="1"/>
      <c r="AM100" s="1"/>
      <c r="AN100" s="1"/>
      <c r="AO100" s="1"/>
      <c r="AP100" s="1"/>
      <c r="AQ100" s="1"/>
    </row>
    <row r="101" spans="1:43" x14ac:dyDescent="0.3">
      <c r="A101" s="9">
        <f t="shared" si="18"/>
        <v>2020</v>
      </c>
      <c r="B101" s="9">
        <f t="shared" si="19"/>
        <v>4</v>
      </c>
      <c r="C101" s="10">
        <v>43926</v>
      </c>
      <c r="D101" s="9">
        <v>0.218</v>
      </c>
      <c r="E101" s="9">
        <v>0.14599999999999999</v>
      </c>
      <c r="F101" s="9">
        <v>14.505230585292839</v>
      </c>
      <c r="G101" s="9">
        <v>12028.199603682338</v>
      </c>
      <c r="H101" s="9">
        <v>56967.880218272898</v>
      </c>
      <c r="I101" s="9">
        <v>2027.2158294614201</v>
      </c>
      <c r="J101" s="20">
        <v>70.88</v>
      </c>
      <c r="K101" s="9">
        <v>71.5</v>
      </c>
      <c r="L101" s="31">
        <f>Table1[[#This Row],[TN550 I (O2)]]/(Table1[[#This Row],[Flowmeter A]]+Table1[[#This Row],[Flowmeter B]])</f>
        <v>2.5443702274582543E-2</v>
      </c>
      <c r="M101" s="33">
        <f>Table1[[#This Row],[TN120 Venting2]]/100</f>
        <v>0</v>
      </c>
      <c r="N101" s="31">
        <f>Table1[[#This Row],[TN550 I Venting2]]/100</f>
        <v>0</v>
      </c>
      <c r="O101" s="31">
        <f>(Table1[[#This Row],[TN550 I (O2)]]-Table1[[#This Row],[O2]])/Table1[[#This Row],[TN550 I (O2)]]</f>
        <v>0.27824280625325126</v>
      </c>
      <c r="P101" s="9">
        <f>Table1[[#This Row],[M-N2]]+Table1[[#This Row],[TEN-N2]]</f>
        <v>64579.01188893686</v>
      </c>
      <c r="Q101" s="9">
        <v>1463.1576081910621</v>
      </c>
      <c r="R101" s="9">
        <f>SUM(Table1[[#This Row],[TEN-CDA]:[TEN-CDA WWT]])</f>
        <v>99396.780365257568</v>
      </c>
      <c r="S101" s="9">
        <v>428.96785228340099</v>
      </c>
      <c r="T101" s="9">
        <v>258.75127293879916</v>
      </c>
      <c r="U101" s="9">
        <v>40.114734497440928</v>
      </c>
      <c r="V101" s="42">
        <v>0</v>
      </c>
      <c r="W101" s="9">
        <v>0</v>
      </c>
      <c r="X101" s="9">
        <v>77705.301868277238</v>
      </c>
      <c r="Y101" s="9">
        <v>1969.259938183797</v>
      </c>
      <c r="Z101" s="1">
        <v>62450.940389703333</v>
      </c>
      <c r="AA101" s="1">
        <v>2128.0714992335238</v>
      </c>
      <c r="AB101" s="1">
        <v>34304.943292960619</v>
      </c>
      <c r="AC101" s="1">
        <v>55264.621774158571</v>
      </c>
      <c r="AD101" s="1">
        <v>6987.4010215616327</v>
      </c>
      <c r="AE101" s="1">
        <v>2822.0118771618559</v>
      </c>
      <c r="AF101" s="1">
        <v>17.802399414879098</v>
      </c>
      <c r="AG101" s="1"/>
      <c r="AH101" s="1"/>
      <c r="AI101" s="1"/>
      <c r="AJ101" s="1"/>
      <c r="AK101" s="1"/>
      <c r="AL101" s="1"/>
      <c r="AM101" s="1"/>
      <c r="AN101" s="1"/>
      <c r="AO101" s="1"/>
      <c r="AP101" s="1"/>
      <c r="AQ101" s="1"/>
    </row>
    <row r="102" spans="1:43" x14ac:dyDescent="0.3">
      <c r="A102" s="9">
        <f t="shared" si="18"/>
        <v>2020</v>
      </c>
      <c r="B102" s="9">
        <f t="shared" si="19"/>
        <v>4</v>
      </c>
      <c r="C102" s="10">
        <v>43927</v>
      </c>
      <c r="D102" s="9">
        <v>0.217</v>
      </c>
      <c r="E102" s="9">
        <v>0.14699999999999999</v>
      </c>
      <c r="F102" s="9">
        <v>14.282184092556744</v>
      </c>
      <c r="G102" s="9">
        <v>12029.912039572127</v>
      </c>
      <c r="H102" s="9">
        <v>56947.415130551701</v>
      </c>
      <c r="I102" s="9">
        <v>2105.8380021062849</v>
      </c>
      <c r="J102" s="20">
        <v>70.900000000000006</v>
      </c>
      <c r="K102" s="9">
        <v>71.650000000000006</v>
      </c>
      <c r="L102" s="31">
        <f>Table1[[#This Row],[TN550 I (O2)]]/(Table1[[#This Row],[Flowmeter A]]+Table1[[#This Row],[Flowmeter B]])</f>
        <v>2.6496103659305676E-2</v>
      </c>
      <c r="M102" s="33">
        <f>Table1[[#This Row],[TN120 Venting2]]/100</f>
        <v>0</v>
      </c>
      <c r="N102" s="31">
        <f>Table1[[#This Row],[TN550 I Venting2]]/100</f>
        <v>0</v>
      </c>
      <c r="O102" s="31">
        <f>(Table1[[#This Row],[TN550 I (O2)]]-Table1[[#This Row],[O2]])/Table1[[#This Row],[TN550 I (O2)]]</f>
        <v>0.30756186287239035</v>
      </c>
      <c r="P102" s="9">
        <f>Table1[[#This Row],[M-N2]]+Table1[[#This Row],[TEN-N2]]</f>
        <v>64541.263387157225</v>
      </c>
      <c r="Q102" s="9">
        <v>1458.1625432710032</v>
      </c>
      <c r="R102" s="9">
        <f>SUM(Table1[[#This Row],[TEN-CDA]:[TEN-CDA WWT]])</f>
        <v>99201.283377400454</v>
      </c>
      <c r="S102" s="9">
        <v>427.53765119437458</v>
      </c>
      <c r="T102" s="9">
        <v>260.25224044768038</v>
      </c>
      <c r="U102" s="9">
        <v>39.920861356048263</v>
      </c>
      <c r="V102" s="42">
        <v>0</v>
      </c>
      <c r="W102" s="9">
        <v>0</v>
      </c>
      <c r="X102" s="9">
        <v>77477.077333448993</v>
      </c>
      <c r="Y102" s="9">
        <v>2000.1933318435276</v>
      </c>
      <c r="Z102" s="1">
        <v>62403.282518650245</v>
      </c>
      <c r="AA102" s="1">
        <v>2137.9808685069775</v>
      </c>
      <c r="AB102" s="1">
        <v>34212.724889941877</v>
      </c>
      <c r="AC102" s="1">
        <v>55286.835503773422</v>
      </c>
      <c r="AD102" s="1">
        <v>6880.4142891899073</v>
      </c>
      <c r="AE102" s="1">
        <v>2805.9928635035349</v>
      </c>
      <c r="AF102" s="1">
        <v>15.315830991710721</v>
      </c>
      <c r="AG102" s="1"/>
      <c r="AH102" s="1"/>
      <c r="AI102" s="1"/>
      <c r="AJ102" s="1"/>
      <c r="AK102" s="1"/>
      <c r="AL102" s="1"/>
      <c r="AM102" s="1"/>
      <c r="AN102" s="1"/>
      <c r="AO102" s="1"/>
      <c r="AP102" s="1"/>
      <c r="AQ102" s="1"/>
    </row>
    <row r="103" spans="1:43" x14ac:dyDescent="0.3">
      <c r="A103" s="9">
        <f t="shared" si="18"/>
        <v>2020</v>
      </c>
      <c r="B103" s="9">
        <f t="shared" si="19"/>
        <v>4</v>
      </c>
      <c r="C103" s="10">
        <v>43928</v>
      </c>
      <c r="D103" s="9">
        <v>0.219</v>
      </c>
      <c r="E103" s="9">
        <v>0.14699999999999999</v>
      </c>
      <c r="F103" s="9">
        <v>15.27144814662682</v>
      </c>
      <c r="G103" s="9">
        <v>12024.839225011929</v>
      </c>
      <c r="H103" s="9">
        <v>56977.648502558986</v>
      </c>
      <c r="I103" s="9">
        <v>2056.8120320496832</v>
      </c>
      <c r="J103" s="20">
        <v>70.88</v>
      </c>
      <c r="K103" s="9">
        <v>71.709999999999994</v>
      </c>
      <c r="L103" s="31">
        <f>Table1[[#This Row],[TN550 I (O2)]]/(Table1[[#This Row],[Flowmeter A]]+Table1[[#This Row],[Flowmeter B]])</f>
        <v>2.5886745851409158E-2</v>
      </c>
      <c r="M103" s="33">
        <f>Table1[[#This Row],[TN120 Venting2]]/100</f>
        <v>0</v>
      </c>
      <c r="N103" s="31">
        <f>Table1[[#This Row],[TN550 I Venting2]]/100</f>
        <v>0</v>
      </c>
      <c r="O103" s="31">
        <f>(Table1[[#This Row],[TN550 I (O2)]]-Table1[[#This Row],[O2]])/Table1[[#This Row],[TN550 I (O2)]]</f>
        <v>0.29500592738348236</v>
      </c>
      <c r="P103" s="9">
        <f>Table1[[#This Row],[M-N2]]+Table1[[#This Row],[TEN-N2]]</f>
        <v>64391.639399807129</v>
      </c>
      <c r="Q103" s="9">
        <v>1450.0402910813616</v>
      </c>
      <c r="R103" s="9">
        <f>SUM(Table1[[#This Row],[TEN-CDA]:[TEN-CDA WWT]])</f>
        <v>99597.053918115373</v>
      </c>
      <c r="S103" s="9">
        <v>425.22919516527014</v>
      </c>
      <c r="T103" s="9">
        <v>250.16241772748961</v>
      </c>
      <c r="U103" s="9">
        <v>38.917858654554315</v>
      </c>
      <c r="V103" s="42">
        <v>0</v>
      </c>
      <c r="W103" s="9">
        <v>0</v>
      </c>
      <c r="X103" s="9">
        <v>77454.42967665683</v>
      </c>
      <c r="Y103" s="9">
        <v>1999.8224667318159</v>
      </c>
      <c r="Z103" s="1">
        <v>62228.703618363987</v>
      </c>
      <c r="AA103" s="1">
        <v>2162.9357814431437</v>
      </c>
      <c r="AB103" s="1">
        <v>34708.223950652755</v>
      </c>
      <c r="AC103" s="1">
        <v>55153.7493602533</v>
      </c>
      <c r="AD103" s="1">
        <v>6917.0938977381156</v>
      </c>
      <c r="AE103" s="1">
        <v>2803.9600422612334</v>
      </c>
      <c r="AF103" s="1">
        <v>14.02666720997162</v>
      </c>
      <c r="AG103" s="1"/>
      <c r="AH103" s="1"/>
      <c r="AI103" s="1"/>
      <c r="AJ103" s="1"/>
      <c r="AK103" s="1"/>
      <c r="AL103" s="1"/>
      <c r="AM103" s="1"/>
      <c r="AN103" s="1"/>
      <c r="AO103" s="1"/>
      <c r="AP103" s="1"/>
      <c r="AQ103" s="1"/>
    </row>
    <row r="104" spans="1:43" x14ac:dyDescent="0.3">
      <c r="A104" s="9">
        <f t="shared" si="18"/>
        <v>2020</v>
      </c>
      <c r="B104" s="9">
        <f t="shared" si="19"/>
        <v>4</v>
      </c>
      <c r="C104" s="10">
        <v>43929</v>
      </c>
      <c r="D104" s="9">
        <v>0.73399999999999999</v>
      </c>
      <c r="E104" s="9">
        <v>0.28799999999999998</v>
      </c>
      <c r="F104" s="9">
        <v>15.625463103850958</v>
      </c>
      <c r="G104" s="9">
        <v>12020.690227733559</v>
      </c>
      <c r="H104" s="9">
        <v>57000.988693290259</v>
      </c>
      <c r="I104" s="9">
        <v>2025.0565469332821</v>
      </c>
      <c r="J104" s="20">
        <v>70.87</v>
      </c>
      <c r="K104" s="9">
        <v>71.59</v>
      </c>
      <c r="L104" s="31">
        <f>Table1[[#This Row],[TN550 I (O2)]]/(Table1[[#This Row],[Flowmeter A]]+Table1[[#This Row],[Flowmeter B]])</f>
        <v>2.5433183438603756E-2</v>
      </c>
      <c r="M104" s="33">
        <f>Table1[[#This Row],[TN120 Venting2]]/100</f>
        <v>0</v>
      </c>
      <c r="N104" s="31">
        <f>Table1[[#This Row],[TN550 I Venting2]]/100</f>
        <v>0</v>
      </c>
      <c r="O104" s="31">
        <f>(Table1[[#This Row],[TN550 I (O2)]]-Table1[[#This Row],[O2]])/Table1[[#This Row],[TN550 I (O2)]]</f>
        <v>0.28155412970245497</v>
      </c>
      <c r="P104" s="9">
        <f>Table1[[#This Row],[M-N2]]+Table1[[#This Row],[TEN-N2]]</f>
        <v>64212.828940016298</v>
      </c>
      <c r="Q104" s="9">
        <v>1454.8935132632232</v>
      </c>
      <c r="R104" s="9">
        <f>SUM(Table1[[#This Row],[TEN-CDA]:[TEN-CDA WWT]])</f>
        <v>99457.39187223652</v>
      </c>
      <c r="S104" s="9">
        <v>432.30965737548667</v>
      </c>
      <c r="T104" s="9">
        <v>258.27738631789174</v>
      </c>
      <c r="U104" s="9">
        <v>40.408151768215163</v>
      </c>
      <c r="V104" s="42">
        <v>0</v>
      </c>
      <c r="W104" s="9">
        <v>0</v>
      </c>
      <c r="X104" s="9">
        <v>77622.673951466</v>
      </c>
      <c r="Y104" s="9">
        <v>1999.9400174778257</v>
      </c>
      <c r="Z104" s="1">
        <v>62029.480132611905</v>
      </c>
      <c r="AA104" s="1">
        <v>2183.3488074043903</v>
      </c>
      <c r="AB104" s="1">
        <v>34606.700892663517</v>
      </c>
      <c r="AC104" s="1">
        <v>55068.427217969293</v>
      </c>
      <c r="AD104" s="1">
        <v>6992.038739238159</v>
      </c>
      <c r="AE104" s="1">
        <v>2774.8643303261624</v>
      </c>
      <c r="AF104" s="1">
        <v>15.36069203940098</v>
      </c>
      <c r="AG104" s="1"/>
      <c r="AH104" s="1"/>
      <c r="AI104" s="1"/>
      <c r="AJ104" s="1"/>
      <c r="AK104" s="1"/>
      <c r="AL104" s="1"/>
      <c r="AM104" s="1"/>
      <c r="AN104" s="1"/>
      <c r="AO104" s="1"/>
      <c r="AP104" s="1"/>
      <c r="AQ104" s="1"/>
    </row>
    <row r="105" spans="1:43" x14ac:dyDescent="0.3">
      <c r="A105" s="9">
        <f t="shared" si="18"/>
        <v>2020</v>
      </c>
      <c r="B105" s="9">
        <f t="shared" si="19"/>
        <v>4</v>
      </c>
      <c r="C105" s="10">
        <v>43930</v>
      </c>
      <c r="D105" s="9">
        <v>0.215</v>
      </c>
      <c r="E105" s="9">
        <v>0.14699999999999999</v>
      </c>
      <c r="F105" s="9">
        <v>16.058336696055594</v>
      </c>
      <c r="G105" s="9">
        <v>11327.36895154732</v>
      </c>
      <c r="H105" s="9">
        <v>56316.197828114156</v>
      </c>
      <c r="I105" s="9">
        <v>1936.8283763411639</v>
      </c>
      <c r="J105" s="20">
        <v>70.94</v>
      </c>
      <c r="K105" s="9">
        <v>71.55</v>
      </c>
      <c r="L105" s="31">
        <f>Table1[[#This Row],[TN550 I (O2)]]/(Table1[[#This Row],[Flowmeter A]]+Table1[[#This Row],[Flowmeter B]])</f>
        <v>2.4606544845733689E-2</v>
      </c>
      <c r="M105" s="33">
        <f>Table1[[#This Row],[TN120 Venting2]]/100</f>
        <v>1.2199999999999999E-2</v>
      </c>
      <c r="N105" s="31">
        <f>Table1[[#This Row],[TN550 I Venting2]]/100</f>
        <v>1.9E-3</v>
      </c>
      <c r="O105" s="31">
        <f>(Table1[[#This Row],[TN550 I (O2)]]-Table1[[#This Row],[O2]])/Table1[[#This Row],[TN550 I (O2)]]</f>
        <v>0.24853828215578908</v>
      </c>
      <c r="P105" s="9">
        <f>Table1[[#This Row],[M-N2]]+Table1[[#This Row],[TEN-N2]]</f>
        <v>64468.484458102685</v>
      </c>
      <c r="Q105" s="9">
        <v>1455.4523788547449</v>
      </c>
      <c r="R105" s="9">
        <f>SUM(Table1[[#This Row],[TEN-CDA]:[TEN-CDA WWT]])</f>
        <v>99037.652624160051</v>
      </c>
      <c r="S105" s="9">
        <v>425.51526270700271</v>
      </c>
      <c r="T105" s="9">
        <v>253.51836727229693</v>
      </c>
      <c r="U105" s="9">
        <v>39.706359197496127</v>
      </c>
      <c r="V105" s="42">
        <v>1.22</v>
      </c>
      <c r="W105" s="9">
        <v>0.19</v>
      </c>
      <c r="X105" s="9">
        <v>76743.046620185632</v>
      </c>
      <c r="Y105" s="9">
        <v>1968.8728501732196</v>
      </c>
      <c r="Z105" s="1">
        <v>62256.367724236639</v>
      </c>
      <c r="AA105" s="1">
        <v>2212.1167338660489</v>
      </c>
      <c r="AB105" s="1">
        <v>34109.294362096633</v>
      </c>
      <c r="AC105" s="1">
        <v>55098.950991607395</v>
      </c>
      <c r="AD105" s="1">
        <v>7025.3340850131199</v>
      </c>
      <c r="AE105" s="1">
        <v>2779.7547415125132</v>
      </c>
      <c r="AF105" s="1">
        <v>24.318443930394416</v>
      </c>
      <c r="AG105" s="1"/>
      <c r="AH105" s="1"/>
      <c r="AI105" s="1"/>
      <c r="AJ105" s="1"/>
      <c r="AK105" s="1"/>
      <c r="AL105" s="1"/>
      <c r="AM105" s="1"/>
      <c r="AN105" s="1"/>
      <c r="AO105" s="1"/>
      <c r="AP105" s="1"/>
      <c r="AQ105" s="1"/>
    </row>
    <row r="106" spans="1:43" x14ac:dyDescent="0.3">
      <c r="A106" s="9">
        <f t="shared" si="18"/>
        <v>2020</v>
      </c>
      <c r="B106" s="9">
        <f t="shared" si="19"/>
        <v>4</v>
      </c>
      <c r="C106" s="10">
        <v>43931</v>
      </c>
      <c r="D106" s="9">
        <v>0.20699999999999999</v>
      </c>
      <c r="E106" s="9">
        <v>0.15</v>
      </c>
      <c r="F106" s="9">
        <v>12.639800828831795</v>
      </c>
      <c r="G106" s="9">
        <v>10598.145545085878</v>
      </c>
      <c r="H106" s="9">
        <v>55399.915366390531</v>
      </c>
      <c r="I106" s="9">
        <v>1800.097835246926</v>
      </c>
      <c r="J106" s="20">
        <v>70.95</v>
      </c>
      <c r="K106" s="9">
        <v>71.77</v>
      </c>
      <c r="L106" s="31">
        <f>Table1[[#This Row],[TN550 I (O2)]]/(Table1[[#This Row],[Flowmeter A]]+Table1[[#This Row],[Flowmeter B]])</f>
        <v>2.3320652055663246E-2</v>
      </c>
      <c r="M106" s="33">
        <f>Table1[[#This Row],[TN120 Venting2]]/100</f>
        <v>1.8500000000000003E-2</v>
      </c>
      <c r="N106" s="31">
        <f>Table1[[#This Row],[TN550 I Venting2]]/100</f>
        <v>1.8E-3</v>
      </c>
      <c r="O106" s="31">
        <f>(Table1[[#This Row],[TN550 I (O2)]]-Table1[[#This Row],[O2]])/Table1[[#This Row],[TN550 I (O2)]]</f>
        <v>0.18995781803107303</v>
      </c>
      <c r="P106" s="9">
        <f>Table1[[#This Row],[M-N2]]+Table1[[#This Row],[TEN-N2]]</f>
        <v>64778.792809660452</v>
      </c>
      <c r="Q106" s="9">
        <v>1458.1551782209619</v>
      </c>
      <c r="R106" s="9">
        <f>SUM(Table1[[#This Row],[TEN-CDA]:[TEN-CDA WWT]])</f>
        <v>99520.072116141149</v>
      </c>
      <c r="S106" s="9">
        <v>425.30316803804453</v>
      </c>
      <c r="T106" s="9">
        <v>253.27878169761939</v>
      </c>
      <c r="U106" s="9">
        <v>39.598842684383776</v>
      </c>
      <c r="V106" s="42">
        <v>1.85</v>
      </c>
      <c r="W106" s="9">
        <v>0.18</v>
      </c>
      <c r="X106" s="9">
        <v>75288.811128339701</v>
      </c>
      <c r="Y106" s="9">
        <v>1900.189888884672</v>
      </c>
      <c r="Z106" s="1">
        <v>62624.790426027939</v>
      </c>
      <c r="AA106" s="1">
        <v>2154.0023836325145</v>
      </c>
      <c r="AB106" s="1">
        <v>34158.362172536436</v>
      </c>
      <c r="AC106" s="1">
        <v>55364.48415000434</v>
      </c>
      <c r="AD106" s="1">
        <v>7130.3184505253512</v>
      </c>
      <c r="AE106" s="1">
        <v>2843.2848778856373</v>
      </c>
      <c r="AF106" s="1">
        <v>23.62246518938348</v>
      </c>
      <c r="AG106" s="1"/>
      <c r="AH106" s="1"/>
      <c r="AI106" s="1"/>
      <c r="AJ106" s="1"/>
      <c r="AK106" s="1"/>
      <c r="AL106" s="1"/>
      <c r="AM106" s="1"/>
      <c r="AN106" s="1"/>
      <c r="AO106" s="1"/>
      <c r="AP106" s="1"/>
      <c r="AQ106" s="1"/>
    </row>
    <row r="107" spans="1:43" x14ac:dyDescent="0.3">
      <c r="A107" s="9">
        <f t="shared" si="18"/>
        <v>2020</v>
      </c>
      <c r="B107" s="9">
        <f t="shared" si="19"/>
        <v>4</v>
      </c>
      <c r="C107" s="10">
        <v>43932</v>
      </c>
      <c r="D107" s="9">
        <v>0.20599999999999999</v>
      </c>
      <c r="E107" s="9">
        <v>0.14899999999999999</v>
      </c>
      <c r="F107" s="9">
        <v>12.341273660547282</v>
      </c>
      <c r="G107" s="9">
        <v>10613.611410126432</v>
      </c>
      <c r="H107" s="9">
        <v>55399.403381983</v>
      </c>
      <c r="I107" s="9">
        <v>1799.9113262105038</v>
      </c>
      <c r="J107" s="20">
        <v>70.81</v>
      </c>
      <c r="K107" s="9">
        <v>71.760000000000005</v>
      </c>
      <c r="L107" s="31">
        <f>Table1[[#This Row],[TN550 I (O2)]]/(Table1[[#This Row],[Flowmeter A]]+Table1[[#This Row],[Flowmeter B]])</f>
        <v>2.3315159367514573E-2</v>
      </c>
      <c r="M107" s="33">
        <f>Table1[[#This Row],[TN120 Venting2]]/100</f>
        <v>6.3E-3</v>
      </c>
      <c r="N107" s="31">
        <f>Table1[[#This Row],[TN550 I Venting2]]/100</f>
        <v>2.9999999999999997E-4</v>
      </c>
      <c r="O107" s="31">
        <f>(Table1[[#This Row],[TN550 I (O2)]]-Table1[[#This Row],[O2]])/Table1[[#This Row],[TN550 I (O2)]]</f>
        <v>0.18942589846350691</v>
      </c>
      <c r="P107" s="9">
        <f>Table1[[#This Row],[M-N2]]+Table1[[#This Row],[TEN-N2]]</f>
        <v>64744.75361848258</v>
      </c>
      <c r="Q107" s="9">
        <v>1458.9615060884369</v>
      </c>
      <c r="R107" s="9">
        <f>SUM(Table1[[#This Row],[TEN-CDA]:[TEN-CDA WWT]])</f>
        <v>99117.457544907651</v>
      </c>
      <c r="S107" s="9">
        <v>434.69852550752785</v>
      </c>
      <c r="T107" s="9">
        <v>259.68734607789185</v>
      </c>
      <c r="U107" s="9">
        <v>40.562147083586915</v>
      </c>
      <c r="V107" s="42">
        <v>0.63</v>
      </c>
      <c r="W107" s="9">
        <v>0.03</v>
      </c>
      <c r="X107" s="9">
        <v>75299.087683249483</v>
      </c>
      <c r="Y107" s="9">
        <v>1900.098384436264</v>
      </c>
      <c r="Z107" s="1">
        <v>62610.465022662211</v>
      </c>
      <c r="AA107" s="1">
        <v>2134.2885958203669</v>
      </c>
      <c r="AB107" s="1">
        <v>33780.786067075816</v>
      </c>
      <c r="AC107" s="1">
        <v>55404.399635669673</v>
      </c>
      <c r="AD107" s="1">
        <v>7072.6526565075255</v>
      </c>
      <c r="AE107" s="1">
        <v>2834.5979764622007</v>
      </c>
      <c r="AF107" s="1">
        <v>25.021209192433183</v>
      </c>
      <c r="AG107" s="1"/>
      <c r="AH107" s="1"/>
      <c r="AI107" s="1"/>
      <c r="AJ107" s="1"/>
      <c r="AK107" s="1"/>
      <c r="AL107" s="1"/>
      <c r="AM107" s="1"/>
      <c r="AN107" s="1"/>
      <c r="AO107" s="1"/>
      <c r="AP107" s="1"/>
      <c r="AQ107" s="1"/>
    </row>
    <row r="108" spans="1:43" x14ac:dyDescent="0.3">
      <c r="A108" s="9">
        <f t="shared" si="18"/>
        <v>2020</v>
      </c>
      <c r="B108" s="9">
        <f t="shared" si="19"/>
        <v>4</v>
      </c>
      <c r="C108" s="10">
        <v>43933</v>
      </c>
      <c r="D108" s="9">
        <v>0.20599999999999999</v>
      </c>
      <c r="E108" s="9">
        <v>0.14599999999999999</v>
      </c>
      <c r="F108" s="9">
        <v>12.299237394895428</v>
      </c>
      <c r="G108" s="9">
        <v>10391.869171799101</v>
      </c>
      <c r="H108" s="9">
        <v>55399.203260539558</v>
      </c>
      <c r="I108" s="9">
        <v>1800.0003782400731</v>
      </c>
      <c r="J108" s="20">
        <v>70.83</v>
      </c>
      <c r="K108" s="9">
        <v>71.77</v>
      </c>
      <c r="L108" s="31">
        <f>Table1[[#This Row],[TN550 I (O2)]]/(Table1[[#This Row],[Flowmeter A]]+Table1[[#This Row],[Flowmeter B]])</f>
        <v>2.3317517644901309E-2</v>
      </c>
      <c r="M108" s="33">
        <f>Table1[[#This Row],[TN120 Venting2]]/100</f>
        <v>2.1600000000000001E-2</v>
      </c>
      <c r="N108" s="31">
        <f>Table1[[#This Row],[TN550 I Venting2]]/100</f>
        <v>4.3E-3</v>
      </c>
      <c r="O108" s="31">
        <f>(Table1[[#This Row],[TN550 I (O2)]]-Table1[[#This Row],[O2]])/Table1[[#This Row],[TN550 I (O2)]]</f>
        <v>0.18952893392893116</v>
      </c>
      <c r="P108" s="9">
        <f>Table1[[#This Row],[M-N2]]+Table1[[#This Row],[TEN-N2]]</f>
        <v>64477.200289623281</v>
      </c>
      <c r="Q108" s="9">
        <v>1458.8482254805592</v>
      </c>
      <c r="R108" s="9">
        <f>SUM(Table1[[#This Row],[TEN-CDA]:[TEN-CDA WWT]])</f>
        <v>99711.402256037938</v>
      </c>
      <c r="S108" s="9">
        <v>435.79870136487</v>
      </c>
      <c r="T108" s="9">
        <v>260.37510567869066</v>
      </c>
      <c r="U108" s="9">
        <v>40.915440044823413</v>
      </c>
      <c r="V108" s="42">
        <v>2.16</v>
      </c>
      <c r="W108" s="9">
        <v>0.43</v>
      </c>
      <c r="X108" s="9">
        <v>75295.354457624911</v>
      </c>
      <c r="Y108" s="9">
        <v>1899.8429751373017</v>
      </c>
      <c r="Z108" s="1">
        <v>62357.337910558446</v>
      </c>
      <c r="AA108" s="1">
        <v>2119.8623790648312</v>
      </c>
      <c r="AB108" s="1">
        <v>34506.216245229007</v>
      </c>
      <c r="AC108" s="1">
        <v>55393.280063871702</v>
      </c>
      <c r="AD108" s="1">
        <v>6926.9249062069575</v>
      </c>
      <c r="AE108" s="1">
        <v>2869.5186071506128</v>
      </c>
      <c r="AF108" s="1">
        <v>15.462433579655096</v>
      </c>
      <c r="AG108" s="1"/>
      <c r="AH108" s="1"/>
      <c r="AI108" s="1"/>
      <c r="AJ108" s="1"/>
      <c r="AK108" s="1"/>
      <c r="AL108" s="1"/>
      <c r="AM108" s="1"/>
      <c r="AN108" s="1"/>
      <c r="AO108" s="1"/>
      <c r="AP108" s="1"/>
      <c r="AQ108" s="1"/>
    </row>
    <row r="109" spans="1:43" x14ac:dyDescent="0.3">
      <c r="A109" s="9">
        <f t="shared" si="18"/>
        <v>2020</v>
      </c>
      <c r="B109" s="9">
        <f t="shared" si="19"/>
        <v>4</v>
      </c>
      <c r="C109" s="10">
        <v>43934</v>
      </c>
      <c r="D109" s="9">
        <v>0.20799999999999999</v>
      </c>
      <c r="E109" s="9">
        <v>0.14799999999999999</v>
      </c>
      <c r="F109" s="9">
        <v>13.277044688720492</v>
      </c>
      <c r="G109" s="9">
        <v>10283.50772711008</v>
      </c>
      <c r="H109" s="9">
        <v>55164.44706638185</v>
      </c>
      <c r="I109" s="9">
        <v>1743.2906731334847</v>
      </c>
      <c r="J109" s="20">
        <v>70.8</v>
      </c>
      <c r="K109" s="9">
        <v>71.84</v>
      </c>
      <c r="L109" s="31">
        <f>Table1[[#This Row],[TN550 I (O2)]]/(Table1[[#This Row],[Flowmeter A]]+Table1[[#This Row],[Flowmeter B]])</f>
        <v>2.2703242474011207E-2</v>
      </c>
      <c r="M109" s="33">
        <f>Table1[[#This Row],[TN120 Venting2]]/100</f>
        <v>1.7899999999999999E-2</v>
      </c>
      <c r="N109" s="31">
        <f>Table1[[#This Row],[TN550 I Venting2]]/100</f>
        <v>5.1999999999999998E-3</v>
      </c>
      <c r="O109" s="31">
        <f>(Table1[[#This Row],[TN550 I (O2)]]-Table1[[#This Row],[O2]])/Table1[[#This Row],[TN550 I (O2)]]</f>
        <v>0.16542801386694375</v>
      </c>
      <c r="P109" s="9">
        <f>Table1[[#This Row],[M-N2]]+Table1[[#This Row],[TEN-N2]]</f>
        <v>64408.960471243932</v>
      </c>
      <c r="Q109" s="9">
        <v>1454.9015594842449</v>
      </c>
      <c r="R109" s="9">
        <f>SUM(Table1[[#This Row],[TEN-CDA]:[TEN-CDA WWT]])</f>
        <v>100078.774831838</v>
      </c>
      <c r="S109" s="9">
        <v>433.44034455171646</v>
      </c>
      <c r="T109" s="9">
        <v>267.52621834812521</v>
      </c>
      <c r="U109" s="9">
        <v>39.650913328532127</v>
      </c>
      <c r="V109" s="42">
        <v>1.79</v>
      </c>
      <c r="W109" s="9">
        <v>0.52</v>
      </c>
      <c r="X109" s="9">
        <v>74946.876436719293</v>
      </c>
      <c r="Y109" s="9">
        <v>1839.1013868915627</v>
      </c>
      <c r="Z109" s="1">
        <v>62254.416629619191</v>
      </c>
      <c r="AA109" s="1">
        <v>2154.5438416247398</v>
      </c>
      <c r="AB109" s="1">
        <v>34979.467995044673</v>
      </c>
      <c r="AC109" s="1">
        <v>55228.146518259891</v>
      </c>
      <c r="AD109" s="1">
        <v>7076.7823288948648</v>
      </c>
      <c r="AE109" s="1">
        <v>2780.897455515918</v>
      </c>
      <c r="AF109" s="1">
        <v>13.4805341226454</v>
      </c>
      <c r="AG109" s="1"/>
      <c r="AH109" s="1"/>
      <c r="AI109" s="1"/>
      <c r="AJ109" s="1"/>
      <c r="AK109" s="1"/>
      <c r="AL109" s="1"/>
      <c r="AM109" s="1"/>
      <c r="AN109" s="1"/>
      <c r="AO109" s="1"/>
      <c r="AP109" s="1"/>
      <c r="AQ109" s="1"/>
    </row>
    <row r="110" spans="1:43" x14ac:dyDescent="0.3">
      <c r="A110" s="9">
        <f t="shared" si="18"/>
        <v>2020</v>
      </c>
      <c r="B110" s="9">
        <f t="shared" si="19"/>
        <v>4</v>
      </c>
      <c r="C110" s="10">
        <v>43935</v>
      </c>
      <c r="D110" s="9">
        <v>0.21</v>
      </c>
      <c r="E110" s="9">
        <v>0.14599999999999999</v>
      </c>
      <c r="F110" s="9">
        <v>15.158659216929111</v>
      </c>
      <c r="G110" s="9">
        <v>10526.478930376041</v>
      </c>
      <c r="H110" s="9">
        <v>55004.022312521687</v>
      </c>
      <c r="I110" s="9">
        <v>1706.2550569808293</v>
      </c>
      <c r="J110" s="20">
        <v>71</v>
      </c>
      <c r="K110" s="9">
        <v>71.900000000000006</v>
      </c>
      <c r="L110" s="31">
        <f>Table1[[#This Row],[TN550 I (O2)]]/(Table1[[#This Row],[Flowmeter A]]+Table1[[#This Row],[Flowmeter B]])</f>
        <v>2.2302615214413783E-2</v>
      </c>
      <c r="M110" s="33">
        <f>Table1[[#This Row],[TN120 Venting2]]/100</f>
        <v>1.1000000000000001E-2</v>
      </c>
      <c r="N110" s="31">
        <f>Table1[[#This Row],[TN550 I Venting2]]/100</f>
        <v>1.4000000000000002E-3</v>
      </c>
      <c r="O110" s="31">
        <f>(Table1[[#This Row],[TN550 I (O2)]]-Table1[[#This Row],[O2]])/Table1[[#This Row],[TN550 I (O2)]]</f>
        <v>0.15035226534812018</v>
      </c>
      <c r="P110" s="9">
        <f>Table1[[#This Row],[M-N2]]+Table1[[#This Row],[TEN-N2]]</f>
        <v>64638.40936647795</v>
      </c>
      <c r="Q110" s="9">
        <v>1449.7157439020757</v>
      </c>
      <c r="R110" s="9">
        <f>SUM(Table1[[#This Row],[TEN-CDA]:[TEN-CDA WWT]])</f>
        <v>100458.8333949997</v>
      </c>
      <c r="S110" s="9">
        <v>434.27848812741263</v>
      </c>
      <c r="T110" s="9">
        <v>256.21903944048591</v>
      </c>
      <c r="U110" s="9">
        <v>39.640990531916096</v>
      </c>
      <c r="V110" s="42">
        <v>1.1000000000000001</v>
      </c>
      <c r="W110" s="9">
        <v>0.14000000000000001</v>
      </c>
      <c r="X110" s="9">
        <v>74705.027693442054</v>
      </c>
      <c r="Y110" s="9">
        <v>1799.6799642548306</v>
      </c>
      <c r="Z110" s="1">
        <v>62463.599586333272</v>
      </c>
      <c r="AA110" s="1">
        <v>2174.8097801446747</v>
      </c>
      <c r="AB110" s="1">
        <v>35351.624861749653</v>
      </c>
      <c r="AC110" s="1">
        <v>54991.18448288949</v>
      </c>
      <c r="AD110" s="1">
        <v>7162.0284995635629</v>
      </c>
      <c r="AE110" s="1">
        <v>2936.5092571822411</v>
      </c>
      <c r="AF110" s="1">
        <v>17.486293614753453</v>
      </c>
      <c r="AG110" s="1"/>
      <c r="AH110" s="1"/>
      <c r="AI110" s="1"/>
      <c r="AJ110" s="1"/>
      <c r="AK110" s="1"/>
      <c r="AL110" s="1"/>
      <c r="AM110" s="1"/>
      <c r="AN110" s="1"/>
      <c r="AO110" s="1"/>
      <c r="AP110" s="1"/>
      <c r="AQ110" s="1"/>
    </row>
    <row r="111" spans="1:43" x14ac:dyDescent="0.3">
      <c r="A111" s="9">
        <f t="shared" si="18"/>
        <v>2020</v>
      </c>
      <c r="B111" s="9">
        <f t="shared" si="19"/>
        <v>4</v>
      </c>
      <c r="C111" s="10">
        <v>43936</v>
      </c>
      <c r="D111" s="9">
        <v>0.21299999999999999</v>
      </c>
      <c r="E111" s="9">
        <v>0.14899999999999999</v>
      </c>
      <c r="F111" s="9">
        <v>16.546676844213671</v>
      </c>
      <c r="G111" s="9">
        <v>10349.211797498479</v>
      </c>
      <c r="H111" s="9">
        <v>54980.359770775503</v>
      </c>
      <c r="I111" s="9">
        <v>1702.5026276037147</v>
      </c>
      <c r="J111" s="20">
        <v>71.010000000000005</v>
      </c>
      <c r="K111" s="9">
        <v>71.86</v>
      </c>
      <c r="L111" s="31">
        <f>Table1[[#This Row],[TN550 I (O2)]]/(Table1[[#This Row],[Flowmeter A]]+Table1[[#This Row],[Flowmeter B]])</f>
        <v>2.2253265066514261E-2</v>
      </c>
      <c r="M111" s="33">
        <f>Table1[[#This Row],[TN120 Venting2]]/100</f>
        <v>1.89E-2</v>
      </c>
      <c r="N111" s="31">
        <f>Table1[[#This Row],[TN550 I Venting2]]/100</f>
        <v>4.0999999999999995E-3</v>
      </c>
      <c r="O111" s="31">
        <f>(Table1[[#This Row],[TN550 I (O2)]]-Table1[[#This Row],[O2]])/Table1[[#This Row],[TN550 I (O2)]]</f>
        <v>0.15044676258030379</v>
      </c>
      <c r="P111" s="9">
        <f>Table1[[#This Row],[M-N2]]+Table1[[#This Row],[TEN-N2]]</f>
        <v>64253.169437405799</v>
      </c>
      <c r="Q111" s="9">
        <v>1446.3666189962753</v>
      </c>
      <c r="R111" s="9">
        <f>SUM(Table1[[#This Row],[TEN-CDA]:[TEN-CDA WWT]])</f>
        <v>99498.689961679222</v>
      </c>
      <c r="S111" s="9">
        <v>427.11366313269866</v>
      </c>
      <c r="T111" s="9">
        <v>247.04247139395321</v>
      </c>
      <c r="U111" s="9">
        <v>39.717107161310793</v>
      </c>
      <c r="V111" s="42">
        <v>1.89</v>
      </c>
      <c r="W111" s="9">
        <v>0.41</v>
      </c>
      <c r="X111" s="9">
        <v>74705.325045541293</v>
      </c>
      <c r="Y111" s="9">
        <v>1800.4201794848684</v>
      </c>
      <c r="Z111" s="1">
        <v>62092.862348737857</v>
      </c>
      <c r="AA111" s="1">
        <v>2160.3070886679443</v>
      </c>
      <c r="AB111" s="1">
        <v>34613.027244806122</v>
      </c>
      <c r="AC111" s="1">
        <v>55014.91709045368</v>
      </c>
      <c r="AD111" s="1">
        <v>7047.7921582234558</v>
      </c>
      <c r="AE111" s="1">
        <v>2800.1059517790923</v>
      </c>
      <c r="AF111" s="1">
        <v>22.847516416882907</v>
      </c>
      <c r="AG111" s="1"/>
      <c r="AH111" s="1"/>
      <c r="AI111" s="1"/>
      <c r="AJ111" s="1"/>
      <c r="AK111" s="1"/>
      <c r="AL111" s="1"/>
      <c r="AM111" s="1"/>
      <c r="AN111" s="1"/>
      <c r="AO111" s="1"/>
      <c r="AP111" s="1"/>
      <c r="AQ111" s="1"/>
    </row>
    <row r="112" spans="1:43" x14ac:dyDescent="0.3">
      <c r="A112" s="9">
        <f t="shared" si="18"/>
        <v>2020</v>
      </c>
      <c r="B112" s="9">
        <f t="shared" si="19"/>
        <v>4</v>
      </c>
      <c r="C112" s="10">
        <v>43937</v>
      </c>
      <c r="D112" s="9">
        <v>0.20499999999999999</v>
      </c>
      <c r="E112" s="9">
        <v>0.14299999999999999</v>
      </c>
      <c r="F112" s="9">
        <v>15.278567254584669</v>
      </c>
      <c r="G112" s="9">
        <v>10312.343666643173</v>
      </c>
      <c r="H112" s="9">
        <v>55003.558227793197</v>
      </c>
      <c r="I112" s="9">
        <v>1700.0223459830145</v>
      </c>
      <c r="J112" s="20">
        <v>71.010000000000005</v>
      </c>
      <c r="K112" s="9">
        <v>71.900000000000006</v>
      </c>
      <c r="L112" s="31">
        <f>Table1[[#This Row],[TN550 I (O2)]]/(Table1[[#This Row],[Flowmeter A]]+Table1[[#This Row],[Flowmeter B]])</f>
        <v>2.2222395728636421E-2</v>
      </c>
      <c r="M112" s="33">
        <f>Table1[[#This Row],[TN120 Venting2]]/100</f>
        <v>2.3399999999999997E-2</v>
      </c>
      <c r="N112" s="31">
        <f>Table1[[#This Row],[TN550 I Venting2]]/100</f>
        <v>5.6000000000000008E-3</v>
      </c>
      <c r="O112" s="31">
        <f>(Table1[[#This Row],[TN550 I (O2)]]-Table1[[#This Row],[O2]])/Table1[[#This Row],[TN550 I (O2)]]</f>
        <v>0.14756049446603192</v>
      </c>
      <c r="P112" s="9">
        <f>Table1[[#This Row],[M-N2]]+Table1[[#This Row],[TEN-N2]]</f>
        <v>64345.121028775728</v>
      </c>
      <c r="Q112" s="9">
        <v>1449.1662080064573</v>
      </c>
      <c r="R112" s="9">
        <f>SUM(Table1[[#This Row],[TEN-CDA]:[TEN-CDA WWT]])</f>
        <v>99484.409191019411</v>
      </c>
      <c r="S112" s="9">
        <v>427.44586418834848</v>
      </c>
      <c r="T112" s="9">
        <v>246.65268083052203</v>
      </c>
      <c r="U112" s="9">
        <v>40.005491071405878</v>
      </c>
      <c r="V112" s="42">
        <v>2.34</v>
      </c>
      <c r="W112" s="9">
        <v>0.56000000000000005</v>
      </c>
      <c r="X112" s="9">
        <v>74700.406006028803</v>
      </c>
      <c r="Y112" s="9">
        <v>1800.0022641882806</v>
      </c>
      <c r="Z112" s="1">
        <v>62159.698313345769</v>
      </c>
      <c r="AA112" s="1">
        <v>2185.4227154299588</v>
      </c>
      <c r="AB112" s="1">
        <v>34569.942016178</v>
      </c>
      <c r="AC112" s="1">
        <v>55041.174775546497</v>
      </c>
      <c r="AD112" s="1">
        <v>7041.8136215898248</v>
      </c>
      <c r="AE112" s="1">
        <v>2810.527349171582</v>
      </c>
      <c r="AF112" s="1">
        <v>20.951428533510398</v>
      </c>
      <c r="AG112" s="1"/>
      <c r="AH112" s="1"/>
      <c r="AI112" s="1"/>
      <c r="AJ112" s="1"/>
      <c r="AK112" s="1"/>
      <c r="AL112" s="1"/>
      <c r="AM112" s="1"/>
      <c r="AN112" s="1"/>
      <c r="AO112" s="1"/>
      <c r="AP112" s="1"/>
      <c r="AQ112" s="1"/>
    </row>
    <row r="113" spans="1:43" x14ac:dyDescent="0.3">
      <c r="A113" s="9">
        <f t="shared" si="18"/>
        <v>2020</v>
      </c>
      <c r="B113" s="9">
        <f t="shared" si="19"/>
        <v>4</v>
      </c>
      <c r="C113" s="10">
        <v>43938</v>
      </c>
      <c r="D113" s="9">
        <v>0.20699999999999999</v>
      </c>
      <c r="E113" s="9">
        <v>0.14399999999999999</v>
      </c>
      <c r="F113" s="9">
        <v>13.839945754104816</v>
      </c>
      <c r="G113" s="9">
        <v>10546.717846628861</v>
      </c>
      <c r="H113" s="9">
        <v>54997.349442661347</v>
      </c>
      <c r="I113" s="9">
        <v>1630.9319089086084</v>
      </c>
      <c r="J113" s="20">
        <v>70.98</v>
      </c>
      <c r="K113" s="9">
        <v>71.959999999999994</v>
      </c>
      <c r="L113" s="31">
        <f>Table1[[#This Row],[TN550 I (O2)]]/(Table1[[#This Row],[Flowmeter A]]+Table1[[#This Row],[Flowmeter B]])</f>
        <v>2.1338892829245594E-2</v>
      </c>
      <c r="M113" s="33">
        <f>Table1[[#This Row],[TN120 Venting2]]/100</f>
        <v>7.4000000000000003E-3</v>
      </c>
      <c r="N113" s="31">
        <f>Table1[[#This Row],[TN550 I Venting2]]/100</f>
        <v>8.0000000000000004E-4</v>
      </c>
      <c r="O113" s="31">
        <f>(Table1[[#This Row],[TN550 I (O2)]]-Table1[[#This Row],[O2]])/Table1[[#This Row],[TN550 I (O2)]]</f>
        <v>0.10645358503787711</v>
      </c>
      <c r="P113" s="9">
        <f>Table1[[#This Row],[M-N2]]+Table1[[#This Row],[TEN-N2]]</f>
        <v>64483.70693137429</v>
      </c>
      <c r="Q113" s="9">
        <v>1457.3133602526186</v>
      </c>
      <c r="R113" s="9">
        <f>SUM(Table1[[#This Row],[TEN-CDA]:[TEN-CDA WWT]])</f>
        <v>100160.59908831926</v>
      </c>
      <c r="S113" s="9">
        <v>426.73241480152944</v>
      </c>
      <c r="T113" s="9">
        <v>248.88173107435767</v>
      </c>
      <c r="U113" s="9">
        <v>39.242379113752591</v>
      </c>
      <c r="V113" s="42">
        <v>0.74</v>
      </c>
      <c r="W113" s="9">
        <v>0.08</v>
      </c>
      <c r="X113" s="9">
        <v>74733.518986380979</v>
      </c>
      <c r="Y113" s="9">
        <v>1696.496476903382</v>
      </c>
      <c r="Z113" s="1">
        <v>62271.805622722939</v>
      </c>
      <c r="AA113" s="1">
        <v>2211.9013086513546</v>
      </c>
      <c r="AB113" s="1">
        <v>35084.057512144347</v>
      </c>
      <c r="AC113" s="1">
        <v>55260.59113679736</v>
      </c>
      <c r="AD113" s="1">
        <v>6984.7502321114898</v>
      </c>
      <c r="AE113" s="1">
        <v>2810.1531629171909</v>
      </c>
      <c r="AF113" s="1">
        <v>21.047044348865192</v>
      </c>
      <c r="AG113" s="1"/>
      <c r="AH113" s="1"/>
      <c r="AI113" s="1"/>
      <c r="AJ113" s="1"/>
      <c r="AK113" s="1"/>
      <c r="AL113" s="1"/>
      <c r="AM113" s="1"/>
      <c r="AN113" s="1"/>
      <c r="AO113" s="1"/>
      <c r="AP113" s="1"/>
      <c r="AQ113" s="1"/>
    </row>
    <row r="114" spans="1:43" x14ac:dyDescent="0.3">
      <c r="A114" s="9">
        <f t="shared" si="18"/>
        <v>2020</v>
      </c>
      <c r="B114" s="9">
        <f t="shared" si="19"/>
        <v>4</v>
      </c>
      <c r="C114" s="10">
        <v>43939</v>
      </c>
      <c r="D114" s="9">
        <v>0.20899999999999999</v>
      </c>
      <c r="E114" s="9">
        <v>0.14799999999999999</v>
      </c>
      <c r="F114" s="9">
        <v>14.536746348712612</v>
      </c>
      <c r="G114" s="9">
        <v>10541.894903983781</v>
      </c>
      <c r="H114" s="9">
        <v>54994.653663905272</v>
      </c>
      <c r="I114" s="9">
        <v>1600.0785357695663</v>
      </c>
      <c r="J114" s="20">
        <v>70.930000000000007</v>
      </c>
      <c r="K114" s="9">
        <v>71.849999999999994</v>
      </c>
      <c r="L114" s="31">
        <f>Table1[[#This Row],[TN550 I (O2)]]/(Table1[[#This Row],[Flowmeter A]]+Table1[[#This Row],[Flowmeter B]])</f>
        <v>2.0903464110216086E-2</v>
      </c>
      <c r="M114" s="33">
        <f>Table1[[#This Row],[TN120 Venting2]]/100</f>
        <v>7.6E-3</v>
      </c>
      <c r="N114" s="31">
        <f>Table1[[#This Row],[TN550 I Venting2]]/100</f>
        <v>2.0000000000000001E-4</v>
      </c>
      <c r="O114" s="31">
        <f>(Table1[[#This Row],[TN550 I (O2)]]-Table1[[#This Row],[O2]])/Table1[[#This Row],[TN550 I (O2)]]</f>
        <v>8.9904693632502128E-2</v>
      </c>
      <c r="P114" s="9">
        <f>Table1[[#This Row],[M-N2]]+Table1[[#This Row],[TEN-N2]]</f>
        <v>64511.765399072501</v>
      </c>
      <c r="Q114" s="9">
        <v>1456.2239652232608</v>
      </c>
      <c r="R114" s="9">
        <f>SUM(Table1[[#This Row],[TEN-CDA]:[TEN-CDA WWT]])</f>
        <v>100350.00537153124</v>
      </c>
      <c r="S114" s="9">
        <v>426.22307546961065</v>
      </c>
      <c r="T114" s="9">
        <v>265.43687311896508</v>
      </c>
      <c r="U114" s="9">
        <v>41.589821117276699</v>
      </c>
      <c r="V114" s="42">
        <v>0.76</v>
      </c>
      <c r="W114" s="9">
        <v>0.02</v>
      </c>
      <c r="X114" s="9">
        <v>74895.878453547877</v>
      </c>
      <c r="Y114" s="9">
        <v>1650.21588435494</v>
      </c>
      <c r="Z114" s="1">
        <v>62278.401313649374</v>
      </c>
      <c r="AA114" s="1">
        <v>2233.3640854231276</v>
      </c>
      <c r="AB114" s="1">
        <v>35157.385563952987</v>
      </c>
      <c r="AC114" s="1">
        <v>55322.116772748959</v>
      </c>
      <c r="AD114" s="1">
        <v>7062.5313584316445</v>
      </c>
      <c r="AE114" s="1">
        <v>2792.3113384260064</v>
      </c>
      <c r="AF114" s="1">
        <v>15.660337971646202</v>
      </c>
      <c r="AG114" s="1"/>
      <c r="AH114" s="1"/>
      <c r="AI114" s="1"/>
      <c r="AJ114" s="1"/>
      <c r="AK114" s="1"/>
      <c r="AL114" s="1"/>
      <c r="AM114" s="1"/>
      <c r="AN114" s="1"/>
      <c r="AO114" s="1"/>
      <c r="AP114" s="1"/>
      <c r="AQ114" s="1"/>
    </row>
    <row r="115" spans="1:43" x14ac:dyDescent="0.3">
      <c r="A115" s="9">
        <f t="shared" si="18"/>
        <v>2020</v>
      </c>
      <c r="B115" s="9">
        <f t="shared" si="19"/>
        <v>4</v>
      </c>
      <c r="C115" s="10">
        <v>43940</v>
      </c>
      <c r="D115" s="9">
        <v>0.20899999999999999</v>
      </c>
      <c r="E115" s="9">
        <v>0.14899999999999999</v>
      </c>
      <c r="F115" s="9">
        <v>15.023482110912315</v>
      </c>
      <c r="G115" s="9">
        <v>10428.406110394257</v>
      </c>
      <c r="H115" s="9">
        <v>54995.519428239939</v>
      </c>
      <c r="I115" s="9">
        <v>1599.8469426342383</v>
      </c>
      <c r="J115" s="20">
        <v>70.95</v>
      </c>
      <c r="K115" s="9">
        <v>71.83</v>
      </c>
      <c r="L115" s="31">
        <f>Table1[[#This Row],[TN550 I (O2)]]/(Table1[[#This Row],[Flowmeter A]]+Table1[[#This Row],[Flowmeter B]])</f>
        <v>2.0896738726199241E-2</v>
      </c>
      <c r="M115" s="33">
        <f>Table1[[#This Row],[TN120 Venting2]]/100</f>
        <v>1.7899999999999999E-2</v>
      </c>
      <c r="N115" s="31">
        <f>Table1[[#This Row],[TN550 I Venting2]]/100</f>
        <v>1.6000000000000001E-3</v>
      </c>
      <c r="O115" s="31">
        <f>(Table1[[#This Row],[TN550 I (O2)]]-Table1[[#This Row],[O2]])/Table1[[#This Row],[TN550 I (O2)]]</f>
        <v>9.0693164361312986E-2</v>
      </c>
      <c r="P115" s="9">
        <f>Table1[[#This Row],[M-N2]]+Table1[[#This Row],[TEN-N2]]</f>
        <v>64543.788988122666</v>
      </c>
      <c r="Q115" s="9">
        <v>1454.7517609129673</v>
      </c>
      <c r="R115" s="9">
        <f>SUM(Table1[[#This Row],[TEN-CDA]:[TEN-CDA WWT]])</f>
        <v>99281.439520456071</v>
      </c>
      <c r="S115" s="9">
        <v>433.55794076701159</v>
      </c>
      <c r="T115" s="9">
        <v>264.112331721288</v>
      </c>
      <c r="U115" s="9">
        <v>40.209075489613348</v>
      </c>
      <c r="V115" s="42">
        <v>1.79</v>
      </c>
      <c r="W115" s="9">
        <v>0.16</v>
      </c>
      <c r="X115" s="9">
        <v>74909.575224453511</v>
      </c>
      <c r="Y115" s="9">
        <v>1650.0718858601067</v>
      </c>
      <c r="Z115" s="1">
        <v>62338.921213566966</v>
      </c>
      <c r="AA115" s="1">
        <v>2204.8677745557015</v>
      </c>
      <c r="AB115" s="1">
        <v>34061.932388803347</v>
      </c>
      <c r="AC115" s="1">
        <v>55298.346824037129</v>
      </c>
      <c r="AD115" s="1">
        <v>7113.5961849681207</v>
      </c>
      <c r="AE115" s="1">
        <v>2790.401968136006</v>
      </c>
      <c r="AF115" s="1">
        <v>17.162154511458095</v>
      </c>
      <c r="AG115" s="1"/>
      <c r="AH115" s="1"/>
      <c r="AI115" s="1"/>
      <c r="AJ115" s="1"/>
      <c r="AK115" s="1"/>
      <c r="AL115" s="1"/>
      <c r="AM115" s="1"/>
      <c r="AN115" s="1"/>
      <c r="AO115" s="1"/>
      <c r="AP115" s="1"/>
      <c r="AQ115" s="1"/>
    </row>
    <row r="116" spans="1:43" x14ac:dyDescent="0.3">
      <c r="A116" s="9">
        <f t="shared" si="18"/>
        <v>2020</v>
      </c>
      <c r="B116" s="9">
        <f t="shared" si="19"/>
        <v>4</v>
      </c>
      <c r="C116" s="10">
        <v>43941</v>
      </c>
      <c r="D116" s="9">
        <v>0.20599999999999999</v>
      </c>
      <c r="E116" s="9">
        <v>0.14299999999999999</v>
      </c>
      <c r="F116" s="9">
        <v>13.254574874967936</v>
      </c>
      <c r="G116" s="9">
        <v>10191.85673197866</v>
      </c>
      <c r="H116" s="9">
        <v>55005.259615176095</v>
      </c>
      <c r="I116" s="9">
        <v>1600.0234629983793</v>
      </c>
      <c r="J116" s="20">
        <v>70.97</v>
      </c>
      <c r="K116" s="9">
        <v>71.86</v>
      </c>
      <c r="L116" s="31">
        <f>Table1[[#This Row],[TN550 I (O2)]]/(Table1[[#This Row],[Flowmeter A]]+Table1[[#This Row],[Flowmeter B]])</f>
        <v>2.0903663846011632E-2</v>
      </c>
      <c r="M116" s="33">
        <f>Table1[[#This Row],[TN120 Venting2]]/100</f>
        <v>2.6699999999999998E-2</v>
      </c>
      <c r="N116" s="31">
        <f>Table1[[#This Row],[TN550 I Venting2]]/100</f>
        <v>3.7000000000000002E-3</v>
      </c>
      <c r="O116" s="31">
        <f>(Table1[[#This Row],[TN550 I (O2)]]-Table1[[#This Row],[O2]])/Table1[[#This Row],[TN550 I (O2)]]</f>
        <v>9.3013962429652236E-2</v>
      </c>
      <c r="P116" s="9">
        <f>Table1[[#This Row],[M-N2]]+Table1[[#This Row],[TEN-N2]]</f>
        <v>64451.700162867717</v>
      </c>
      <c r="Q116" s="9">
        <v>1451.198940724486</v>
      </c>
      <c r="R116" s="9">
        <f>SUM(Table1[[#This Row],[TEN-CDA]:[TEN-CDA WWT]])</f>
        <v>99661.393352304192</v>
      </c>
      <c r="S116" s="9">
        <v>428.60371270798544</v>
      </c>
      <c r="T116" s="9">
        <v>257.63332672436809</v>
      </c>
      <c r="U116" s="9">
        <v>40.192060261447757</v>
      </c>
      <c r="V116" s="42">
        <v>2.67</v>
      </c>
      <c r="W116" s="9">
        <v>0.37</v>
      </c>
      <c r="X116" s="9">
        <v>74892.725537820967</v>
      </c>
      <c r="Y116" s="9">
        <v>1650.0027984682674</v>
      </c>
      <c r="Z116" s="1">
        <v>62207.293128686673</v>
      </c>
      <c r="AA116" s="1">
        <v>2244.4070341810429</v>
      </c>
      <c r="AB116" s="1">
        <v>34565.552010593769</v>
      </c>
      <c r="AC116" s="1">
        <v>55242.524142305694</v>
      </c>
      <c r="AD116" s="1">
        <v>7055.8740993396514</v>
      </c>
      <c r="AE116" s="1">
        <v>2781.4378920481654</v>
      </c>
      <c r="AF116" s="1">
        <v>16.005208016905126</v>
      </c>
      <c r="AG116" s="1"/>
      <c r="AH116" s="1"/>
      <c r="AI116" s="1"/>
      <c r="AJ116" s="1"/>
      <c r="AK116" s="1"/>
      <c r="AL116" s="1"/>
      <c r="AM116" s="1"/>
      <c r="AN116" s="1"/>
      <c r="AO116" s="1"/>
      <c r="AP116" s="1"/>
      <c r="AQ116" s="1"/>
    </row>
    <row r="117" spans="1:43" x14ac:dyDescent="0.3">
      <c r="A117" s="9">
        <f t="shared" si="18"/>
        <v>2020</v>
      </c>
      <c r="B117" s="9">
        <f t="shared" si="19"/>
        <v>4</v>
      </c>
      <c r="C117" s="10">
        <v>43942</v>
      </c>
      <c r="D117" s="9">
        <v>0.20399999999999999</v>
      </c>
      <c r="E117" s="9">
        <v>0.14099999999999999</v>
      </c>
      <c r="F117" s="9">
        <v>12.946653262184032</v>
      </c>
      <c r="G117" s="9">
        <v>10550.00200191924</v>
      </c>
      <c r="H117" s="9">
        <v>54889.768067422803</v>
      </c>
      <c r="I117" s="9">
        <v>1600.1263797926788</v>
      </c>
      <c r="J117" s="20">
        <v>70.86</v>
      </c>
      <c r="K117" s="9">
        <v>71.790000000000006</v>
      </c>
      <c r="L117" s="31">
        <f>Table1[[#This Row],[TN550 I (O2)]]/(Table1[[#This Row],[Flowmeter A]]+Table1[[#This Row],[Flowmeter B]])</f>
        <v>2.0929229503784386E-2</v>
      </c>
      <c r="M117" s="33">
        <f>Table1[[#This Row],[TN120 Venting2]]/100</f>
        <v>8.8999999999999999E-3</v>
      </c>
      <c r="N117" s="31">
        <f>Table1[[#This Row],[TN550 I Venting2]]/100</f>
        <v>8.0000000000000004E-4</v>
      </c>
      <c r="O117" s="31">
        <f>(Table1[[#This Row],[TN550 I (O2)]]-Table1[[#This Row],[O2]])/Table1[[#This Row],[TN550 I (O2)]]</f>
        <v>9.7261360189638046E-2</v>
      </c>
      <c r="P117" s="9">
        <f>Table1[[#This Row],[M-N2]]+Table1[[#This Row],[TEN-N2]]</f>
        <v>64777.844858035867</v>
      </c>
      <c r="Q117" s="9">
        <v>1444.4959116187215</v>
      </c>
      <c r="R117" s="9">
        <f>SUM(Table1[[#This Row],[TEN-CDA]:[TEN-CDA WWT]])</f>
        <v>99331.040735075832</v>
      </c>
      <c r="S117" s="9">
        <v>428.62965444952641</v>
      </c>
      <c r="T117" s="9">
        <v>256.89897814399251</v>
      </c>
      <c r="U117" s="9">
        <v>39.245149341082922</v>
      </c>
      <c r="V117" s="42">
        <v>0.89</v>
      </c>
      <c r="W117" s="9">
        <v>0.08</v>
      </c>
      <c r="X117" s="9">
        <v>74804.37828547883</v>
      </c>
      <c r="Y117" s="9">
        <v>1649.7682708168427</v>
      </c>
      <c r="Z117" s="1">
        <v>62494.099637838306</v>
      </c>
      <c r="AA117" s="1">
        <v>2283.7452201975625</v>
      </c>
      <c r="AB117" s="1">
        <v>34432.20897759802</v>
      </c>
      <c r="AC117" s="1">
        <v>55199.319138727449</v>
      </c>
      <c r="AD117" s="1">
        <v>6917.3970414425748</v>
      </c>
      <c r="AE117" s="1">
        <v>2765.8889351605872</v>
      </c>
      <c r="AF117" s="1">
        <v>16.226642147202941</v>
      </c>
      <c r="AG117" s="1"/>
      <c r="AH117" s="1"/>
      <c r="AI117" s="1"/>
      <c r="AJ117" s="1"/>
      <c r="AK117" s="1"/>
      <c r="AL117" s="1"/>
      <c r="AM117" s="1"/>
      <c r="AN117" s="1"/>
      <c r="AO117" s="1"/>
      <c r="AP117" s="1"/>
      <c r="AQ117" s="1"/>
    </row>
    <row r="118" spans="1:43" x14ac:dyDescent="0.3">
      <c r="A118" s="9">
        <f t="shared" si="18"/>
        <v>2020</v>
      </c>
      <c r="B118" s="9">
        <f t="shared" si="19"/>
        <v>4</v>
      </c>
      <c r="C118" s="10">
        <v>43943</v>
      </c>
      <c r="D118" s="9">
        <v>0.20899999999999999</v>
      </c>
      <c r="E118" s="9">
        <v>0.14499999999999999</v>
      </c>
      <c r="F118" s="9">
        <v>12.818175456161551</v>
      </c>
      <c r="G118" s="9">
        <v>10635.517508951823</v>
      </c>
      <c r="H118" s="9">
        <v>54798.956635474497</v>
      </c>
      <c r="I118" s="9">
        <v>1600.0415446528291</v>
      </c>
      <c r="J118" s="20">
        <v>70.92</v>
      </c>
      <c r="K118" s="9">
        <v>71.77</v>
      </c>
      <c r="L118" s="31">
        <f>Table1[[#This Row],[TN550 I (O2)]]/(Table1[[#This Row],[Flowmeter A]]+Table1[[#This Row],[Flowmeter B]])</f>
        <v>2.0954803285921017E-2</v>
      </c>
      <c r="M118" s="33">
        <f>Table1[[#This Row],[TN120 Venting2]]/100</f>
        <v>6.0999999999999995E-3</v>
      </c>
      <c r="N118" s="31">
        <f>Table1[[#This Row],[TN550 I Venting2]]/100</f>
        <v>2.0000000000000001E-4</v>
      </c>
      <c r="O118" s="31">
        <f>(Table1[[#This Row],[TN550 I (O2)]]-Table1[[#This Row],[O2]])/Table1[[#This Row],[TN550 I (O2)]]</f>
        <v>9.5067081443837076E-2</v>
      </c>
      <c r="P118" s="9">
        <f>Table1[[#This Row],[M-N2]]+Table1[[#This Row],[TEN-N2]]</f>
        <v>64748.926581102802</v>
      </c>
      <c r="Q118" s="9">
        <v>1447.9302648137957</v>
      </c>
      <c r="R118" s="9">
        <f>SUM(Table1[[#This Row],[TEN-CDA]:[TEN-CDA WWT]])</f>
        <v>99599.41351450175</v>
      </c>
      <c r="S118" s="9">
        <v>418.60436658045222</v>
      </c>
      <c r="T118" s="9">
        <v>254.34371763993104</v>
      </c>
      <c r="U118" s="9">
        <v>39.051826085256749</v>
      </c>
      <c r="V118" s="42">
        <v>0.61</v>
      </c>
      <c r="W118" s="9">
        <v>0.02</v>
      </c>
      <c r="X118" s="9">
        <v>74706.634563671061</v>
      </c>
      <c r="Y118" s="9">
        <v>1650.1568994038971</v>
      </c>
      <c r="Z118" s="1">
        <v>62464.982434073558</v>
      </c>
      <c r="AA118" s="1">
        <v>2283.944147029244</v>
      </c>
      <c r="AB118" s="1">
        <v>34574.03412479398</v>
      </c>
      <c r="AC118" s="1">
        <v>55273.509173317143</v>
      </c>
      <c r="AD118" s="1">
        <v>6942.4594635073299</v>
      </c>
      <c r="AE118" s="1">
        <v>2792.1278315907466</v>
      </c>
      <c r="AF118" s="1">
        <v>17.28292129255216</v>
      </c>
      <c r="AG118" s="1"/>
      <c r="AH118" s="1"/>
      <c r="AI118" s="1"/>
      <c r="AJ118" s="1"/>
      <c r="AK118" s="1"/>
      <c r="AL118" s="1"/>
      <c r="AM118" s="1"/>
      <c r="AN118" s="1"/>
      <c r="AO118" s="1"/>
      <c r="AP118" s="1"/>
      <c r="AQ118" s="1"/>
    </row>
    <row r="119" spans="1:43" x14ac:dyDescent="0.3">
      <c r="A119" s="9">
        <f t="shared" si="18"/>
        <v>2020</v>
      </c>
      <c r="B119" s="9">
        <f t="shared" si="19"/>
        <v>4</v>
      </c>
      <c r="C119" s="10">
        <v>43944</v>
      </c>
      <c r="D119" s="9">
        <v>0.21</v>
      </c>
      <c r="E119" s="9">
        <v>0.14499999999999999</v>
      </c>
      <c r="F119" s="9">
        <v>13.283348218506198</v>
      </c>
      <c r="G119" s="9">
        <v>10521.836214000694</v>
      </c>
      <c r="H119" s="9">
        <v>54797.1535934247</v>
      </c>
      <c r="I119" s="9">
        <v>1600.0142145414968</v>
      </c>
      <c r="J119" s="20">
        <v>70.94</v>
      </c>
      <c r="K119" s="9">
        <v>71.78</v>
      </c>
      <c r="L119" s="31">
        <f>Table1[[#This Row],[TN550 I (O2)]]/(Table1[[#This Row],[Flowmeter A]]+Table1[[#This Row],[Flowmeter B]])</f>
        <v>2.0959382780915348E-2</v>
      </c>
      <c r="M119" s="33">
        <f>Table1[[#This Row],[TN120 Venting2]]/100</f>
        <v>1.2E-2</v>
      </c>
      <c r="N119" s="31">
        <f>Table1[[#This Row],[TN550 I Venting2]]/100</f>
        <v>7.0999999999999995E-3</v>
      </c>
      <c r="O119" s="31">
        <f>(Table1[[#This Row],[TN550 I (O2)]]-Table1[[#This Row],[O2]])/Table1[[#This Row],[TN550 I (O2)]]</f>
        <v>9.5132432892249513E-2</v>
      </c>
      <c r="P119" s="9">
        <f>Table1[[#This Row],[M-N2]]+Table1[[#This Row],[TEN-N2]]</f>
        <v>64666.855009948602</v>
      </c>
      <c r="Q119" s="9">
        <v>1447.8009696499826</v>
      </c>
      <c r="R119" s="9">
        <f>SUM(Table1[[#This Row],[TEN-CDA]:[TEN-CDA WWT]])</f>
        <v>99399.987204402074</v>
      </c>
      <c r="S119" s="9">
        <v>429.49681914076046</v>
      </c>
      <c r="T119" s="9">
        <v>262.58690544303136</v>
      </c>
      <c r="U119" s="9">
        <v>39.18425062313252</v>
      </c>
      <c r="V119" s="42">
        <v>1.2</v>
      </c>
      <c r="W119" s="9">
        <v>0.71</v>
      </c>
      <c r="X119" s="9">
        <v>74688.92640202117</v>
      </c>
      <c r="Y119" s="9">
        <v>1649.8776203184636</v>
      </c>
      <c r="Z119" s="1">
        <v>62374.932674791809</v>
      </c>
      <c r="AA119" s="1">
        <v>2291.9223351567921</v>
      </c>
      <c r="AB119" s="1">
        <v>34367.983277129599</v>
      </c>
      <c r="AC119" s="1">
        <v>55248.237671322</v>
      </c>
      <c r="AD119" s="1">
        <v>6929.6422921365374</v>
      </c>
      <c r="AE119" s="1">
        <v>2835.5976653989201</v>
      </c>
      <c r="AF119" s="1">
        <v>18.526298415021795</v>
      </c>
      <c r="AG119" s="1"/>
      <c r="AH119" s="1"/>
      <c r="AI119" s="1"/>
      <c r="AJ119" s="1"/>
      <c r="AK119" s="1"/>
      <c r="AL119" s="1"/>
      <c r="AM119" s="1"/>
      <c r="AN119" s="1"/>
      <c r="AO119" s="1"/>
      <c r="AP119" s="1"/>
      <c r="AQ119" s="1"/>
    </row>
    <row r="120" spans="1:43" x14ac:dyDescent="0.3">
      <c r="A120" s="9">
        <f t="shared" si="18"/>
        <v>2020</v>
      </c>
      <c r="B120" s="9">
        <f t="shared" si="19"/>
        <v>4</v>
      </c>
      <c r="C120" s="10">
        <v>43945</v>
      </c>
      <c r="D120" s="9">
        <v>0.20599999999999999</v>
      </c>
      <c r="E120" s="9">
        <v>0.14499999999999999</v>
      </c>
      <c r="F120" s="9">
        <v>12.734726175841647</v>
      </c>
      <c r="G120" s="9">
        <v>10731.667000997571</v>
      </c>
      <c r="H120" s="9">
        <v>54803.775082950211</v>
      </c>
      <c r="I120" s="9">
        <v>1600.0139647251528</v>
      </c>
      <c r="J120" s="20">
        <v>70.959999999999994</v>
      </c>
      <c r="K120" s="9">
        <v>71.78</v>
      </c>
      <c r="L120" s="31">
        <f>Table1[[#This Row],[TN550 I (O2)]]/(Table1[[#This Row],[Flowmeter A]]+Table1[[#This Row],[Flowmeter B]])</f>
        <v>2.0956247880244482E-2</v>
      </c>
      <c r="M120" s="33">
        <f>Table1[[#This Row],[TN120 Venting2]]/100</f>
        <v>3.4999999999999996E-3</v>
      </c>
      <c r="N120" s="31">
        <f>Table1[[#This Row],[TN550 I Venting2]]/100</f>
        <v>1.7000000000000001E-3</v>
      </c>
      <c r="O120" s="31">
        <f>(Table1[[#This Row],[TN550 I (O2)]]-Table1[[#This Row],[O2]])/Table1[[#This Row],[TN550 I (O2)]]</f>
        <v>9.8194989113962489E-2</v>
      </c>
      <c r="P120" s="9">
        <f>Table1[[#This Row],[M-N2]]+Table1[[#This Row],[TEN-N2]]</f>
        <v>64781.298337387096</v>
      </c>
      <c r="Q120" s="9">
        <v>1442.9006108767785</v>
      </c>
      <c r="R120" s="9">
        <f>SUM(Table1[[#This Row],[TEN-CDA]:[TEN-CDA WWT]])</f>
        <v>99855.589793296604</v>
      </c>
      <c r="S120" s="9">
        <v>433.9705965146681</v>
      </c>
      <c r="T120" s="9">
        <v>264.70372744155873</v>
      </c>
      <c r="U120" s="9">
        <v>39.268215315777091</v>
      </c>
      <c r="V120" s="42">
        <v>0.35</v>
      </c>
      <c r="W120" s="9">
        <v>0.17</v>
      </c>
      <c r="X120" s="9">
        <v>74700.235291247402</v>
      </c>
      <c r="Y120" s="9">
        <v>1649.9765342908299</v>
      </c>
      <c r="Z120" s="1">
        <v>62511.717953027408</v>
      </c>
      <c r="AA120" s="1">
        <v>2269.5803843596841</v>
      </c>
      <c r="AB120" s="1">
        <v>34754.509314278279</v>
      </c>
      <c r="AC120" s="1">
        <v>55268.61978714868</v>
      </c>
      <c r="AD120" s="1">
        <v>6984.8163374636752</v>
      </c>
      <c r="AE120" s="1">
        <v>2829.2245915854332</v>
      </c>
      <c r="AF120" s="1">
        <v>18.419762820550897</v>
      </c>
      <c r="AG120" s="1"/>
      <c r="AH120" s="1"/>
      <c r="AI120" s="1"/>
      <c r="AJ120" s="1"/>
      <c r="AK120" s="1"/>
      <c r="AL120" s="1"/>
      <c r="AM120" s="1"/>
      <c r="AN120" s="1"/>
      <c r="AO120" s="1"/>
      <c r="AP120" s="1"/>
      <c r="AQ120" s="1"/>
    </row>
    <row r="121" spans="1:43" x14ac:dyDescent="0.3">
      <c r="A121" s="9">
        <f t="shared" si="18"/>
        <v>2020</v>
      </c>
      <c r="B121" s="9">
        <f t="shared" si="19"/>
        <v>4</v>
      </c>
      <c r="C121" s="10">
        <v>43946</v>
      </c>
      <c r="D121" s="9">
        <v>0.21</v>
      </c>
      <c r="E121" s="9">
        <v>0.154</v>
      </c>
      <c r="F121" s="9">
        <v>13.439887193736723</v>
      </c>
      <c r="G121" s="9">
        <v>10731.463998660867</v>
      </c>
      <c r="H121" s="9">
        <v>54801.953135843163</v>
      </c>
      <c r="I121" s="9">
        <v>1599.9951036335444</v>
      </c>
      <c r="J121" s="20">
        <v>70.959999999999994</v>
      </c>
      <c r="K121" s="9">
        <v>71.78</v>
      </c>
      <c r="L121" s="31">
        <f>Table1[[#This Row],[TN550 I (O2)]]/(Table1[[#This Row],[Flowmeter A]]+Table1[[#This Row],[Flowmeter B]])</f>
        <v>2.0956540377795929E-2</v>
      </c>
      <c r="M121" s="33">
        <f>Table1[[#This Row],[TN120 Venting2]]/100</f>
        <v>8.8000000000000005E-3</v>
      </c>
      <c r="N121" s="31">
        <f>Table1[[#This Row],[TN550 I Venting2]]/100</f>
        <v>2.8999999999999998E-3</v>
      </c>
      <c r="O121" s="31">
        <f>(Table1[[#This Row],[TN550 I (O2)]]-Table1[[#This Row],[O2]])/Table1[[#This Row],[TN550 I (O2)]]</f>
        <v>9.8457464121060795E-2</v>
      </c>
      <c r="P121" s="9">
        <f>Table1[[#This Row],[M-N2]]+Table1[[#This Row],[TEN-N2]]</f>
        <v>64497.191252327895</v>
      </c>
      <c r="Q121" s="9">
        <v>1442.4636431236718</v>
      </c>
      <c r="R121" s="9">
        <f>SUM(Table1[[#This Row],[TEN-CDA]:[TEN-CDA WWT]])</f>
        <v>100450.36378836822</v>
      </c>
      <c r="S121" s="9">
        <v>431.04153205188589</v>
      </c>
      <c r="T121" s="9">
        <v>255.15215135795387</v>
      </c>
      <c r="U121" s="9">
        <v>40.134440690092873</v>
      </c>
      <c r="V121" s="42">
        <v>0.88</v>
      </c>
      <c r="W121" s="9">
        <v>0.28999999999999998</v>
      </c>
      <c r="X121" s="9">
        <v>74698.426336962177</v>
      </c>
      <c r="Y121" s="9">
        <v>1649.8198329441088</v>
      </c>
      <c r="Z121" s="1">
        <v>62271.491412213742</v>
      </c>
      <c r="AA121" s="1">
        <v>2225.6998401141514</v>
      </c>
      <c r="AB121" s="1">
        <v>35415.43515516568</v>
      </c>
      <c r="AC121" s="1">
        <v>55184.19259357651</v>
      </c>
      <c r="AD121" s="1">
        <v>7063.3411801700204</v>
      </c>
      <c r="AE121" s="1">
        <v>2767.0959679354073</v>
      </c>
      <c r="AF121" s="1">
        <v>20.298891520594285</v>
      </c>
      <c r="AG121" s="1"/>
      <c r="AH121" s="1"/>
      <c r="AI121" s="1"/>
      <c r="AJ121" s="1"/>
      <c r="AK121" s="1"/>
      <c r="AL121" s="1"/>
      <c r="AM121" s="1"/>
      <c r="AN121" s="1"/>
      <c r="AO121" s="1"/>
      <c r="AP121" s="1"/>
      <c r="AQ121" s="1"/>
    </row>
    <row r="122" spans="1:43" x14ac:dyDescent="0.3">
      <c r="A122" s="9">
        <f t="shared" si="18"/>
        <v>2020</v>
      </c>
      <c r="B122" s="9">
        <f t="shared" si="19"/>
        <v>4</v>
      </c>
      <c r="C122" s="10">
        <v>43947</v>
      </c>
      <c r="D122" s="9">
        <v>0.20899999999999999</v>
      </c>
      <c r="E122" s="9">
        <v>0.14799999999999999</v>
      </c>
      <c r="F122" s="9">
        <v>13.993672163100976</v>
      </c>
      <c r="G122" s="9">
        <v>10758.773036302917</v>
      </c>
      <c r="H122" s="9">
        <v>54794.276991347157</v>
      </c>
      <c r="I122" s="9">
        <v>1599.9946562682978</v>
      </c>
      <c r="J122" s="20">
        <v>70.989999999999995</v>
      </c>
      <c r="K122" s="9">
        <v>71.760000000000005</v>
      </c>
      <c r="L122" s="31">
        <f>Table1[[#This Row],[TN550 I (O2)]]/(Table1[[#This Row],[Flowmeter A]]+Table1[[#This Row],[Flowmeter B]])</f>
        <v>2.0954234069559211E-2</v>
      </c>
      <c r="M122" s="33">
        <f>Table1[[#This Row],[TN120 Venting2]]/100</f>
        <v>1.1200000000000002E-2</v>
      </c>
      <c r="N122" s="31">
        <f>Table1[[#This Row],[TN550 I Venting2]]/100</f>
        <v>3.5999999999999999E-3</v>
      </c>
      <c r="O122" s="31">
        <f>(Table1[[#This Row],[TN550 I (O2)]]-Table1[[#This Row],[O2]])/Table1[[#This Row],[TN550 I (O2)]]</f>
        <v>9.9791369570633837E-2</v>
      </c>
      <c r="P122" s="9">
        <f>Table1[[#This Row],[M-N2]]+Table1[[#This Row],[TEN-N2]]</f>
        <v>64418.412893047767</v>
      </c>
      <c r="Q122" s="9">
        <v>1440.3289982135889</v>
      </c>
      <c r="R122" s="9">
        <f>SUM(Table1[[#This Row],[TEN-CDA]:[TEN-CDA WWT]])</f>
        <v>99248.451335676349</v>
      </c>
      <c r="S122" s="9">
        <v>429.55108559983711</v>
      </c>
      <c r="T122" s="9">
        <v>248.77469839907457</v>
      </c>
      <c r="U122" s="9">
        <v>40.371329584856319</v>
      </c>
      <c r="V122" s="42">
        <v>1.1200000000000001</v>
      </c>
      <c r="W122" s="9">
        <v>0.36</v>
      </c>
      <c r="X122" s="9">
        <v>74706.348835444122</v>
      </c>
      <c r="Y122" s="9">
        <v>1650.279183360622</v>
      </c>
      <c r="Z122" s="1">
        <v>62214.588740458013</v>
      </c>
      <c r="AA122" s="1">
        <v>2203.8241525897542</v>
      </c>
      <c r="AB122" s="1">
        <v>34336.064371801265</v>
      </c>
      <c r="AC122" s="1">
        <v>55079.233315080673</v>
      </c>
      <c r="AD122" s="1">
        <v>7048.02994678717</v>
      </c>
      <c r="AE122" s="1">
        <v>2760.5542447939256</v>
      </c>
      <c r="AF122" s="1">
        <v>24.569457213314848</v>
      </c>
      <c r="AG122" s="1"/>
      <c r="AH122" s="1"/>
      <c r="AI122" s="1"/>
      <c r="AJ122" s="1"/>
      <c r="AK122" s="1"/>
      <c r="AL122" s="1"/>
      <c r="AM122" s="1"/>
      <c r="AN122" s="1"/>
      <c r="AO122" s="1"/>
      <c r="AP122" s="1"/>
      <c r="AQ122" s="1"/>
    </row>
    <row r="123" spans="1:43" x14ac:dyDescent="0.3">
      <c r="A123" s="9">
        <f t="shared" si="18"/>
        <v>2020</v>
      </c>
      <c r="B123" s="9">
        <f t="shared" si="19"/>
        <v>4</v>
      </c>
      <c r="C123" s="10">
        <v>43948</v>
      </c>
      <c r="D123" s="9">
        <v>0.21</v>
      </c>
      <c r="E123" s="9">
        <v>0.15</v>
      </c>
      <c r="F123" s="9">
        <v>15.356107606563528</v>
      </c>
      <c r="G123" s="9">
        <v>10670.490273003774</v>
      </c>
      <c r="H123" s="9">
        <v>54800.817035153537</v>
      </c>
      <c r="I123" s="9">
        <v>1599.928763882639</v>
      </c>
      <c r="J123" s="20">
        <v>70.95</v>
      </c>
      <c r="K123" s="9">
        <v>71.760000000000005</v>
      </c>
      <c r="L123" s="31">
        <f>Table1[[#This Row],[TN550 I (O2)]]/(Table1[[#This Row],[Flowmeter A]]+Table1[[#This Row],[Flowmeter B]])</f>
        <v>2.0951353858754358E-2</v>
      </c>
      <c r="M123" s="33">
        <f>Table1[[#This Row],[TN120 Venting2]]/100</f>
        <v>1.6200000000000003E-2</v>
      </c>
      <c r="N123" s="31">
        <f>Table1[[#This Row],[TN550 I Venting2]]/100</f>
        <v>6.0000000000000001E-3</v>
      </c>
      <c r="O123" s="31">
        <f>(Table1[[#This Row],[TN550 I (O2)]]-Table1[[#This Row],[O2]])/Table1[[#This Row],[TN550 I (O2)]]</f>
        <v>0.10241651324534373</v>
      </c>
      <c r="P123" s="9">
        <f>Table1[[#This Row],[M-N2]]+Table1[[#This Row],[TEN-N2]]</f>
        <v>64310.7556548797</v>
      </c>
      <c r="Q123" s="9">
        <v>1436.0696384448463</v>
      </c>
      <c r="R123" s="9">
        <f>SUM(Table1[[#This Row],[TEN-CDA]:[TEN-CDA WWT]])</f>
        <v>99654.293659449337</v>
      </c>
      <c r="S123" s="9">
        <v>431.9336137420845</v>
      </c>
      <c r="T123" s="9">
        <v>243.9340753601625</v>
      </c>
      <c r="U123" s="9">
        <v>40.490857494282771</v>
      </c>
      <c r="V123" s="42">
        <v>1.62</v>
      </c>
      <c r="W123" s="9">
        <v>0.6</v>
      </c>
      <c r="X123" s="9">
        <v>74714.061675919496</v>
      </c>
      <c r="Y123" s="9">
        <v>1649.9181732453048</v>
      </c>
      <c r="Z123" s="1">
        <v>62091.129537864334</v>
      </c>
      <c r="AA123" s="1">
        <v>2219.6261170153648</v>
      </c>
      <c r="AB123" s="1">
        <v>34750.885301006245</v>
      </c>
      <c r="AC123" s="1">
        <v>55082.954393650245</v>
      </c>
      <c r="AD123" s="1">
        <v>7046.0892876989719</v>
      </c>
      <c r="AE123" s="1">
        <v>2747.7743564581888</v>
      </c>
      <c r="AF123" s="1">
        <v>26.590320635687799</v>
      </c>
      <c r="AG123" s="1"/>
      <c r="AH123" s="1"/>
      <c r="AI123" s="1"/>
      <c r="AJ123" s="1"/>
      <c r="AK123" s="1"/>
      <c r="AL123" s="1"/>
      <c r="AM123" s="1"/>
      <c r="AN123" s="1"/>
      <c r="AO123" s="1"/>
      <c r="AP123" s="1"/>
      <c r="AQ123" s="1"/>
    </row>
    <row r="124" spans="1:43" x14ac:dyDescent="0.3">
      <c r="A124" s="9">
        <f t="shared" si="18"/>
        <v>2020</v>
      </c>
      <c r="B124" s="9">
        <f t="shared" si="19"/>
        <v>4</v>
      </c>
      <c r="C124" s="10">
        <v>43949</v>
      </c>
      <c r="D124" s="9">
        <v>0.21199999999999999</v>
      </c>
      <c r="E124" s="9">
        <v>0.14799999999999999</v>
      </c>
      <c r="F124" s="9">
        <v>17.30097740379826</v>
      </c>
      <c r="G124" s="9">
        <v>10576.637256842037</v>
      </c>
      <c r="H124" s="9">
        <v>54803.821947107041</v>
      </c>
      <c r="I124" s="9">
        <v>1600.0090905532995</v>
      </c>
      <c r="J124" s="20">
        <v>70.98</v>
      </c>
      <c r="K124" s="9">
        <v>71.78</v>
      </c>
      <c r="L124" s="31">
        <f>Table1[[#This Row],[TN550 I (O2)]]/(Table1[[#This Row],[Flowmeter A]]+Table1[[#This Row],[Flowmeter B]])</f>
        <v>2.0957037063402659E-2</v>
      </c>
      <c r="M124" s="33">
        <f>Table1[[#This Row],[TN120 Venting2]]/100</f>
        <v>2.2700000000000001E-2</v>
      </c>
      <c r="N124" s="31">
        <f>Table1[[#This Row],[TN550 I Venting2]]/100</f>
        <v>9.3999999999999986E-3</v>
      </c>
      <c r="O124" s="31">
        <f>(Table1[[#This Row],[TN550 I (O2)]]-Table1[[#This Row],[O2]])/Table1[[#This Row],[TN550 I (O2)]]</f>
        <v>0.1009185379807022</v>
      </c>
      <c r="P124" s="9">
        <f>Table1[[#This Row],[M-N2]]+Table1[[#This Row],[TEN-N2]]</f>
        <v>64108.628947335434</v>
      </c>
      <c r="Q124" s="9">
        <v>1438.5385123788276</v>
      </c>
      <c r="R124" s="9">
        <f>SUM(Table1[[#This Row],[TEN-CDA]:[TEN-CDA WWT]])</f>
        <v>99207.959564780205</v>
      </c>
      <c r="S124" s="9">
        <v>432.91413499248432</v>
      </c>
      <c r="T124" s="9">
        <v>247.70743783690051</v>
      </c>
      <c r="U124" s="9">
        <v>38.440414543866616</v>
      </c>
      <c r="V124" s="42">
        <v>2.27</v>
      </c>
      <c r="W124" s="9">
        <v>0.94</v>
      </c>
      <c r="X124" s="9">
        <v>74697.147033310204</v>
      </c>
      <c r="Y124" s="9">
        <v>1649.9570784347079</v>
      </c>
      <c r="Z124" s="1">
        <v>61898.965982282272</v>
      </c>
      <c r="AA124" s="1">
        <v>2209.6629650531586</v>
      </c>
      <c r="AB124" s="1">
        <v>34284.706316956537</v>
      </c>
      <c r="AC124" s="1">
        <v>55024.940058986816</v>
      </c>
      <c r="AD124" s="1">
        <v>7127.6677915320306</v>
      </c>
      <c r="AE124" s="1">
        <v>2742.6486970582496</v>
      </c>
      <c r="AF124" s="1">
        <v>27.996700246566952</v>
      </c>
      <c r="AG124" s="1"/>
      <c r="AH124" s="1"/>
      <c r="AI124" s="1"/>
      <c r="AJ124" s="1"/>
      <c r="AK124" s="1"/>
      <c r="AL124" s="1"/>
      <c r="AM124" s="1"/>
      <c r="AN124" s="1"/>
      <c r="AO124" s="1"/>
      <c r="AP124" s="1"/>
      <c r="AQ124" s="1"/>
    </row>
    <row r="125" spans="1:43" x14ac:dyDescent="0.3">
      <c r="A125" s="9">
        <f t="shared" si="18"/>
        <v>2020</v>
      </c>
      <c r="B125" s="9">
        <f t="shared" si="19"/>
        <v>4</v>
      </c>
      <c r="C125" s="10">
        <v>43950</v>
      </c>
      <c r="D125" s="9">
        <v>0.214</v>
      </c>
      <c r="E125" s="9">
        <v>0.154</v>
      </c>
      <c r="F125" s="9">
        <v>18.838017713188048</v>
      </c>
      <c r="G125" s="9">
        <v>10811.445971899941</v>
      </c>
      <c r="H125" s="9">
        <v>54792.852907052395</v>
      </c>
      <c r="I125" s="9">
        <v>1600.0817041761093</v>
      </c>
      <c r="J125" s="20">
        <v>70.98</v>
      </c>
      <c r="K125" s="9">
        <v>71.75</v>
      </c>
      <c r="L125" s="31">
        <f>Table1[[#This Row],[TN550 I (O2)]]/(Table1[[#This Row],[Flowmeter A]]+Table1[[#This Row],[Flowmeter B]])</f>
        <v>2.0953807133086193E-2</v>
      </c>
      <c r="M125" s="33">
        <f>Table1[[#This Row],[TN120 Venting2]]/100</f>
        <v>1.0800000000000001E-2</v>
      </c>
      <c r="N125" s="31">
        <f>Table1[[#This Row],[TN550 I Venting2]]/100</f>
        <v>3.3E-3</v>
      </c>
      <c r="O125" s="31">
        <f>(Table1[[#This Row],[TN550 I (O2)]]-Table1[[#This Row],[O2]])/Table1[[#This Row],[TN550 I (O2)]]</f>
        <v>0.10393759368781737</v>
      </c>
      <c r="P125" s="9">
        <f>Table1[[#This Row],[M-N2]]+Table1[[#This Row],[TEN-N2]]</f>
        <v>64213.94399674976</v>
      </c>
      <c r="Q125" s="9">
        <v>1433.7730621401424</v>
      </c>
      <c r="R125" s="9">
        <f>SUM(Table1[[#This Row],[TEN-CDA]:[TEN-CDA WWT]])</f>
        <v>99264.575601334451</v>
      </c>
      <c r="S125" s="9">
        <v>433.50518794592512</v>
      </c>
      <c r="T125" s="9">
        <v>248.39730627415992</v>
      </c>
      <c r="U125" s="9">
        <v>38.109290027022773</v>
      </c>
      <c r="V125" s="42">
        <v>1.08</v>
      </c>
      <c r="W125" s="9">
        <v>0.33</v>
      </c>
      <c r="X125" s="9">
        <v>74712.330862899034</v>
      </c>
      <c r="Y125" s="9">
        <v>1650.0072083324296</v>
      </c>
      <c r="Z125" s="1">
        <v>62021.240436328939</v>
      </c>
      <c r="AA125" s="1">
        <v>2192.7035604208231</v>
      </c>
      <c r="AB125" s="1">
        <v>34438.687807674789</v>
      </c>
      <c r="AC125" s="1">
        <v>54937.847935461483</v>
      </c>
      <c r="AD125" s="1">
        <v>7110.9979492865195</v>
      </c>
      <c r="AE125" s="1">
        <v>2750.3182756793244</v>
      </c>
      <c r="AF125" s="1">
        <v>26.723633232328066</v>
      </c>
      <c r="AG125" s="1"/>
      <c r="AH125" s="1"/>
      <c r="AI125" s="1"/>
      <c r="AJ125" s="1"/>
      <c r="AK125" s="1"/>
      <c r="AL125" s="1"/>
      <c r="AM125" s="1"/>
      <c r="AN125" s="1"/>
      <c r="AO125" s="1"/>
      <c r="AP125" s="1"/>
      <c r="AQ125" s="1"/>
    </row>
    <row r="126" spans="1:43" x14ac:dyDescent="0.3">
      <c r="A126" s="9">
        <f t="shared" si="18"/>
        <v>2020</v>
      </c>
      <c r="B126" s="9">
        <f t="shared" si="19"/>
        <v>4</v>
      </c>
      <c r="C126" s="10">
        <v>43951</v>
      </c>
      <c r="D126" s="9">
        <v>0.21099999999999999</v>
      </c>
      <c r="E126" s="9">
        <v>0.14699999999999999</v>
      </c>
      <c r="F126" s="9">
        <v>18.995516974921031</v>
      </c>
      <c r="G126" s="9">
        <v>10693.601067780621</v>
      </c>
      <c r="H126" s="9">
        <v>54807.869919977449</v>
      </c>
      <c r="I126" s="9">
        <v>1600.2485375281922</v>
      </c>
      <c r="J126" s="20">
        <v>70.989999999999995</v>
      </c>
      <c r="K126" s="9">
        <v>71.78</v>
      </c>
      <c r="L126" s="31">
        <f>Table1[[#This Row],[TN550 I (O2)]]/(Table1[[#This Row],[Flowmeter A]]+Table1[[#This Row],[Flowmeter B]])</f>
        <v>2.0956695118045255E-2</v>
      </c>
      <c r="M126" s="33">
        <f>Table1[[#This Row],[TN120 Venting2]]/100</f>
        <v>1.3100000000000001E-2</v>
      </c>
      <c r="N126" s="31">
        <f>Table1[[#This Row],[TN550 I Venting2]]/100</f>
        <v>3.8E-3</v>
      </c>
      <c r="O126" s="31">
        <f>(Table1[[#This Row],[TN550 I (O2)]]-Table1[[#This Row],[O2]])/Table1[[#This Row],[TN550 I (O2)]]</f>
        <v>0.10028428720470957</v>
      </c>
      <c r="P126" s="9">
        <f>Table1[[#This Row],[M-N2]]+Table1[[#This Row],[TEN-N2]]</f>
        <v>64149.030177966823</v>
      </c>
      <c r="Q126" s="9">
        <v>1439.7687535917985</v>
      </c>
      <c r="R126" s="9">
        <f>SUM(Table1[[#This Row],[TEN-CDA]:[TEN-CDA WWT]])</f>
        <v>99595.357299986965</v>
      </c>
      <c r="S126" s="9">
        <v>429.73840018596024</v>
      </c>
      <c r="T126" s="9">
        <v>245.96199650867047</v>
      </c>
      <c r="U126" s="9">
        <v>39.2986170525852</v>
      </c>
      <c r="V126" s="42">
        <v>1.31</v>
      </c>
      <c r="W126" s="9">
        <v>0.38</v>
      </c>
      <c r="X126" s="9">
        <v>74709.851356479878</v>
      </c>
      <c r="Y126" s="9">
        <v>1649.9242910772955</v>
      </c>
      <c r="Z126" s="1">
        <v>61942.157697562456</v>
      </c>
      <c r="AA126" s="1">
        <v>2206.8724804043686</v>
      </c>
      <c r="AB126" s="1">
        <v>34821.762058954286</v>
      </c>
      <c r="AC126" s="1">
        <v>54925.727722718599</v>
      </c>
      <c r="AD126" s="1">
        <v>7091.1495689164421</v>
      </c>
      <c r="AE126" s="1">
        <v>2731.4754432821173</v>
      </c>
      <c r="AF126" s="1">
        <v>25.242506115503922</v>
      </c>
      <c r="AG126" s="1"/>
      <c r="AH126" s="1"/>
      <c r="AI126" s="1"/>
      <c r="AJ126" s="1"/>
      <c r="AK126" s="1"/>
      <c r="AL126" s="1"/>
      <c r="AM126" s="1"/>
      <c r="AN126" s="1"/>
      <c r="AO126" s="1"/>
      <c r="AP126" s="1"/>
      <c r="AQ126" s="1"/>
    </row>
    <row r="127" spans="1:43" x14ac:dyDescent="0.3">
      <c r="A127" s="9">
        <f t="shared" si="18"/>
        <v>2020</v>
      </c>
      <c r="B127" s="9">
        <f t="shared" si="19"/>
        <v>5</v>
      </c>
      <c r="C127" s="10">
        <v>43952</v>
      </c>
      <c r="D127" s="9">
        <v>0.215</v>
      </c>
      <c r="E127" s="9">
        <v>0.157</v>
      </c>
      <c r="F127" s="9">
        <v>18.018691328976569</v>
      </c>
      <c r="G127" s="9">
        <v>11069.28998687977</v>
      </c>
      <c r="H127" s="9">
        <v>54802.273985079803</v>
      </c>
      <c r="I127" s="9">
        <v>1599.9202928298221</v>
      </c>
      <c r="J127" s="20">
        <v>71.040000000000006</v>
      </c>
      <c r="K127" s="9">
        <v>71.77</v>
      </c>
      <c r="L127" s="31">
        <f>Table1[[#This Row],[TN550 I (O2)]]/(Table1[[#This Row],[Flowmeter A]]+Table1[[#This Row],[Flowmeter B]])</f>
        <v>2.0952554175212267E-2</v>
      </c>
      <c r="M127" s="33">
        <f>Table1[[#This Row],[TN120 Venting2]]/100</f>
        <v>4.7999999999999996E-3</v>
      </c>
      <c r="N127" s="31">
        <f>Table1[[#This Row],[TN550 I Venting2]]/100</f>
        <v>5.9999999999999995E-4</v>
      </c>
      <c r="O127" s="31">
        <f>(Table1[[#This Row],[TN550 I (O2)]]-Table1[[#This Row],[O2]])/Table1[[#This Row],[TN550 I (O2)]]</f>
        <v>0.1022419913079614</v>
      </c>
      <c r="P127" s="9">
        <f>Table1[[#This Row],[M-N2]]+Table1[[#This Row],[TEN-N2]]</f>
        <v>64448.259618141019</v>
      </c>
      <c r="Q127" s="9">
        <v>1436.3412561568844</v>
      </c>
      <c r="R127" s="9">
        <f>SUM(Table1[[#This Row],[TEN-CDA]:[TEN-CDA WWT]])</f>
        <v>99461.189439199195</v>
      </c>
      <c r="S127" s="9">
        <v>429.5016348188243</v>
      </c>
      <c r="T127" s="9">
        <v>243.5442036953674</v>
      </c>
      <c r="U127" s="9">
        <v>39.635685008073501</v>
      </c>
      <c r="V127" s="42">
        <v>0.48</v>
      </c>
      <c r="W127" s="9">
        <v>0.06</v>
      </c>
      <c r="X127" s="9">
        <v>74709.140473195701</v>
      </c>
      <c r="Y127" s="9">
        <v>1650.0603884631439</v>
      </c>
      <c r="Z127" s="1">
        <v>62241.096222241496</v>
      </c>
      <c r="AA127" s="1">
        <v>2207.1633958995217</v>
      </c>
      <c r="AB127" s="1">
        <v>34550.464799021946</v>
      </c>
      <c r="AC127" s="1">
        <v>55017.818970658394</v>
      </c>
      <c r="AD127" s="1">
        <v>7137.82995918904</v>
      </c>
      <c r="AE127" s="1">
        <v>2724.4775717614179</v>
      </c>
      <c r="AF127" s="1">
        <v>30.598138568396788</v>
      </c>
      <c r="AG127" s="1"/>
      <c r="AH127" s="1"/>
      <c r="AI127" s="1"/>
      <c r="AJ127" s="1"/>
      <c r="AK127" s="1"/>
      <c r="AL127" s="1"/>
      <c r="AM127" s="1"/>
      <c r="AN127" s="1"/>
      <c r="AO127" s="1"/>
      <c r="AP127" s="1"/>
      <c r="AQ127" s="1"/>
    </row>
    <row r="128" spans="1:43" x14ac:dyDescent="0.3">
      <c r="A128" s="9">
        <f t="shared" si="18"/>
        <v>2020</v>
      </c>
      <c r="B128" s="9">
        <f t="shared" si="19"/>
        <v>5</v>
      </c>
      <c r="C128" s="10">
        <v>43953</v>
      </c>
      <c r="D128" s="9">
        <v>0.20899999999999999</v>
      </c>
      <c r="E128" s="9">
        <v>0.152</v>
      </c>
      <c r="F128" s="9">
        <v>18.328428899803399</v>
      </c>
      <c r="G128" s="9">
        <v>10992.516093289163</v>
      </c>
      <c r="H128" s="9">
        <v>54804.580025264571</v>
      </c>
      <c r="I128" s="9">
        <v>1599.9037758948321</v>
      </c>
      <c r="J128" s="20">
        <v>71.040000000000006</v>
      </c>
      <c r="K128" s="9">
        <v>71.790000000000006</v>
      </c>
      <c r="L128" s="31">
        <f>Table1[[#This Row],[TN550 I (O2)]]/(Table1[[#This Row],[Flowmeter A]]+Table1[[#This Row],[Flowmeter B]])</f>
        <v>2.0958612030781518E-2</v>
      </c>
      <c r="M128" s="33">
        <f>Table1[[#This Row],[TN120 Venting2]]/100</f>
        <v>1.3999999999999999E-2</v>
      </c>
      <c r="N128" s="31">
        <f>Table1[[#This Row],[TN550 I Venting2]]/100</f>
        <v>1.8E-3</v>
      </c>
      <c r="O128" s="31">
        <f>(Table1[[#This Row],[TN550 I (O2)]]-Table1[[#This Row],[O2]])/Table1[[#This Row],[TN550 I (O2)]]</f>
        <v>0.10109201799596221</v>
      </c>
      <c r="P128" s="9">
        <f>Table1[[#This Row],[M-N2]]+Table1[[#This Row],[TEN-N2]]</f>
        <v>64303.138500671594</v>
      </c>
      <c r="Q128" s="9">
        <v>1438.1662745902638</v>
      </c>
      <c r="R128" s="9">
        <f>SUM(Table1[[#This Row],[TEN-CDA]:[TEN-CDA WWT]])</f>
        <v>99270.235438369171</v>
      </c>
      <c r="S128" s="9">
        <v>429.69086538363791</v>
      </c>
      <c r="T128" s="9">
        <v>245.51005264059856</v>
      </c>
      <c r="U128" s="9">
        <v>40.705936847504105</v>
      </c>
      <c r="V128" s="42">
        <v>1.4</v>
      </c>
      <c r="W128" s="9">
        <v>0.18</v>
      </c>
      <c r="X128" s="9">
        <v>74686.170985860517</v>
      </c>
      <c r="Y128" s="9">
        <v>1650.1710173734602</v>
      </c>
      <c r="Z128" s="1">
        <v>62085.766180712177</v>
      </c>
      <c r="AA128" s="1">
        <v>2217.3723199594197</v>
      </c>
      <c r="AB128" s="1">
        <v>34220.04217313281</v>
      </c>
      <c r="AC128" s="1">
        <v>55094.29267056298</v>
      </c>
      <c r="AD128" s="1">
        <v>7208.3812005958316</v>
      </c>
      <c r="AE128" s="1">
        <v>2718.9941185998223</v>
      </c>
      <c r="AF128" s="1">
        <v>28.525275477734933</v>
      </c>
      <c r="AG128" s="1"/>
      <c r="AH128" s="1"/>
      <c r="AI128" s="1"/>
      <c r="AJ128" s="1"/>
      <c r="AK128" s="1"/>
      <c r="AL128" s="1"/>
      <c r="AM128" s="1"/>
      <c r="AN128" s="1"/>
      <c r="AO128" s="1"/>
      <c r="AP128" s="1"/>
      <c r="AQ128" s="1"/>
    </row>
    <row r="129" spans="1:43" x14ac:dyDescent="0.3">
      <c r="A129" s="9">
        <f t="shared" si="18"/>
        <v>2020</v>
      </c>
      <c r="B129" s="9">
        <f t="shared" si="19"/>
        <v>5</v>
      </c>
      <c r="C129" s="10">
        <v>43954</v>
      </c>
      <c r="D129" s="9">
        <v>0.21299999999999999</v>
      </c>
      <c r="E129" s="9">
        <v>0.15</v>
      </c>
      <c r="F129" s="9">
        <v>19.186723600568911</v>
      </c>
      <c r="G129" s="9">
        <v>10948.282882573953</v>
      </c>
      <c r="H129" s="9">
        <v>54792.934360903892</v>
      </c>
      <c r="I129" s="9">
        <v>1600.0120806406142</v>
      </c>
      <c r="J129" s="20">
        <v>71.03</v>
      </c>
      <c r="K129" s="9">
        <v>71.77</v>
      </c>
      <c r="L129" s="31">
        <f>Table1[[#This Row],[TN550 I (O2)]]/(Table1[[#This Row],[Flowmeter A]]+Table1[[#This Row],[Flowmeter B]])</f>
        <v>2.0957874838761222E-2</v>
      </c>
      <c r="M129" s="33">
        <f>Table1[[#This Row],[TN120 Venting2]]/100</f>
        <v>1.6399999999999998E-2</v>
      </c>
      <c r="N129" s="31">
        <f>Table1[[#This Row],[TN550 I Venting2]]/100</f>
        <v>2E-3</v>
      </c>
      <c r="O129" s="31">
        <f>(Table1[[#This Row],[TN550 I (O2)]]-Table1[[#This Row],[O2]])/Table1[[#This Row],[TN550 I (O2)]]</f>
        <v>0.10088991001252047</v>
      </c>
      <c r="P129" s="9">
        <f>Table1[[#This Row],[M-N2]]+Table1[[#This Row],[TEN-N2]]</f>
        <v>64161.451456338647</v>
      </c>
      <c r="Q129" s="9">
        <v>1438.587005805837</v>
      </c>
      <c r="R129" s="9">
        <f>SUM(Table1[[#This Row],[TEN-CDA]:[TEN-CDA WWT]])</f>
        <v>100150.20641405722</v>
      </c>
      <c r="S129" s="9">
        <v>428.34285603191688</v>
      </c>
      <c r="T129" s="9">
        <v>246.22759427369095</v>
      </c>
      <c r="U129" s="9">
        <v>40.963039850874296</v>
      </c>
      <c r="V129" s="42">
        <v>1.64</v>
      </c>
      <c r="W129" s="9">
        <v>0.2</v>
      </c>
      <c r="X129" s="9">
        <v>74694.344416854612</v>
      </c>
      <c r="Y129" s="9">
        <v>1649.8504478565774</v>
      </c>
      <c r="Z129" s="1">
        <v>61940.316875216864</v>
      </c>
      <c r="AA129" s="1">
        <v>2221.1345811217798</v>
      </c>
      <c r="AB129" s="1">
        <v>35400.412376387925</v>
      </c>
      <c r="AC129" s="1">
        <v>55026.24659795715</v>
      </c>
      <c r="AD129" s="1">
        <v>6982.6479407475281</v>
      </c>
      <c r="AE129" s="1">
        <v>2715.6500546563261</v>
      </c>
      <c r="AF129" s="1">
        <v>25.249444308285497</v>
      </c>
      <c r="AG129" s="1"/>
      <c r="AH129" s="1"/>
      <c r="AI129" s="1"/>
      <c r="AJ129" s="1"/>
      <c r="AK129" s="1"/>
      <c r="AL129" s="1"/>
      <c r="AM129" s="1"/>
      <c r="AN129" s="1"/>
      <c r="AO129" s="1"/>
      <c r="AP129" s="1"/>
      <c r="AQ129" s="1"/>
    </row>
    <row r="130" spans="1:43" x14ac:dyDescent="0.3">
      <c r="A130" s="9">
        <f t="shared" si="18"/>
        <v>2020</v>
      </c>
      <c r="B130" s="9">
        <f t="shared" si="19"/>
        <v>5</v>
      </c>
      <c r="C130" s="10">
        <v>43955</v>
      </c>
      <c r="D130" s="9">
        <v>0.21299999999999999</v>
      </c>
      <c r="E130" s="9">
        <v>0.14799999999999999</v>
      </c>
      <c r="F130" s="9">
        <v>20.459677600264964</v>
      </c>
      <c r="G130" s="9">
        <v>10760.786446586571</v>
      </c>
      <c r="H130" s="9">
        <v>54802.070789599238</v>
      </c>
      <c r="I130" s="9">
        <v>1600.062931524061</v>
      </c>
      <c r="J130" s="20">
        <v>70.959999999999994</v>
      </c>
      <c r="K130" s="9">
        <v>71.78</v>
      </c>
      <c r="L130" s="31">
        <f>Table1[[#This Row],[TN550 I (O2)]]/(Table1[[#This Row],[Flowmeter A]]+Table1[[#This Row],[Flowmeter B]])</f>
        <v>2.0957445079252072E-2</v>
      </c>
      <c r="M130" s="33">
        <f>Table1[[#This Row],[TN120 Venting2]]/100</f>
        <v>2.1299999999999999E-2</v>
      </c>
      <c r="N130" s="31">
        <f>Table1[[#This Row],[TN550 I Venting2]]/100</f>
        <v>4.6999999999999993E-3</v>
      </c>
      <c r="O130" s="31">
        <f>(Table1[[#This Row],[TN550 I (O2)]]-Table1[[#This Row],[O2]])/Table1[[#This Row],[TN550 I (O2)]]</f>
        <v>0.10566926546021681</v>
      </c>
      <c r="P130" s="9">
        <f>Table1[[#This Row],[M-N2]]+Table1[[#This Row],[TEN-N2]]</f>
        <v>64246.427229829009</v>
      </c>
      <c r="Q130" s="9">
        <v>1430.9854568597923</v>
      </c>
      <c r="R130" s="9">
        <f>SUM(Table1[[#This Row],[TEN-CDA]:[TEN-CDA WWT]])</f>
        <v>100895.52706438117</v>
      </c>
      <c r="S130" s="9">
        <v>429.42363682362367</v>
      </c>
      <c r="T130" s="9">
        <v>252.32764653477881</v>
      </c>
      <c r="U130" s="9">
        <v>39.170098162458473</v>
      </c>
      <c r="V130" s="42">
        <v>2.13</v>
      </c>
      <c r="W130" s="9">
        <v>0.47</v>
      </c>
      <c r="X130" s="9">
        <v>74698.094172883415</v>
      </c>
      <c r="Y130" s="9">
        <v>1650.092615788054</v>
      </c>
      <c r="Z130" s="1">
        <v>62039.169015115374</v>
      </c>
      <c r="AA130" s="1">
        <v>2207.2582147136318</v>
      </c>
      <c r="AB130" s="1">
        <v>36113.427258631149</v>
      </c>
      <c r="AC130" s="1">
        <v>54996.612785175224</v>
      </c>
      <c r="AD130" s="1">
        <v>7032.8224753724626</v>
      </c>
      <c r="AE130" s="1">
        <v>2722.4639842597912</v>
      </c>
      <c r="AF130" s="1">
        <v>30.200560942540395</v>
      </c>
      <c r="AG130" s="1"/>
      <c r="AH130" s="1"/>
      <c r="AI130" s="1"/>
      <c r="AJ130" s="1"/>
      <c r="AK130" s="1"/>
      <c r="AL130" s="1"/>
      <c r="AM130" s="1"/>
      <c r="AN130" s="1"/>
      <c r="AO130" s="1"/>
      <c r="AP130" s="1"/>
      <c r="AQ130" s="1"/>
    </row>
    <row r="131" spans="1:43" x14ac:dyDescent="0.3">
      <c r="A131" s="9">
        <f t="shared" si="18"/>
        <v>2020</v>
      </c>
      <c r="B131" s="9">
        <f t="shared" si="19"/>
        <v>5</v>
      </c>
      <c r="C131" s="10">
        <v>43956</v>
      </c>
      <c r="D131" s="9">
        <v>0.21099999999999999</v>
      </c>
      <c r="E131" s="9">
        <v>0.152</v>
      </c>
      <c r="F131" s="9">
        <v>18.931347732490998</v>
      </c>
      <c r="G131" s="9">
        <v>10499.763692205934</v>
      </c>
      <c r="H131" s="9">
        <v>54800.290778430775</v>
      </c>
      <c r="I131" s="9">
        <v>1600.0498395889356</v>
      </c>
      <c r="J131" s="20">
        <v>70.97</v>
      </c>
      <c r="K131" s="9">
        <v>71.77</v>
      </c>
      <c r="L131" s="31">
        <f>Table1[[#This Row],[TN550 I (O2)]]/(Table1[[#This Row],[Flowmeter A]]+Table1[[#This Row],[Flowmeter B]])</f>
        <v>2.0955311751725852E-2</v>
      </c>
      <c r="M131" s="33">
        <f>Table1[[#This Row],[TN120 Venting2]]/100</f>
        <v>2.18E-2</v>
      </c>
      <c r="N131" s="31">
        <f>Table1[[#This Row],[TN550 I Venting2]]/100</f>
        <v>7.9000000000000008E-3</v>
      </c>
      <c r="O131" s="31">
        <f>(Table1[[#This Row],[TN550 I (O2)]]-Table1[[#This Row],[O2]])/Table1[[#This Row],[TN550 I (O2)]]</f>
        <v>0.10202402289250236</v>
      </c>
      <c r="P131" s="9">
        <f>Table1[[#This Row],[M-N2]]+Table1[[#This Row],[TEN-N2]]</f>
        <v>64204.770053416141</v>
      </c>
      <c r="Q131" s="9">
        <v>1436.8063181255693</v>
      </c>
      <c r="R131" s="9">
        <f>SUM(Table1[[#This Row],[TEN-CDA]:[TEN-CDA WWT]])</f>
        <v>100835.113402684</v>
      </c>
      <c r="S131" s="9">
        <v>432.16633276638265</v>
      </c>
      <c r="T131" s="9">
        <v>237.85641045342047</v>
      </c>
      <c r="U131" s="9">
        <v>38.536655007758803</v>
      </c>
      <c r="V131" s="42">
        <v>2.1800000000000002</v>
      </c>
      <c r="W131" s="9">
        <v>0.79</v>
      </c>
      <c r="X131" s="9">
        <v>74705.31663124566</v>
      </c>
      <c r="Y131" s="9">
        <v>1650.0179276476297</v>
      </c>
      <c r="Z131" s="1">
        <v>61992.484548490633</v>
      </c>
      <c r="AA131" s="1">
        <v>2212.2855049255077</v>
      </c>
      <c r="AB131" s="1">
        <v>35877.903558184422</v>
      </c>
      <c r="AC131" s="1">
        <v>55149.490615241149</v>
      </c>
      <c r="AD131" s="1">
        <v>7032.7854029319915</v>
      </c>
      <c r="AE131" s="1">
        <v>2744.3290966491909</v>
      </c>
      <c r="AF131" s="1">
        <v>30.604729677264505</v>
      </c>
      <c r="AG131" s="1"/>
      <c r="AH131" s="1"/>
      <c r="AI131" s="1"/>
      <c r="AJ131" s="1"/>
      <c r="AK131" s="1"/>
      <c r="AL131" s="1"/>
      <c r="AM131" s="1"/>
      <c r="AN131" s="1"/>
      <c r="AO131" s="1"/>
      <c r="AP131" s="1"/>
      <c r="AQ131" s="1"/>
    </row>
    <row r="132" spans="1:43" x14ac:dyDescent="0.3">
      <c r="A132" s="9">
        <f t="shared" si="18"/>
        <v>2020</v>
      </c>
      <c r="B132" s="9">
        <f t="shared" si="19"/>
        <v>5</v>
      </c>
      <c r="C132" s="10">
        <v>43957</v>
      </c>
      <c r="D132" s="9">
        <v>0.21099999999999999</v>
      </c>
      <c r="E132" s="9">
        <v>0.13800000000000001</v>
      </c>
      <c r="F132" s="9">
        <v>20.073440403511423</v>
      </c>
      <c r="G132" s="9">
        <v>10463.530606864808</v>
      </c>
      <c r="H132" s="9">
        <v>54796.322424206279</v>
      </c>
      <c r="I132" s="9">
        <v>1599.8186060569917</v>
      </c>
      <c r="J132" s="20">
        <v>70.97</v>
      </c>
      <c r="K132" s="9">
        <v>71.760000000000005</v>
      </c>
      <c r="L132" s="31">
        <f>Table1[[#This Row],[TN550 I (O2)]]/(Table1[[#This Row],[Flowmeter A]]+Table1[[#This Row],[Flowmeter B]])</f>
        <v>2.0951165865598965E-2</v>
      </c>
      <c r="M132" s="33">
        <f>Table1[[#This Row],[TN120 Venting2]]/100</f>
        <v>1.1299999999999999E-2</v>
      </c>
      <c r="N132" s="31">
        <f>Table1[[#This Row],[TN550 I Venting2]]/100</f>
        <v>3.5999999999999999E-3</v>
      </c>
      <c r="O132" s="31">
        <f>(Table1[[#This Row],[TN550 I (O2)]]-Table1[[#This Row],[O2]])/Table1[[#This Row],[TN550 I (O2)]]</f>
        <v>0.10093418250848415</v>
      </c>
      <c r="P132" s="9">
        <f>Table1[[#This Row],[M-N2]]+Table1[[#This Row],[TEN-N2]]</f>
        <v>64154.648166420877</v>
      </c>
      <c r="Q132" s="9">
        <v>1438.3422228927666</v>
      </c>
      <c r="R132" s="9">
        <f>SUM(Table1[[#This Row],[TEN-CDA]:[TEN-CDA WWT]])</f>
        <v>100972.36132486151</v>
      </c>
      <c r="S132" s="9">
        <v>434.32462047653672</v>
      </c>
      <c r="T132" s="9">
        <v>236.98229986822167</v>
      </c>
      <c r="U132" s="9">
        <v>39.988066317884559</v>
      </c>
      <c r="V132" s="42">
        <v>1.1299999999999999</v>
      </c>
      <c r="W132" s="9">
        <v>0.36</v>
      </c>
      <c r="X132" s="9">
        <v>74709.26384672102</v>
      </c>
      <c r="Y132" s="9">
        <v>1650.1433728950708</v>
      </c>
      <c r="Z132" s="1">
        <v>61952.257058900061</v>
      </c>
      <c r="AA132" s="1">
        <v>2202.3911075208189</v>
      </c>
      <c r="AB132" s="1">
        <v>36108.819686307244</v>
      </c>
      <c r="AC132" s="1">
        <v>55024.598870684422</v>
      </c>
      <c r="AD132" s="1">
        <v>7062.4504274239898</v>
      </c>
      <c r="AE132" s="1">
        <v>2744.0814538514919</v>
      </c>
      <c r="AF132" s="1">
        <v>32.410886594359965</v>
      </c>
      <c r="AG132" s="1"/>
      <c r="AH132" s="1"/>
      <c r="AI132" s="1"/>
      <c r="AJ132" s="1"/>
      <c r="AK132" s="1"/>
      <c r="AL132" s="1"/>
      <c r="AM132" s="1"/>
      <c r="AN132" s="1"/>
      <c r="AO132" s="1"/>
      <c r="AP132" s="1"/>
      <c r="AQ132" s="1"/>
    </row>
    <row r="133" spans="1:43" x14ac:dyDescent="0.3">
      <c r="A133" s="9">
        <f t="shared" si="18"/>
        <v>2020</v>
      </c>
      <c r="B133" s="9">
        <f t="shared" si="19"/>
        <v>5</v>
      </c>
      <c r="C133" s="10">
        <v>43958</v>
      </c>
      <c r="D133" s="9">
        <v>0.21199999999999999</v>
      </c>
      <c r="E133" s="9">
        <v>0.14199999999999999</v>
      </c>
      <c r="F133" s="9">
        <v>19.541874575168205</v>
      </c>
      <c r="G133" s="9">
        <v>10601.795207863464</v>
      </c>
      <c r="H133" s="9">
        <v>54799.085143238211</v>
      </c>
      <c r="I133" s="9">
        <v>1599.9191709858605</v>
      </c>
      <c r="J133" s="20">
        <v>71.03</v>
      </c>
      <c r="K133" s="9">
        <v>71.760000000000005</v>
      </c>
      <c r="L133" s="31">
        <f>Table1[[#This Row],[TN550 I (O2)]]/(Table1[[#This Row],[Flowmeter A]]+Table1[[#This Row],[Flowmeter B]])</f>
        <v>2.0951091518434162E-2</v>
      </c>
      <c r="M133" s="33">
        <f>Table1[[#This Row],[TN120 Venting2]]/100</f>
        <v>2.3E-2</v>
      </c>
      <c r="N133" s="31">
        <f>Table1[[#This Row],[TN550 I Venting2]]/100</f>
        <v>6.8000000000000005E-3</v>
      </c>
      <c r="O133" s="31">
        <f>(Table1[[#This Row],[TN550 I (O2)]]-Table1[[#This Row],[O2]])/Table1[[#This Row],[TN550 I (O2)]]</f>
        <v>9.9338966082024305E-2</v>
      </c>
      <c r="P133" s="9">
        <f>Table1[[#This Row],[M-N2]]+Table1[[#This Row],[TEN-N2]]</f>
        <v>64481.489609961209</v>
      </c>
      <c r="Q133" s="9">
        <v>1440.9848547253157</v>
      </c>
      <c r="R133" s="9">
        <f>SUM(Table1[[#This Row],[TEN-CDA]:[TEN-CDA WWT]])</f>
        <v>100050.50204496321</v>
      </c>
      <c r="S133" s="9">
        <v>431.61675669599293</v>
      </c>
      <c r="T133" s="9">
        <v>228.75560548188039</v>
      </c>
      <c r="U133" s="9">
        <v>39.630301133366942</v>
      </c>
      <c r="V133" s="42">
        <v>2.2999999999999998</v>
      </c>
      <c r="W133" s="9">
        <v>0.68</v>
      </c>
      <c r="X133" s="9">
        <v>74714.41140050313</v>
      </c>
      <c r="Y133" s="9">
        <v>1650.0667737316207</v>
      </c>
      <c r="Z133" s="1">
        <v>62320.88824763619</v>
      </c>
      <c r="AA133" s="1">
        <v>2160.6013623250183</v>
      </c>
      <c r="AB133" s="1">
        <v>36063.42896100798</v>
      </c>
      <c r="AC133" s="1">
        <v>54127.929435396429</v>
      </c>
      <c r="AD133" s="1">
        <v>7062.9431384455238</v>
      </c>
      <c r="AE133" s="1">
        <v>2775.3294016131917</v>
      </c>
      <c r="AF133" s="1">
        <v>20.871108500086581</v>
      </c>
      <c r="AG133" s="1"/>
      <c r="AH133" s="1"/>
      <c r="AI133" s="1"/>
      <c r="AJ133" s="1"/>
      <c r="AK133" s="1"/>
      <c r="AL133" s="1"/>
      <c r="AM133" s="1"/>
      <c r="AN133" s="1"/>
      <c r="AO133" s="1"/>
      <c r="AP133" s="1"/>
      <c r="AQ133" s="1"/>
    </row>
    <row r="134" spans="1:43" x14ac:dyDescent="0.3">
      <c r="A134" s="9">
        <f t="shared" si="18"/>
        <v>2020</v>
      </c>
      <c r="B134" s="9">
        <f t="shared" si="19"/>
        <v>5</v>
      </c>
      <c r="C134" s="10">
        <v>43959</v>
      </c>
      <c r="D134" s="9">
        <v>0.20899999999999999</v>
      </c>
      <c r="E134" s="9">
        <v>0.14299999999999999</v>
      </c>
      <c r="F134" s="9">
        <v>18.249146988952763</v>
      </c>
      <c r="G134" s="9">
        <v>10770.841450330949</v>
      </c>
      <c r="H134" s="9">
        <v>54807.581632763715</v>
      </c>
      <c r="I134" s="9">
        <v>1600.1264312129977</v>
      </c>
      <c r="J134" s="20">
        <v>71.03</v>
      </c>
      <c r="K134" s="9">
        <v>71.8</v>
      </c>
      <c r="L134" s="31">
        <f>Table1[[#This Row],[TN550 I (O2)]]/(Table1[[#This Row],[Flowmeter A]]+Table1[[#This Row],[Flowmeter B]])</f>
        <v>2.0960920960289852E-2</v>
      </c>
      <c r="M134" s="33">
        <f>Table1[[#This Row],[TN120 Venting2]]/100</f>
        <v>2.0199999999999999E-2</v>
      </c>
      <c r="N134" s="31">
        <f>Table1[[#This Row],[TN550 I Venting2]]/100</f>
        <v>5.0000000000000001E-3</v>
      </c>
      <c r="O134" s="31">
        <f>(Table1[[#This Row],[TN550 I (O2)]]-Table1[[#This Row],[O2]])/Table1[[#This Row],[TN550 I (O2)]]</f>
        <v>0.10050692262609172</v>
      </c>
      <c r="P134" s="9">
        <f>Table1[[#This Row],[M-N2]]+Table1[[#This Row],[TEN-N2]]</f>
        <v>64540.041302545294</v>
      </c>
      <c r="Q134" s="9">
        <v>1439.3026477991086</v>
      </c>
      <c r="R134" s="9">
        <f>SUM(Table1[[#This Row],[TEN-CDA]:[TEN-CDA WWT]])</f>
        <v>98641.803038413593</v>
      </c>
      <c r="S134" s="9">
        <v>430.19419880958998</v>
      </c>
      <c r="T134" s="9">
        <v>238.05925192161209</v>
      </c>
      <c r="U134" s="9">
        <v>39.542049139262403</v>
      </c>
      <c r="V134" s="42">
        <v>2.02</v>
      </c>
      <c r="W134" s="9">
        <v>0.5</v>
      </c>
      <c r="X134" s="9">
        <v>74688.368483258149</v>
      </c>
      <c r="Y134" s="9">
        <v>1650.1871672503903</v>
      </c>
      <c r="Z134" s="1">
        <v>62327.035020710442</v>
      </c>
      <c r="AA134" s="1">
        <v>2213.0062818348533</v>
      </c>
      <c r="AB134" s="1">
        <v>36235.545590085014</v>
      </c>
      <c r="AC134" s="1">
        <v>52599.872243125435</v>
      </c>
      <c r="AD134" s="1">
        <v>7019.5485428142347</v>
      </c>
      <c r="AE134" s="1">
        <v>2765.0357321236879</v>
      </c>
      <c r="AF134" s="1">
        <v>21.800930265235113</v>
      </c>
      <c r="AG134" s="1"/>
      <c r="AH134" s="1"/>
      <c r="AI134" s="1"/>
      <c r="AJ134" s="1"/>
      <c r="AK134" s="1"/>
      <c r="AL134" s="1"/>
      <c r="AM134" s="1"/>
      <c r="AN134" s="1"/>
      <c r="AO134" s="1"/>
      <c r="AP134" s="1"/>
      <c r="AQ134" s="1"/>
    </row>
    <row r="135" spans="1:43" x14ac:dyDescent="0.3">
      <c r="A135" s="9">
        <f t="shared" ref="A135:A198" si="20">YEAR(C135)</f>
        <v>2020</v>
      </c>
      <c r="B135" s="9">
        <f t="shared" ref="B135:B198" si="21">MONTH(C135)</f>
        <v>5</v>
      </c>
      <c r="C135" s="10">
        <v>43960</v>
      </c>
      <c r="D135" s="9">
        <v>0.20799999999999999</v>
      </c>
      <c r="E135" s="9">
        <v>0.14399999999999999</v>
      </c>
      <c r="F135" s="9">
        <v>15.349128768809711</v>
      </c>
      <c r="G135" s="9">
        <v>11126.001997853053</v>
      </c>
      <c r="H135" s="9">
        <v>54798.092353942571</v>
      </c>
      <c r="I135" s="9">
        <v>1599.919553546257</v>
      </c>
      <c r="J135" s="20">
        <v>71.02</v>
      </c>
      <c r="K135" s="9">
        <v>71.78</v>
      </c>
      <c r="L135" s="31">
        <f>Table1[[#This Row],[TN550 I (O2)]]/(Table1[[#This Row],[Flowmeter A]]+Table1[[#This Row],[Flowmeter B]])</f>
        <v>2.0956992202036024E-2</v>
      </c>
      <c r="M135" s="33">
        <f>Table1[[#This Row],[TN120 Venting2]]/100</f>
        <v>2.3999999999999998E-3</v>
      </c>
      <c r="N135" s="31">
        <f>Table1[[#This Row],[TN550 I Venting2]]/100</f>
        <v>1E-4</v>
      </c>
      <c r="O135" s="31">
        <f>(Table1[[#This Row],[TN550 I (O2)]]-Table1[[#This Row],[O2]])/Table1[[#This Row],[TN550 I (O2)]]</f>
        <v>9.7655849379562926E-2</v>
      </c>
      <c r="P135" s="9">
        <f>Table1[[#This Row],[M-N2]]+Table1[[#This Row],[TEN-N2]]</f>
        <v>64955.783817288611</v>
      </c>
      <c r="Q135" s="9">
        <v>1443.6780506057262</v>
      </c>
      <c r="R135" s="9">
        <f>SUM(Table1[[#This Row],[TEN-CDA]:[TEN-CDA WWT]])</f>
        <v>98605.397602412413</v>
      </c>
      <c r="S135" s="9">
        <v>427.1887413940853</v>
      </c>
      <c r="T135" s="9">
        <v>256.71545858072125</v>
      </c>
      <c r="U135" s="9">
        <v>39.145785497841445</v>
      </c>
      <c r="V135" s="42">
        <v>0.24</v>
      </c>
      <c r="W135" s="9">
        <v>0.01</v>
      </c>
      <c r="X135" s="9">
        <v>74693.17967665683</v>
      </c>
      <c r="Y135" s="9">
        <v>1649.8154498490087</v>
      </c>
      <c r="Z135" s="1">
        <v>62739.722694201075</v>
      </c>
      <c r="AA135" s="1">
        <v>2216.061123087537</v>
      </c>
      <c r="AB135" s="1">
        <v>36062.266573776891</v>
      </c>
      <c r="AC135" s="1">
        <v>52669.811337070605</v>
      </c>
      <c r="AD135" s="1">
        <v>7067.3693652818138</v>
      </c>
      <c r="AE135" s="1">
        <v>2790.0668045668699</v>
      </c>
      <c r="AF135" s="1">
        <v>15.883521716227389</v>
      </c>
      <c r="AG135" s="1"/>
      <c r="AH135" s="1"/>
      <c r="AI135" s="1"/>
      <c r="AJ135" s="1"/>
      <c r="AK135" s="1"/>
      <c r="AL135" s="1"/>
      <c r="AM135" s="1"/>
      <c r="AN135" s="1"/>
      <c r="AO135" s="1"/>
      <c r="AP135" s="1"/>
      <c r="AQ135" s="1"/>
    </row>
    <row r="136" spans="1:43" x14ac:dyDescent="0.3">
      <c r="A136" s="9">
        <f t="shared" si="20"/>
        <v>2020</v>
      </c>
      <c r="B136" s="9">
        <f t="shared" si="21"/>
        <v>5</v>
      </c>
      <c r="C136" s="10">
        <v>43961</v>
      </c>
      <c r="D136" s="9">
        <v>0.21099999999999999</v>
      </c>
      <c r="E136" s="9">
        <v>0.14299999999999999</v>
      </c>
      <c r="F136" s="9">
        <v>15.878547747212926</v>
      </c>
      <c r="G136" s="9">
        <v>11018.586975732998</v>
      </c>
      <c r="H136" s="9">
        <v>54800.948603400415</v>
      </c>
      <c r="I136" s="9">
        <v>1600.1152503856099</v>
      </c>
      <c r="J136" s="20">
        <v>71.02</v>
      </c>
      <c r="K136" s="9">
        <v>71.8</v>
      </c>
      <c r="L136" s="31">
        <f>Table1[[#This Row],[TN550 I (O2)]]/(Table1[[#This Row],[Flowmeter A]]+Table1[[#This Row],[Flowmeter B]])</f>
        <v>2.0964684004860033E-2</v>
      </c>
      <c r="M136" s="33">
        <f>Table1[[#This Row],[TN120 Venting2]]/100</f>
        <v>1.3100000000000001E-2</v>
      </c>
      <c r="N136" s="31">
        <f>Table1[[#This Row],[TN550 I Venting2]]/100</f>
        <v>2.8000000000000004E-3</v>
      </c>
      <c r="O136" s="31">
        <f>(Table1[[#This Row],[TN550 I (O2)]]-Table1[[#This Row],[O2]])/Table1[[#This Row],[TN550 I (O2)]]</f>
        <v>9.6197743023059029E-2</v>
      </c>
      <c r="P136" s="9">
        <f>Table1[[#This Row],[M-N2]]+Table1[[#This Row],[TEN-N2]]</f>
        <v>64609.36802191539</v>
      </c>
      <c r="Q136" s="9">
        <v>1446.1877747217372</v>
      </c>
      <c r="R136" s="9">
        <f>SUM(Table1[[#This Row],[TEN-CDA]:[TEN-CDA WWT]])</f>
        <v>98811.576627768722</v>
      </c>
      <c r="S136" s="9">
        <v>423.6849195386369</v>
      </c>
      <c r="T136" s="9">
        <v>251.50810925750417</v>
      </c>
      <c r="U136" s="9">
        <v>38.639328930793248</v>
      </c>
      <c r="V136" s="42">
        <v>1.31</v>
      </c>
      <c r="W136" s="9">
        <v>0.28000000000000003</v>
      </c>
      <c r="X136" s="9">
        <v>74674.528663905279</v>
      </c>
      <c r="Y136" s="9">
        <v>1649.7913217749715</v>
      </c>
      <c r="Z136" s="1">
        <v>62362.216453959925</v>
      </c>
      <c r="AA136" s="1">
        <v>2247.1515679554673</v>
      </c>
      <c r="AB136" s="1">
        <v>36510.038178782095</v>
      </c>
      <c r="AC136" s="1">
        <v>52551.17156325902</v>
      </c>
      <c r="AD136" s="1">
        <v>6959.9829758929345</v>
      </c>
      <c r="AE136" s="1">
        <v>2768.5134678879685</v>
      </c>
      <c r="AF136" s="1">
        <v>21.870441946690281</v>
      </c>
      <c r="AG136" s="1"/>
      <c r="AH136" s="1"/>
      <c r="AI136" s="1"/>
      <c r="AJ136" s="1"/>
      <c r="AK136" s="1"/>
      <c r="AL136" s="1"/>
      <c r="AM136" s="1"/>
      <c r="AN136" s="1"/>
      <c r="AO136" s="1"/>
      <c r="AP136" s="1"/>
      <c r="AQ136" s="1"/>
    </row>
    <row r="137" spans="1:43" x14ac:dyDescent="0.3">
      <c r="A137" s="9">
        <f t="shared" si="20"/>
        <v>2020</v>
      </c>
      <c r="B137" s="9">
        <f t="shared" si="21"/>
        <v>5</v>
      </c>
      <c r="C137" s="10">
        <v>43962</v>
      </c>
      <c r="D137" s="9">
        <v>0.158</v>
      </c>
      <c r="E137" s="9">
        <v>0.14099999999999999</v>
      </c>
      <c r="F137" s="9">
        <v>14.775116458524854</v>
      </c>
      <c r="G137" s="9">
        <v>10820.935696646207</v>
      </c>
      <c r="H137" s="9">
        <v>54802.790615783313</v>
      </c>
      <c r="I137" s="9">
        <v>1599.9893463367723</v>
      </c>
      <c r="J137" s="20">
        <v>71.010000000000005</v>
      </c>
      <c r="K137" s="9">
        <v>71.78</v>
      </c>
      <c r="L137" s="31">
        <f>Table1[[#This Row],[TN550 I (O2)]]/(Table1[[#This Row],[Flowmeter A]]+Table1[[#This Row],[Flowmeter B]])</f>
        <v>2.0955740915593837E-2</v>
      </c>
      <c r="M137" s="33">
        <f>Table1[[#This Row],[TN120 Venting2]]/100</f>
        <v>2.3900000000000001E-2</v>
      </c>
      <c r="N137" s="31">
        <f>Table1[[#This Row],[TN550 I Venting2]]/100</f>
        <v>6.1999999999999998E-3</v>
      </c>
      <c r="O137" s="31">
        <f>(Table1[[#This Row],[TN550 I (O2)]]-Table1[[#This Row],[O2]])/Table1[[#This Row],[TN550 I (O2)]]</f>
        <v>0.10018140995968908</v>
      </c>
      <c r="P137" s="9">
        <f>Table1[[#This Row],[M-N2]]+Table1[[#This Row],[TEN-N2]]</f>
        <v>64750.532662915153</v>
      </c>
      <c r="Q137" s="9">
        <v>1439.7001577002732</v>
      </c>
      <c r="R137" s="9">
        <f>SUM(Table1[[#This Row],[TEN-CDA]:[TEN-CDA WWT]])</f>
        <v>98176.877419274344</v>
      </c>
      <c r="S137" s="9">
        <v>432.03635497030331</v>
      </c>
      <c r="T137" s="9">
        <v>252.85188438526711</v>
      </c>
      <c r="U137" s="9">
        <v>38.102548178329307</v>
      </c>
      <c r="V137" s="42">
        <v>2.39</v>
      </c>
      <c r="W137" s="9">
        <v>0.62</v>
      </c>
      <c r="X137" s="9">
        <v>74700.340800659265</v>
      </c>
      <c r="Y137" s="9">
        <v>1650.5433213222698</v>
      </c>
      <c r="Z137" s="1">
        <v>62473.572359147292</v>
      </c>
      <c r="AA137" s="1">
        <v>2276.9603037678639</v>
      </c>
      <c r="AB137" s="1">
        <v>36124.874108149721</v>
      </c>
      <c r="AC137" s="1">
        <v>52252.54029319917</v>
      </c>
      <c r="AD137" s="1">
        <v>7019.1647957689975</v>
      </c>
      <c r="AE137" s="1">
        <v>2756.7414095029494</v>
      </c>
      <c r="AF137" s="1">
        <v>23.556812653512583</v>
      </c>
      <c r="AG137" s="1"/>
      <c r="AH137" s="1"/>
      <c r="AI137" s="1"/>
      <c r="AJ137" s="1"/>
      <c r="AK137" s="1"/>
      <c r="AL137" s="1"/>
      <c r="AM137" s="1"/>
      <c r="AN137" s="1"/>
      <c r="AO137" s="1"/>
      <c r="AP137" s="1"/>
      <c r="AQ137" s="1"/>
    </row>
    <row r="138" spans="1:43" x14ac:dyDescent="0.3">
      <c r="A138" s="9">
        <f t="shared" si="20"/>
        <v>2020</v>
      </c>
      <c r="B138" s="9">
        <f t="shared" si="21"/>
        <v>5</v>
      </c>
      <c r="C138" s="10">
        <v>43963</v>
      </c>
      <c r="D138" s="9">
        <v>0.215</v>
      </c>
      <c r="E138" s="9">
        <v>0.14199999999999999</v>
      </c>
      <c r="F138" s="9">
        <v>16.07001890596791</v>
      </c>
      <c r="G138" s="9">
        <v>10739.552992577854</v>
      </c>
      <c r="H138" s="9">
        <v>54789.181660955939</v>
      </c>
      <c r="I138" s="9">
        <v>1600.0082958679411</v>
      </c>
      <c r="J138" s="20">
        <v>70.959999999999994</v>
      </c>
      <c r="K138" s="9">
        <v>71.760000000000005</v>
      </c>
      <c r="L138" s="31">
        <f>Table1[[#This Row],[TN550 I (O2)]]/(Table1[[#This Row],[Flowmeter A]]+Table1[[#This Row],[Flowmeter B]])</f>
        <v>2.0956491460582202E-2</v>
      </c>
      <c r="M138" s="33">
        <f>Table1[[#This Row],[TN120 Venting2]]/100</f>
        <v>2.64E-2</v>
      </c>
      <c r="N138" s="31">
        <f>Table1[[#This Row],[TN550 I Venting2]]/100</f>
        <v>9.0000000000000011E-3</v>
      </c>
      <c r="O138" s="31">
        <f>(Table1[[#This Row],[TN550 I (O2)]]-Table1[[#This Row],[O2]])/Table1[[#This Row],[TN550 I (O2)]]</f>
        <v>0.10121156460083573</v>
      </c>
      <c r="P138" s="9">
        <f>Table1[[#This Row],[M-N2]]+Table1[[#This Row],[TEN-N2]]</f>
        <v>64707.571403085152</v>
      </c>
      <c r="Q138" s="9">
        <v>1438.0689528688299</v>
      </c>
      <c r="R138" s="9">
        <f>SUM(Table1[[#This Row],[TEN-CDA]:[TEN-CDA WWT]])</f>
        <v>98634.573767146183</v>
      </c>
      <c r="S138" s="9">
        <v>429.35845652890657</v>
      </c>
      <c r="T138" s="9">
        <v>244.0081937155899</v>
      </c>
      <c r="U138" s="9">
        <v>38.892329317260995</v>
      </c>
      <c r="V138" s="42">
        <v>2.64</v>
      </c>
      <c r="W138" s="9">
        <v>0.9</v>
      </c>
      <c r="X138" s="9">
        <v>74698.875417461837</v>
      </c>
      <c r="Y138" s="9">
        <v>1650.178472472594</v>
      </c>
      <c r="Z138" s="1">
        <v>62404.092771404408</v>
      </c>
      <c r="AA138" s="1">
        <v>2303.4786316807449</v>
      </c>
      <c r="AB138" s="1">
        <v>36387.945415510061</v>
      </c>
      <c r="AC138" s="1">
        <v>52317.962563974674</v>
      </c>
      <c r="AD138" s="1">
        <v>7164.2435944005902</v>
      </c>
      <c r="AE138" s="1">
        <v>2738.6225377545434</v>
      </c>
      <c r="AF138" s="1">
        <v>25.79965550631885</v>
      </c>
      <c r="AG138" s="1"/>
      <c r="AH138" s="1"/>
      <c r="AI138" s="1"/>
      <c r="AJ138" s="1"/>
      <c r="AK138" s="1"/>
      <c r="AL138" s="1"/>
      <c r="AM138" s="1"/>
      <c r="AN138" s="1"/>
      <c r="AO138" s="1"/>
      <c r="AP138" s="1"/>
      <c r="AQ138" s="1"/>
    </row>
    <row r="139" spans="1:43" x14ac:dyDescent="0.3">
      <c r="A139" s="9">
        <f t="shared" si="20"/>
        <v>2020</v>
      </c>
      <c r="B139" s="9">
        <f t="shared" si="21"/>
        <v>5</v>
      </c>
      <c r="C139" s="10">
        <v>43964</v>
      </c>
      <c r="D139" s="9">
        <v>0.22</v>
      </c>
      <c r="E139" s="9">
        <v>0.14199999999999999</v>
      </c>
      <c r="F139" s="9">
        <v>17.715869530301223</v>
      </c>
      <c r="G139" s="9">
        <v>10626.125645845985</v>
      </c>
      <c r="H139" s="9">
        <v>54805.588301309857</v>
      </c>
      <c r="I139" s="9">
        <v>1600.0481361955674</v>
      </c>
      <c r="J139" s="20">
        <v>70.989999999999995</v>
      </c>
      <c r="K139" s="9">
        <v>71.790000000000006</v>
      </c>
      <c r="L139" s="31">
        <f>Table1[[#This Row],[TN550 I (O2)]]/(Table1[[#This Row],[Flowmeter A]]+Table1[[#This Row],[Flowmeter B]])</f>
        <v>2.0958187284470232E-2</v>
      </c>
      <c r="M139" s="33">
        <f>Table1[[#This Row],[TN120 Venting2]]/100</f>
        <v>2.23E-2</v>
      </c>
      <c r="N139" s="31">
        <f>Table1[[#This Row],[TN550 I Venting2]]/100</f>
        <v>8.3000000000000001E-3</v>
      </c>
      <c r="O139" s="31">
        <f>(Table1[[#This Row],[TN550 I (O2)]]-Table1[[#This Row],[O2]])/Table1[[#This Row],[TN550 I (O2)]]</f>
        <v>9.785890638458164E-2</v>
      </c>
      <c r="P139" s="9">
        <f>Table1[[#This Row],[M-N2]]+Table1[[#This Row],[TEN-N2]]</f>
        <v>64781.478278600203</v>
      </c>
      <c r="Q139" s="9">
        <v>1443.469175424781</v>
      </c>
      <c r="R139" s="9">
        <f>SUM(Table1[[#This Row],[TEN-CDA]:[TEN-CDA WWT]])</f>
        <v>98219.614577644839</v>
      </c>
      <c r="S139" s="9">
        <v>429.96500432201759</v>
      </c>
      <c r="T139" s="9">
        <v>243.41788366716159</v>
      </c>
      <c r="U139" s="9">
        <v>38.701689659928711</v>
      </c>
      <c r="V139" s="42">
        <v>2.23</v>
      </c>
      <c r="W139" s="9">
        <v>0.83</v>
      </c>
      <c r="X139" s="9">
        <v>74694.932062153021</v>
      </c>
      <c r="Y139" s="9">
        <v>1649.8450160241639</v>
      </c>
      <c r="Z139" s="1">
        <v>62411.633536281231</v>
      </c>
      <c r="AA139" s="1">
        <v>2369.8447423189732</v>
      </c>
      <c r="AB139" s="1">
        <v>35895.282990327898</v>
      </c>
      <c r="AC139" s="1">
        <v>52288.667196174531</v>
      </c>
      <c r="AD139" s="1">
        <v>7264.1313669706369</v>
      </c>
      <c r="AE139" s="1">
        <v>2737.7873970577075</v>
      </c>
      <c r="AF139" s="1">
        <v>33.745627114061968</v>
      </c>
      <c r="AG139" s="1"/>
      <c r="AH139" s="1"/>
      <c r="AI139" s="1"/>
      <c r="AJ139" s="1"/>
      <c r="AK139" s="1"/>
      <c r="AL139" s="1"/>
      <c r="AM139" s="1"/>
      <c r="AN139" s="1"/>
      <c r="AO139" s="1"/>
      <c r="AP139" s="1"/>
      <c r="AQ139" s="1"/>
    </row>
    <row r="140" spans="1:43" x14ac:dyDescent="0.3">
      <c r="A140" s="9">
        <f t="shared" si="20"/>
        <v>2020</v>
      </c>
      <c r="B140" s="9">
        <f t="shared" si="21"/>
        <v>5</v>
      </c>
      <c r="C140" s="10">
        <v>43965</v>
      </c>
      <c r="D140" s="9">
        <v>0.21</v>
      </c>
      <c r="E140" s="9">
        <v>0.14099999999999999</v>
      </c>
      <c r="F140" s="9">
        <v>18.62613142835523</v>
      </c>
      <c r="G140" s="9">
        <v>10647.187702631636</v>
      </c>
      <c r="H140" s="9">
        <v>54800.649863376129</v>
      </c>
      <c r="I140" s="9">
        <v>1600.0198621359409</v>
      </c>
      <c r="J140" s="20">
        <v>70.98</v>
      </c>
      <c r="K140" s="9">
        <v>71.73</v>
      </c>
      <c r="L140" s="31">
        <f>Table1[[#This Row],[TN550 I (O2)]]/(Table1[[#This Row],[Flowmeter A]]+Table1[[#This Row],[Flowmeter B]])</f>
        <v>2.0942084255725999E-2</v>
      </c>
      <c r="M140" s="33">
        <f>Table1[[#This Row],[TN120 Venting2]]/100</f>
        <v>2.4900000000000002E-2</v>
      </c>
      <c r="N140" s="31">
        <f>Table1[[#This Row],[TN550 I Venting2]]/100</f>
        <v>8.199999999999999E-3</v>
      </c>
      <c r="O140" s="31">
        <f>(Table1[[#This Row],[TN550 I (O2)]]-Table1[[#This Row],[O2]])/Table1[[#This Row],[TN550 I (O2)]]</f>
        <v>0.10169369664007413</v>
      </c>
      <c r="P140" s="9">
        <f>Table1[[#This Row],[M-N2]]+Table1[[#This Row],[TEN-N2]]</f>
        <v>64721.505780253785</v>
      </c>
      <c r="Q140" s="9">
        <v>1437.3079276577953</v>
      </c>
      <c r="R140" s="9">
        <f>SUM(Table1[[#This Row],[TEN-CDA]:[TEN-CDA WWT]])</f>
        <v>98068.018661854047</v>
      </c>
      <c r="S140" s="9">
        <v>427.21291500094202</v>
      </c>
      <c r="T140" s="9">
        <v>255.44559029255535</v>
      </c>
      <c r="U140" s="9">
        <v>37.504894529259261</v>
      </c>
      <c r="V140" s="42">
        <v>2.4900000000000002</v>
      </c>
      <c r="W140" s="9">
        <v>0.82</v>
      </c>
      <c r="X140" s="9">
        <v>74751.676342383755</v>
      </c>
      <c r="Y140" s="9">
        <v>1650.4545342725321</v>
      </c>
      <c r="Z140" s="1">
        <v>62351.154862074945</v>
      </c>
      <c r="AA140" s="1">
        <v>2370.3509181788363</v>
      </c>
      <c r="AB140" s="1">
        <v>36034.05434594032</v>
      </c>
      <c r="AC140" s="1">
        <v>52236.974103812456</v>
      </c>
      <c r="AD140" s="1">
        <v>7038.8425436979533</v>
      </c>
      <c r="AE140" s="1">
        <v>2733.8580687375302</v>
      </c>
      <c r="AF140" s="1">
        <v>24.289599665776052</v>
      </c>
      <c r="AG140" s="1"/>
      <c r="AH140" s="1"/>
      <c r="AI140" s="1"/>
      <c r="AJ140" s="1"/>
      <c r="AK140" s="1"/>
      <c r="AL140" s="1"/>
      <c r="AM140" s="1"/>
      <c r="AN140" s="1"/>
      <c r="AO140" s="1"/>
      <c r="AP140" s="1"/>
      <c r="AQ140" s="1"/>
    </row>
    <row r="141" spans="1:43" x14ac:dyDescent="0.3">
      <c r="A141" s="9">
        <f t="shared" si="20"/>
        <v>2020</v>
      </c>
      <c r="B141" s="9">
        <f t="shared" si="21"/>
        <v>5</v>
      </c>
      <c r="C141" s="10">
        <v>43966</v>
      </c>
      <c r="D141" s="9">
        <v>0.217</v>
      </c>
      <c r="E141" s="9">
        <v>0.14599999999999999</v>
      </c>
      <c r="F141" s="9">
        <v>20.797007111358113</v>
      </c>
      <c r="G141" s="9">
        <v>10445.950232585878</v>
      </c>
      <c r="H141" s="9">
        <v>54800.661977901633</v>
      </c>
      <c r="I141" s="9">
        <v>1600.1358854358682</v>
      </c>
      <c r="J141" s="20">
        <v>70.95</v>
      </c>
      <c r="K141" s="9">
        <v>71.78</v>
      </c>
      <c r="L141" s="31">
        <f>Table1[[#This Row],[TN550 I (O2)]]/(Table1[[#This Row],[Flowmeter A]]+Table1[[#This Row],[Flowmeter B]])</f>
        <v>2.0959767506313974E-2</v>
      </c>
      <c r="M141" s="33">
        <f>Table1[[#This Row],[TN120 Venting2]]/100</f>
        <v>1.77E-2</v>
      </c>
      <c r="N141" s="31">
        <f>Table1[[#This Row],[TN550 I Venting2]]/100</f>
        <v>8.3000000000000001E-3</v>
      </c>
      <c r="O141" s="31">
        <f>(Table1[[#This Row],[TN550 I (O2)]]-Table1[[#This Row],[O2]])/Table1[[#This Row],[TN550 I (O2)]]</f>
        <v>0.10157787149142983</v>
      </c>
      <c r="P141" s="9">
        <f>Table1[[#This Row],[M-N2]]+Table1[[#This Row],[TEN-N2]]</f>
        <v>64118.459114747107</v>
      </c>
      <c r="Q141" s="9">
        <v>1437.5974880962383</v>
      </c>
      <c r="R141" s="9">
        <f>SUM(Table1[[#This Row],[TEN-CDA]:[TEN-CDA WWT]])</f>
        <v>98164.838959591929</v>
      </c>
      <c r="S141" s="9">
        <v>430.48770243256234</v>
      </c>
      <c r="T141" s="9">
        <v>238.78128051757813</v>
      </c>
      <c r="U141" s="9">
        <v>39.068863733041461</v>
      </c>
      <c r="V141" s="42">
        <v>1.77</v>
      </c>
      <c r="W141" s="9">
        <v>0.83</v>
      </c>
      <c r="X141" s="9">
        <v>74693.183086832054</v>
      </c>
      <c r="Y141" s="9">
        <v>1650.0246779410727</v>
      </c>
      <c r="Z141" s="1">
        <v>61815.737373134973</v>
      </c>
      <c r="AA141" s="1">
        <v>2302.7217416121348</v>
      </c>
      <c r="AB141" s="1">
        <v>36284.905808141048</v>
      </c>
      <c r="AC141" s="1">
        <v>52064.681330239415</v>
      </c>
      <c r="AD141" s="1">
        <v>7081.6875725136624</v>
      </c>
      <c r="AE141" s="1">
        <v>2709.813223611804</v>
      </c>
      <c r="AF141" s="1">
        <v>23.751025085996044</v>
      </c>
      <c r="AG141" s="1"/>
      <c r="AH141" s="1"/>
      <c r="AI141" s="1"/>
      <c r="AJ141" s="1"/>
      <c r="AK141" s="1"/>
      <c r="AL141" s="1"/>
      <c r="AM141" s="1"/>
      <c r="AN141" s="1"/>
      <c r="AO141" s="1"/>
      <c r="AP141" s="1"/>
      <c r="AQ141" s="1"/>
    </row>
    <row r="142" spans="1:43" x14ac:dyDescent="0.3">
      <c r="A142" s="9">
        <f t="shared" si="20"/>
        <v>2020</v>
      </c>
      <c r="B142" s="9">
        <f t="shared" si="21"/>
        <v>5</v>
      </c>
      <c r="C142" s="10">
        <v>43967</v>
      </c>
      <c r="D142" s="9">
        <v>0.21299999999999999</v>
      </c>
      <c r="E142" s="9">
        <v>0.14199999999999999</v>
      </c>
      <c r="F142" s="9">
        <v>20.082643324926774</v>
      </c>
      <c r="G142" s="9">
        <v>10619.34654211485</v>
      </c>
      <c r="H142" s="9">
        <v>54800.751184615721</v>
      </c>
      <c r="I142" s="9">
        <v>1600.1721258328903</v>
      </c>
      <c r="J142" s="20">
        <v>70.989999999999995</v>
      </c>
      <c r="K142" s="9">
        <v>71.78</v>
      </c>
      <c r="L142" s="31">
        <f>Table1[[#This Row],[TN550 I (O2)]]/(Table1[[#This Row],[Flowmeter A]]+Table1[[#This Row],[Flowmeter B]])</f>
        <v>2.0959732764013923E-2</v>
      </c>
      <c r="M142" s="33">
        <f>Table1[[#This Row],[TN120 Venting2]]/100</f>
        <v>1.26E-2</v>
      </c>
      <c r="N142" s="31">
        <f>Table1[[#This Row],[TN550 I Venting2]]/100</f>
        <v>3.0999999999999999E-3</v>
      </c>
      <c r="O142" s="31">
        <f>(Table1[[#This Row],[TN550 I (O2)]]-Table1[[#This Row],[O2]])/Table1[[#This Row],[TN550 I (O2)]]</f>
        <v>0.10096246445258401</v>
      </c>
      <c r="P142" s="9">
        <f>Table1[[#This Row],[M-N2]]+Table1[[#This Row],[TEN-N2]]</f>
        <v>64218.657267054943</v>
      </c>
      <c r="Q142" s="9">
        <v>1438.6148044604713</v>
      </c>
      <c r="R142" s="9">
        <f>SUM(Table1[[#This Row],[TEN-CDA]:[TEN-CDA WWT]])</f>
        <v>97509.383566706063</v>
      </c>
      <c r="S142" s="9">
        <v>431.44315763284231</v>
      </c>
      <c r="T142" s="9">
        <v>243.35837464395453</v>
      </c>
      <c r="U142" s="9">
        <v>38.639003490260045</v>
      </c>
      <c r="V142" s="42">
        <v>1.26</v>
      </c>
      <c r="W142" s="9">
        <v>0.31</v>
      </c>
      <c r="X142" s="9">
        <v>74694.784497527755</v>
      </c>
      <c r="Y142" s="9">
        <v>1650.2788603529179</v>
      </c>
      <c r="Z142" s="1">
        <v>61869.345232802742</v>
      </c>
      <c r="AA142" s="1">
        <v>2349.3120342522011</v>
      </c>
      <c r="AB142" s="1">
        <v>35747.537883305864</v>
      </c>
      <c r="AC142" s="1">
        <v>52039.625246681993</v>
      </c>
      <c r="AD142" s="1">
        <v>7024.7140474551097</v>
      </c>
      <c r="AE142" s="1">
        <v>2674.8117416561849</v>
      </c>
      <c r="AF142" s="1">
        <v>22.694647606903828</v>
      </c>
      <c r="AG142" s="1"/>
      <c r="AH142" s="1"/>
      <c r="AI142" s="1"/>
      <c r="AJ142" s="1"/>
      <c r="AK142" s="1"/>
      <c r="AL142" s="1"/>
      <c r="AM142" s="1"/>
      <c r="AN142" s="1"/>
      <c r="AO142" s="1"/>
      <c r="AP142" s="1"/>
      <c r="AQ142" s="1"/>
    </row>
    <row r="143" spans="1:43" x14ac:dyDescent="0.3">
      <c r="A143" s="9">
        <f t="shared" si="20"/>
        <v>2020</v>
      </c>
      <c r="B143" s="9">
        <f t="shared" si="21"/>
        <v>5</v>
      </c>
      <c r="C143" s="10">
        <v>43968</v>
      </c>
      <c r="D143" s="9">
        <v>0.216</v>
      </c>
      <c r="E143" s="9">
        <v>0.14199999999999999</v>
      </c>
      <c r="F143" s="9">
        <v>19.910346144359199</v>
      </c>
      <c r="G143" s="9">
        <v>10595.641585975452</v>
      </c>
      <c r="H143" s="9">
        <v>54796.100288428177</v>
      </c>
      <c r="I143" s="9">
        <v>1600.0473068629101</v>
      </c>
      <c r="J143" s="20">
        <v>70.989999999999995</v>
      </c>
      <c r="K143" s="9">
        <v>71.760000000000005</v>
      </c>
      <c r="L143" s="31">
        <f>Table1[[#This Row],[TN550 I (O2)]]/(Table1[[#This Row],[Flowmeter A]]+Table1[[#This Row],[Flowmeter B]])</f>
        <v>2.0953561798203266E-2</v>
      </c>
      <c r="M143" s="33">
        <f>Table1[[#This Row],[TN120 Venting2]]/100</f>
        <v>3.2899999999999999E-2</v>
      </c>
      <c r="N143" s="31">
        <f>Table1[[#This Row],[TN550 I Venting2]]/100</f>
        <v>1.0200000000000001E-2</v>
      </c>
      <c r="O143" s="31">
        <f>(Table1[[#This Row],[TN550 I (O2)]]-Table1[[#This Row],[O2]])/Table1[[#This Row],[TN550 I (O2)]]</f>
        <v>0.10052952022373371</v>
      </c>
      <c r="P143" s="9">
        <f>Table1[[#This Row],[M-N2]]+Table1[[#This Row],[TEN-N2]]</f>
        <v>64253.461440182327</v>
      </c>
      <c r="Q143" s="9">
        <v>1439.1953187687045</v>
      </c>
      <c r="R143" s="9">
        <f>SUM(Table1[[#This Row],[TEN-CDA]:[TEN-CDA WWT]])</f>
        <v>98007.789417251828</v>
      </c>
      <c r="S143" s="9">
        <v>435.01834212335592</v>
      </c>
      <c r="T143" s="9">
        <v>244.01787551784585</v>
      </c>
      <c r="U143" s="9">
        <v>36.735234905827966</v>
      </c>
      <c r="V143" s="42">
        <v>3.29</v>
      </c>
      <c r="W143" s="9">
        <v>1.02</v>
      </c>
      <c r="X143" s="9">
        <v>74711.741883891402</v>
      </c>
      <c r="Y143" s="9">
        <v>1649.8486787265244</v>
      </c>
      <c r="Z143" s="1">
        <v>61891.003044218422</v>
      </c>
      <c r="AA143" s="1">
        <v>2362.4583959639031</v>
      </c>
      <c r="AB143" s="1">
        <v>36182.356710292333</v>
      </c>
      <c r="AC143" s="1">
        <v>52131.081635474497</v>
      </c>
      <c r="AD143" s="1">
        <v>7030.3731522570051</v>
      </c>
      <c r="AE143" s="1">
        <v>2643.9520040878729</v>
      </c>
      <c r="AF143" s="1">
        <v>20.025915140124511</v>
      </c>
      <c r="AG143" s="1"/>
      <c r="AH143" s="1"/>
      <c r="AI143" s="1"/>
      <c r="AJ143" s="1"/>
      <c r="AK143" s="1"/>
      <c r="AL143" s="1"/>
      <c r="AM143" s="1"/>
      <c r="AN143" s="1"/>
      <c r="AO143" s="1"/>
      <c r="AP143" s="1"/>
      <c r="AQ143" s="1"/>
    </row>
    <row r="144" spans="1:43" x14ac:dyDescent="0.3">
      <c r="A144" s="9">
        <f t="shared" si="20"/>
        <v>2020</v>
      </c>
      <c r="B144" s="9">
        <f t="shared" si="21"/>
        <v>5</v>
      </c>
      <c r="C144" s="10">
        <v>43969</v>
      </c>
      <c r="D144" s="9">
        <v>0.21099999999999999</v>
      </c>
      <c r="E144" s="9">
        <v>0.14299999999999999</v>
      </c>
      <c r="F144" s="9">
        <v>15.93778199309032</v>
      </c>
      <c r="G144" s="9">
        <v>10601.468863853226</v>
      </c>
      <c r="H144" s="9">
        <v>54803.991940818007</v>
      </c>
      <c r="I144" s="9">
        <v>1600.1671987158982</v>
      </c>
      <c r="J144" s="20">
        <v>71.48</v>
      </c>
      <c r="K144" s="9">
        <v>71.790000000000006</v>
      </c>
      <c r="L144" s="31">
        <f>Table1[[#This Row],[TN550 I (O2)]]/(Table1[[#This Row],[Flowmeter A]]+Table1[[#This Row],[Flowmeter B]])</f>
        <v>2.0960075430218276E-2</v>
      </c>
      <c r="M144" s="33">
        <f>Table1[[#This Row],[TN120 Venting2]]/100</f>
        <v>3.2099999999999997E-2</v>
      </c>
      <c r="N144" s="31">
        <f>Table1[[#This Row],[TN550 I Venting2]]/100</f>
        <v>7.4000000000000003E-3</v>
      </c>
      <c r="O144" s="31">
        <f>(Table1[[#This Row],[TN550 I (O2)]]-Table1[[#This Row],[O2]])/Table1[[#This Row],[TN550 I (O2)]]</f>
        <v>9.992553712892778E-2</v>
      </c>
      <c r="P144" s="9">
        <f>Table1[[#This Row],[M-N2]]+Table1[[#This Row],[TEN-N2]]</f>
        <v>64599.521051580261</v>
      </c>
      <c r="Q144" s="9">
        <v>1440.2696318881203</v>
      </c>
      <c r="R144" s="9">
        <f>SUM(Table1[[#This Row],[TEN-CDA]:[TEN-CDA WWT]])</f>
        <v>98277.26236050787</v>
      </c>
      <c r="S144" s="9">
        <v>431.24570026172688</v>
      </c>
      <c r="T144" s="9">
        <v>246.54024789930631</v>
      </c>
      <c r="U144" s="9">
        <v>36.78943426488258</v>
      </c>
      <c r="V144" s="42">
        <v>3.21</v>
      </c>
      <c r="W144" s="9">
        <v>0.74</v>
      </c>
      <c r="X144" s="9">
        <v>74693.428147770639</v>
      </c>
      <c r="Y144" s="9">
        <v>1650.1520098144192</v>
      </c>
      <c r="Z144" s="1">
        <v>62237.657112031578</v>
      </c>
      <c r="AA144" s="1">
        <v>2361.8639395486803</v>
      </c>
      <c r="AB144" s="1">
        <v>36476.61466104268</v>
      </c>
      <c r="AC144" s="1">
        <v>52120.662305907354</v>
      </c>
      <c r="AD144" s="1">
        <v>7014.2831062142177</v>
      </c>
      <c r="AE144" s="1">
        <v>2647.7540455168937</v>
      </c>
      <c r="AF144" s="1">
        <v>17.948241826713002</v>
      </c>
      <c r="AG144" s="1"/>
      <c r="AH144" s="1"/>
      <c r="AI144" s="1"/>
      <c r="AJ144" s="1"/>
      <c r="AK144" s="1"/>
      <c r="AL144" s="1"/>
      <c r="AM144" s="1"/>
      <c r="AN144" s="1"/>
      <c r="AO144" s="1"/>
      <c r="AP144" s="1"/>
      <c r="AQ144" s="1"/>
    </row>
    <row r="145" spans="1:43" x14ac:dyDescent="0.3">
      <c r="A145" s="9">
        <f t="shared" si="20"/>
        <v>2020</v>
      </c>
      <c r="B145" s="9">
        <f t="shared" si="21"/>
        <v>5</v>
      </c>
      <c r="C145" s="10">
        <v>43970</v>
      </c>
      <c r="D145" s="9">
        <v>0.21199999999999999</v>
      </c>
      <c r="E145" s="9">
        <v>0.14199999999999999</v>
      </c>
      <c r="F145" s="9">
        <v>18.233904586410787</v>
      </c>
      <c r="G145" s="9">
        <v>10696.696362931558</v>
      </c>
      <c r="H145" s="9">
        <v>54794.151140158741</v>
      </c>
      <c r="I145" s="9">
        <v>1599.9006410343295</v>
      </c>
      <c r="J145" s="20">
        <v>70.98</v>
      </c>
      <c r="K145" s="9">
        <v>71.77</v>
      </c>
      <c r="L145" s="31">
        <f>Table1[[#This Row],[TN550 I (O2)]]/(Table1[[#This Row],[Flowmeter A]]+Table1[[#This Row],[Flowmeter B]])</f>
        <v>2.0956627051341378E-2</v>
      </c>
      <c r="M145" s="33">
        <f>Table1[[#This Row],[TN120 Venting2]]/100</f>
        <v>1.2199999999999999E-2</v>
      </c>
      <c r="N145" s="31">
        <f>Table1[[#This Row],[TN550 I Venting2]]/100</f>
        <v>3.0999999999999999E-3</v>
      </c>
      <c r="O145" s="31">
        <f>(Table1[[#This Row],[TN550 I (O2)]]-Table1[[#This Row],[O2]])/Table1[[#This Row],[TN550 I (O2)]]</f>
        <v>0.1045179672889172</v>
      </c>
      <c r="P145" s="9">
        <f>Table1[[#This Row],[M-N2]]+Table1[[#This Row],[TEN-N2]]</f>
        <v>64766.250884734451</v>
      </c>
      <c r="Q145" s="9">
        <v>1432.6822781691858</v>
      </c>
      <c r="R145" s="9">
        <f>SUM(Table1[[#This Row],[TEN-CDA]:[TEN-CDA WWT]])</f>
        <v>97516.100354500551</v>
      </c>
      <c r="S145" s="9">
        <v>428.90766124209131</v>
      </c>
      <c r="T145" s="9">
        <v>249.89367349639193</v>
      </c>
      <c r="U145" s="9">
        <v>37.32101722097827</v>
      </c>
      <c r="V145" s="42">
        <v>1.22</v>
      </c>
      <c r="W145" s="9">
        <v>0.31</v>
      </c>
      <c r="X145" s="9">
        <v>74693.139556948299</v>
      </c>
      <c r="Y145" s="9">
        <v>1650.2833190113204</v>
      </c>
      <c r="Z145" s="1">
        <v>62362.975179996531</v>
      </c>
      <c r="AA145" s="1">
        <v>2403.2757047379209</v>
      </c>
      <c r="AB145" s="1">
        <v>35739.649044717211</v>
      </c>
      <c r="AC145" s="1">
        <v>52056.945876344551</v>
      </c>
      <c r="AD145" s="1">
        <v>7006.0255403962092</v>
      </c>
      <c r="AE145" s="1">
        <v>2695.6187057124503</v>
      </c>
      <c r="AF145" s="1">
        <v>17.861187330132388</v>
      </c>
      <c r="AG145" s="1"/>
      <c r="AH145" s="1"/>
      <c r="AI145" s="1"/>
      <c r="AJ145" s="1"/>
      <c r="AK145" s="1"/>
      <c r="AL145" s="1"/>
      <c r="AM145" s="1"/>
      <c r="AN145" s="1"/>
      <c r="AO145" s="1"/>
      <c r="AP145" s="1"/>
      <c r="AQ145" s="1"/>
    </row>
    <row r="146" spans="1:43" x14ac:dyDescent="0.3">
      <c r="A146" s="9">
        <f t="shared" si="20"/>
        <v>2020</v>
      </c>
      <c r="B146" s="9">
        <f t="shared" si="21"/>
        <v>5</v>
      </c>
      <c r="C146" s="10">
        <v>43971</v>
      </c>
      <c r="D146" s="9">
        <v>0.21099999999999999</v>
      </c>
      <c r="E146" s="9">
        <v>0.14299999999999999</v>
      </c>
      <c r="F146" s="9">
        <v>20.084547938943157</v>
      </c>
      <c r="G146" s="9">
        <v>10468.958874587959</v>
      </c>
      <c r="H146" s="9">
        <v>54799.707844487333</v>
      </c>
      <c r="I146" s="9">
        <v>1599.983116176375</v>
      </c>
      <c r="J146" s="20">
        <v>70.959999999999994</v>
      </c>
      <c r="K146" s="9">
        <v>71.77</v>
      </c>
      <c r="L146" s="31">
        <f>Table1[[#This Row],[TN550 I (O2)]]/(Table1[[#This Row],[Flowmeter A]]+Table1[[#This Row],[Flowmeter B]])</f>
        <v>2.0955108282533615E-2</v>
      </c>
      <c r="M146" s="33">
        <f>Table1[[#This Row],[TN120 Venting2]]/100</f>
        <v>2.2799999999999997E-2</v>
      </c>
      <c r="N146" s="31">
        <f>Table1[[#This Row],[TN550 I Venting2]]/100</f>
        <v>9.4999999999999998E-3</v>
      </c>
      <c r="O146" s="31">
        <f>(Table1[[#This Row],[TN550 I (O2)]]-Table1[[#This Row],[O2]])/Table1[[#This Row],[TN550 I (O2)]]</f>
        <v>0.10359827140708978</v>
      </c>
      <c r="P146" s="9">
        <f>Table1[[#This Row],[M-N2]]+Table1[[#This Row],[TEN-N2]]</f>
        <v>64503.316045206506</v>
      </c>
      <c r="Q146" s="9">
        <v>1434.2276310599736</v>
      </c>
      <c r="R146" s="9">
        <f>SUM(Table1[[#This Row],[TEN-CDA]:[TEN-CDA WWT]])</f>
        <v>97404.601034710693</v>
      </c>
      <c r="S146" s="9">
        <v>428.7133754118708</v>
      </c>
      <c r="T146" s="9">
        <v>237.49150555602057</v>
      </c>
      <c r="U146" s="9">
        <v>36.858502464109122</v>
      </c>
      <c r="V146" s="42">
        <v>2.2799999999999998</v>
      </c>
      <c r="W146" s="9">
        <v>0.95</v>
      </c>
      <c r="X146" s="9">
        <v>74702.867442314368</v>
      </c>
      <c r="Y146" s="9">
        <v>1650.0243969506312</v>
      </c>
      <c r="Z146" s="1">
        <v>62128.409532768041</v>
      </c>
      <c r="AA146" s="1">
        <v>2374.9065124384651</v>
      </c>
      <c r="AB146" s="1">
        <v>35607.410893585184</v>
      </c>
      <c r="AC146" s="1">
        <v>51962.22617756766</v>
      </c>
      <c r="AD146" s="1">
        <v>7114.6138600039039</v>
      </c>
      <c r="AE146" s="1">
        <v>2693.8189120375391</v>
      </c>
      <c r="AF146" s="1">
        <v>26.53119151641684</v>
      </c>
      <c r="AG146" s="1"/>
      <c r="AH146" s="1"/>
      <c r="AI146" s="1"/>
      <c r="AJ146" s="1"/>
      <c r="AK146" s="1"/>
      <c r="AL146" s="1"/>
      <c r="AM146" s="1"/>
      <c r="AN146" s="1"/>
      <c r="AO146" s="1"/>
      <c r="AP146" s="1"/>
      <c r="AQ146" s="1"/>
    </row>
    <row r="147" spans="1:43" x14ac:dyDescent="0.3">
      <c r="A147" s="9">
        <f t="shared" si="20"/>
        <v>2020</v>
      </c>
      <c r="B147" s="9">
        <f t="shared" si="21"/>
        <v>5</v>
      </c>
      <c r="C147" s="10">
        <v>43972</v>
      </c>
      <c r="D147" s="9">
        <v>0.215</v>
      </c>
      <c r="E147" s="9">
        <v>0.14699999999999999</v>
      </c>
      <c r="F147" s="9">
        <v>21.112501738718365</v>
      </c>
      <c r="G147" s="9">
        <v>10541.991860171973</v>
      </c>
      <c r="H147" s="9">
        <v>54803.413742626646</v>
      </c>
      <c r="I147" s="9">
        <v>1600.1056058143761</v>
      </c>
      <c r="J147" s="20">
        <v>70.98</v>
      </c>
      <c r="K147" s="9">
        <v>71.790000000000006</v>
      </c>
      <c r="L147" s="31">
        <f>Table1[[#This Row],[TN550 I (O2)]]/(Table1[[#This Row],[Flowmeter A]]+Table1[[#This Row],[Flowmeter B]])</f>
        <v>2.0959694054055115E-2</v>
      </c>
      <c r="M147" s="33">
        <f>Table1[[#This Row],[TN120 Venting2]]/100</f>
        <v>1.8600000000000002E-2</v>
      </c>
      <c r="N147" s="31">
        <f>Table1[[#This Row],[TN550 I Venting2]]/100</f>
        <v>5.5000000000000005E-3</v>
      </c>
      <c r="O147" s="31">
        <f>(Table1[[#This Row],[TN550 I (O2)]]-Table1[[#This Row],[O2]])/Table1[[#This Row],[TN550 I (O2)]]</f>
        <v>0.10341206786457599</v>
      </c>
      <c r="P147" s="9">
        <f>Table1[[#This Row],[M-N2]]+Table1[[#This Row],[TEN-N2]]</f>
        <v>64575.265012022355</v>
      </c>
      <c r="Q147" s="9">
        <v>1434.6353763154113</v>
      </c>
      <c r="R147" s="9">
        <f>SUM(Table1[[#This Row],[TEN-CDA]:[TEN-CDA WWT]])</f>
        <v>97263.576776758651</v>
      </c>
      <c r="S147" s="9">
        <v>426.08457964778694</v>
      </c>
      <c r="T147" s="9">
        <v>239.28732942558676</v>
      </c>
      <c r="U147" s="9">
        <v>37.531787512287501</v>
      </c>
      <c r="V147" s="42">
        <v>1.86</v>
      </c>
      <c r="W147" s="9">
        <v>0.55000000000000004</v>
      </c>
      <c r="X147" s="9">
        <v>74691.932891655102</v>
      </c>
      <c r="Y147" s="9">
        <v>1650.0977547703146</v>
      </c>
      <c r="Z147" s="1">
        <v>62227.413411910129</v>
      </c>
      <c r="AA147" s="1">
        <v>2347.8516001122266</v>
      </c>
      <c r="AB147" s="1">
        <v>35601.79864243581</v>
      </c>
      <c r="AC147" s="1">
        <v>51950.573291659435</v>
      </c>
      <c r="AD147" s="1">
        <v>7051.8677903121743</v>
      </c>
      <c r="AE147" s="1">
        <v>2638.8842488804435</v>
      </c>
      <c r="AF147" s="1">
        <v>20.45280347078894</v>
      </c>
      <c r="AG147" s="1"/>
      <c r="AH147" s="1"/>
      <c r="AI147" s="1"/>
      <c r="AJ147" s="1"/>
      <c r="AK147" s="1"/>
      <c r="AL147" s="1"/>
      <c r="AM147" s="1"/>
      <c r="AN147" s="1"/>
      <c r="AO147" s="1"/>
      <c r="AP147" s="1"/>
      <c r="AQ147" s="1"/>
    </row>
    <row r="148" spans="1:43" x14ac:dyDescent="0.3">
      <c r="A148" s="9">
        <f t="shared" si="20"/>
        <v>2020</v>
      </c>
      <c r="B148" s="9">
        <f t="shared" si="21"/>
        <v>5</v>
      </c>
      <c r="C148" s="10">
        <v>43973</v>
      </c>
      <c r="D148" s="9">
        <v>0.21299999999999999</v>
      </c>
      <c r="E148" s="9">
        <v>0.14599999999999999</v>
      </c>
      <c r="F148" s="9">
        <v>21.472273868293417</v>
      </c>
      <c r="G148" s="9">
        <v>10451.519788097459</v>
      </c>
      <c r="H148" s="9">
        <v>54795.681343793374</v>
      </c>
      <c r="I148" s="9">
        <v>1600.0771022693389</v>
      </c>
      <c r="J148" s="20">
        <v>70.959999999999994</v>
      </c>
      <c r="K148" s="9">
        <v>71.760000000000005</v>
      </c>
      <c r="L148" s="31">
        <f>Table1[[#This Row],[TN550 I (O2)]]/(Table1[[#This Row],[Flowmeter A]]+Table1[[#This Row],[Flowmeter B]])</f>
        <v>2.0954308185614653E-2</v>
      </c>
      <c r="M148" s="33">
        <f>Table1[[#This Row],[TN120 Venting2]]/100</f>
        <v>3.1300000000000001E-2</v>
      </c>
      <c r="N148" s="31">
        <f>Table1[[#This Row],[TN550 I Venting2]]/100</f>
        <v>1.38E-2</v>
      </c>
      <c r="O148" s="31">
        <f>(Table1[[#This Row],[TN550 I (O2)]]-Table1[[#This Row],[O2]])/Table1[[#This Row],[TN550 I (O2)]]</f>
        <v>0.10548838999659108</v>
      </c>
      <c r="P148" s="9">
        <f>Table1[[#This Row],[M-N2]]+Table1[[#This Row],[TEN-N2]]</f>
        <v>64326.329190679753</v>
      </c>
      <c r="Q148" s="9">
        <v>1431.2875448805355</v>
      </c>
      <c r="R148" s="9">
        <f>SUM(Table1[[#This Row],[TEN-CDA]:[TEN-CDA WWT]])</f>
        <v>97131.323176965307</v>
      </c>
      <c r="S148" s="9">
        <v>433.36027078939594</v>
      </c>
      <c r="T148" s="9">
        <v>235.4439383406841</v>
      </c>
      <c r="U148" s="9">
        <v>37.092897527669557</v>
      </c>
      <c r="V148" s="42">
        <v>3.13</v>
      </c>
      <c r="W148" s="9">
        <v>1.38</v>
      </c>
      <c r="X148" s="9">
        <v>74709.784795714775</v>
      </c>
      <c r="Y148" s="9">
        <v>1650.5077081345421</v>
      </c>
      <c r="Z148" s="1">
        <v>61963.122947931122</v>
      </c>
      <c r="AA148" s="1">
        <v>2363.2062427486339</v>
      </c>
      <c r="AB148" s="1">
        <v>35493.249254532442</v>
      </c>
      <c r="AC148" s="1">
        <v>51900.339897965823</v>
      </c>
      <c r="AD148" s="1">
        <v>7129.4966369247704</v>
      </c>
      <c r="AE148" s="1">
        <v>2588.5475731981373</v>
      </c>
      <c r="AF148" s="1">
        <v>19.689814344136401</v>
      </c>
      <c r="AG148" s="1"/>
      <c r="AH148" s="1"/>
      <c r="AI148" s="1"/>
      <c r="AJ148" s="1"/>
      <c r="AK148" s="1"/>
      <c r="AL148" s="1"/>
      <c r="AM148" s="1"/>
      <c r="AN148" s="1"/>
      <c r="AO148" s="1"/>
      <c r="AP148" s="1"/>
      <c r="AQ148" s="1"/>
    </row>
    <row r="149" spans="1:43" x14ac:dyDescent="0.3">
      <c r="A149" s="9">
        <f t="shared" si="20"/>
        <v>2020</v>
      </c>
      <c r="B149" s="9">
        <f t="shared" si="21"/>
        <v>5</v>
      </c>
      <c r="C149" s="10">
        <v>43974</v>
      </c>
      <c r="D149" s="9">
        <v>0.215</v>
      </c>
      <c r="E149" s="9">
        <v>0.14299999999999999</v>
      </c>
      <c r="F149" s="9">
        <v>20.867010728093504</v>
      </c>
      <c r="G149" s="9">
        <v>10630.945177638139</v>
      </c>
      <c r="H149" s="9">
        <v>54803.150381137231</v>
      </c>
      <c r="I149" s="9">
        <v>1599.9763977347277</v>
      </c>
      <c r="J149" s="20">
        <v>70.989999999999995</v>
      </c>
      <c r="K149" s="9">
        <v>71.77</v>
      </c>
      <c r="L149" s="31">
        <f>Table1[[#This Row],[TN550 I (O2)]]/(Table1[[#This Row],[Flowmeter A]]+Table1[[#This Row],[Flowmeter B]])</f>
        <v>2.0953177165673333E-2</v>
      </c>
      <c r="M149" s="33">
        <f>Table1[[#This Row],[TN120 Venting2]]/100</f>
        <v>1.9E-2</v>
      </c>
      <c r="N149" s="31">
        <f>Table1[[#This Row],[TN550 I Venting2]]/100</f>
        <v>5.8999999999999999E-3</v>
      </c>
      <c r="O149" s="31">
        <f>(Table1[[#This Row],[TN550 I (O2)]]-Table1[[#This Row],[O2]])/Table1[[#This Row],[TN550 I (O2)]]</f>
        <v>0.10462805834184433</v>
      </c>
      <c r="P149" s="9">
        <f>Table1[[#This Row],[M-N2]]+Table1[[#This Row],[TEN-N2]]</f>
        <v>64340.302816122297</v>
      </c>
      <c r="Q149" s="9">
        <v>1432.5739738469647</v>
      </c>
      <c r="R149" s="9">
        <f>SUM(Table1[[#This Row],[TEN-CDA]:[TEN-CDA WWT]])</f>
        <v>97650.988388602331</v>
      </c>
      <c r="S149" s="9">
        <v>433.46391752773815</v>
      </c>
      <c r="T149" s="9">
        <v>243.52309756044048</v>
      </c>
      <c r="U149" s="9">
        <v>37.042209471703238</v>
      </c>
      <c r="V149" s="42">
        <v>1.9</v>
      </c>
      <c r="W149" s="9">
        <v>0.59</v>
      </c>
      <c r="X149" s="9">
        <v>74709.374474106517</v>
      </c>
      <c r="Y149" s="9">
        <v>1650.2336695166118</v>
      </c>
      <c r="Z149" s="1">
        <v>62008.618927827898</v>
      </c>
      <c r="AA149" s="1">
        <v>2331.6838882943975</v>
      </c>
      <c r="AB149" s="1">
        <v>35957.683919044932</v>
      </c>
      <c r="AC149" s="1">
        <v>52073.843573798578</v>
      </c>
      <c r="AD149" s="1">
        <v>7089.1817958177917</v>
      </c>
      <c r="AE149" s="1">
        <v>2514.5090919934073</v>
      </c>
      <c r="AF149" s="1">
        <v>15.770007947639488</v>
      </c>
      <c r="AG149" s="1"/>
      <c r="AH149" s="1"/>
      <c r="AI149" s="1"/>
      <c r="AJ149" s="1"/>
      <c r="AK149" s="1"/>
      <c r="AL149" s="1"/>
      <c r="AM149" s="1"/>
      <c r="AN149" s="1"/>
      <c r="AO149" s="1"/>
      <c r="AP149" s="1"/>
      <c r="AQ149" s="1"/>
    </row>
    <row r="150" spans="1:43" x14ac:dyDescent="0.3">
      <c r="A150" s="9">
        <f t="shared" si="20"/>
        <v>2020</v>
      </c>
      <c r="B150" s="9">
        <f t="shared" si="21"/>
        <v>5</v>
      </c>
      <c r="C150" s="10">
        <v>43975</v>
      </c>
      <c r="D150" s="9">
        <v>0.214</v>
      </c>
      <c r="E150" s="9">
        <v>0.14299999999999999</v>
      </c>
      <c r="F150" s="9">
        <v>19.116687557583138</v>
      </c>
      <c r="G150" s="9">
        <v>10943.626579713524</v>
      </c>
      <c r="H150" s="9">
        <v>54802.12296690666</v>
      </c>
      <c r="I150" s="9">
        <v>1600.1374917490296</v>
      </c>
      <c r="J150" s="20">
        <v>70.989999999999995</v>
      </c>
      <c r="K150" s="9">
        <v>71.8</v>
      </c>
      <c r="L150" s="31">
        <f>Table1[[#This Row],[TN550 I (O2)]]/(Table1[[#This Row],[Flowmeter A]]+Table1[[#This Row],[Flowmeter B]])</f>
        <v>2.0963321239160372E-2</v>
      </c>
      <c r="M150" s="33">
        <f>Table1[[#This Row],[TN120 Venting2]]/100</f>
        <v>1.26E-2</v>
      </c>
      <c r="N150" s="31">
        <f>Table1[[#This Row],[TN550 I Venting2]]/100</f>
        <v>2.3E-3</v>
      </c>
      <c r="O150" s="31">
        <f>(Table1[[#This Row],[TN550 I (O2)]]-Table1[[#This Row],[O2]])/Table1[[#This Row],[TN550 I (O2)]]</f>
        <v>0.10101812067736424</v>
      </c>
      <c r="P150" s="9">
        <f>Table1[[#This Row],[M-N2]]+Table1[[#This Row],[TEN-N2]]</f>
        <v>64836.131648493967</v>
      </c>
      <c r="Q150" s="9">
        <v>1438.4946095071512</v>
      </c>
      <c r="R150" s="9">
        <f>SUM(Table1[[#This Row],[TEN-CDA]:[TEN-CDA WWT]])</f>
        <v>97820.25765803596</v>
      </c>
      <c r="S150" s="9">
        <v>431.68971903666613</v>
      </c>
      <c r="T150" s="9">
        <v>254.88138808515816</v>
      </c>
      <c r="U150" s="9">
        <v>37.568915444558733</v>
      </c>
      <c r="V150" s="42">
        <v>1.26</v>
      </c>
      <c r="W150" s="9">
        <v>0.23</v>
      </c>
      <c r="X150" s="9">
        <v>74680.513196131156</v>
      </c>
      <c r="Y150" s="9">
        <v>1649.8293814516828</v>
      </c>
      <c r="Z150" s="1">
        <v>62494.369277519952</v>
      </c>
      <c r="AA150" s="1">
        <v>2341.7623709740155</v>
      </c>
      <c r="AB150" s="1">
        <v>35979.037919139795</v>
      </c>
      <c r="AC150" s="1">
        <v>52238.504345398163</v>
      </c>
      <c r="AD150" s="1">
        <v>7074.3451890912347</v>
      </c>
      <c r="AE150" s="1">
        <v>2508.6095491683291</v>
      </c>
      <c r="AF150" s="1">
        <v>19.76065523844294</v>
      </c>
      <c r="AG150" s="1"/>
      <c r="AH150" s="1"/>
      <c r="AI150" s="1"/>
      <c r="AJ150" s="1"/>
      <c r="AK150" s="1"/>
      <c r="AL150" s="1"/>
      <c r="AM150" s="1"/>
      <c r="AN150" s="1"/>
      <c r="AO150" s="1"/>
      <c r="AP150" s="1"/>
      <c r="AQ150" s="1"/>
    </row>
    <row r="151" spans="1:43" x14ac:dyDescent="0.3">
      <c r="A151" s="9">
        <f t="shared" si="20"/>
        <v>2020</v>
      </c>
      <c r="B151" s="9">
        <f t="shared" si="21"/>
        <v>5</v>
      </c>
      <c r="C151" s="10">
        <v>43976</v>
      </c>
      <c r="D151" s="9">
        <v>0.221</v>
      </c>
      <c r="E151" s="9">
        <v>0.14799999999999999</v>
      </c>
      <c r="F151" s="9">
        <v>18.720885871765432</v>
      </c>
      <c r="G151" s="9">
        <v>10772.078819640225</v>
      </c>
      <c r="H151" s="9">
        <v>54784.614894170714</v>
      </c>
      <c r="I151" s="9">
        <v>1599.9775810797623</v>
      </c>
      <c r="J151" s="20">
        <v>70.97</v>
      </c>
      <c r="K151" s="9">
        <v>71.760000000000005</v>
      </c>
      <c r="L151" s="31">
        <f>Table1[[#This Row],[TN550 I (O2)]]/(Table1[[#This Row],[Flowmeter A]]+Table1[[#This Row],[Flowmeter B]])</f>
        <v>2.0956620845848078E-2</v>
      </c>
      <c r="M151" s="33">
        <f>Table1[[#This Row],[TN120 Venting2]]/100</f>
        <v>1.24E-2</v>
      </c>
      <c r="N151" s="31">
        <f>Table1[[#This Row],[TN550 I Venting2]]/100</f>
        <v>2.7000000000000001E-3</v>
      </c>
      <c r="O151" s="31">
        <f>(Table1[[#This Row],[TN550 I (O2)]]-Table1[[#This Row],[O2]])/Table1[[#This Row],[TN550 I (O2)]]</f>
        <v>0.10688309332085213</v>
      </c>
      <c r="P151" s="9">
        <f>Table1[[#This Row],[M-N2]]+Table1[[#This Row],[TEN-N2]]</f>
        <v>64541.304476058292</v>
      </c>
      <c r="Q151" s="9">
        <v>1428.9670279699428</v>
      </c>
      <c r="R151" s="9">
        <f>SUM(Table1[[#This Row],[TEN-CDA]:[TEN-CDA WWT]])</f>
        <v>97882.108075670709</v>
      </c>
      <c r="S151" s="9">
        <v>425.03683016351494</v>
      </c>
      <c r="T151" s="9">
        <v>236.57526073151377</v>
      </c>
      <c r="U151" s="9">
        <v>36.502925265257261</v>
      </c>
      <c r="V151" s="42">
        <v>1.24</v>
      </c>
      <c r="W151" s="9">
        <v>0.27</v>
      </c>
      <c r="X151" s="9">
        <v>74697.713800095415</v>
      </c>
      <c r="Y151" s="9">
        <v>1649.4030776119828</v>
      </c>
      <c r="Z151" s="1">
        <v>62165.07843674098</v>
      </c>
      <c r="AA151" s="1">
        <v>2376.2260393173142</v>
      </c>
      <c r="AB151" s="1">
        <v>36136.215044348544</v>
      </c>
      <c r="AC151" s="1">
        <v>52175.349984819572</v>
      </c>
      <c r="AD151" s="1">
        <v>6989.0347997809677</v>
      </c>
      <c r="AE151" s="1">
        <v>2559.0533276994056</v>
      </c>
      <c r="AF151" s="1">
        <v>22.454919022199679</v>
      </c>
      <c r="AG151" s="1"/>
      <c r="AH151" s="1"/>
      <c r="AI151" s="1"/>
      <c r="AJ151" s="1"/>
      <c r="AK151" s="1"/>
      <c r="AL151" s="1"/>
      <c r="AM151" s="1"/>
      <c r="AN151" s="1"/>
      <c r="AO151" s="1"/>
      <c r="AP151" s="1"/>
      <c r="AQ151" s="1"/>
    </row>
    <row r="152" spans="1:43" x14ac:dyDescent="0.3">
      <c r="A152" s="9">
        <f t="shared" si="20"/>
        <v>2020</v>
      </c>
      <c r="B152" s="9">
        <f t="shared" si="21"/>
        <v>5</v>
      </c>
      <c r="C152" s="10">
        <v>43977</v>
      </c>
      <c r="D152" s="9">
        <v>0.20200000000000001</v>
      </c>
      <c r="E152" s="9">
        <v>0.14299999999999999</v>
      </c>
      <c r="F152" s="9">
        <v>18.902716465247828</v>
      </c>
      <c r="G152" s="9">
        <v>10851.65109881918</v>
      </c>
      <c r="H152" s="9">
        <v>54801.370052806211</v>
      </c>
      <c r="I152" s="9">
        <v>1599.968050700604</v>
      </c>
      <c r="J152" s="20">
        <v>70.989999999999995</v>
      </c>
      <c r="K152" s="9">
        <v>71.78</v>
      </c>
      <c r="L152" s="31">
        <f>Table1[[#This Row],[TN550 I (O2)]]/(Table1[[#This Row],[Flowmeter A]]+Table1[[#This Row],[Flowmeter B]])</f>
        <v>2.0956431044145268E-2</v>
      </c>
      <c r="M152" s="33">
        <f>Table1[[#This Row],[TN120 Venting2]]/100</f>
        <v>9.300000000000001E-3</v>
      </c>
      <c r="N152" s="31">
        <f>Table1[[#This Row],[TN550 I Venting2]]/100</f>
        <v>1.5E-3</v>
      </c>
      <c r="O152" s="31">
        <f>(Table1[[#This Row],[TN550 I (O2)]]-Table1[[#This Row],[O2]])/Table1[[#This Row],[TN550 I (O2)]]</f>
        <v>0.11021251796329891</v>
      </c>
      <c r="P152" s="9">
        <f>Table1[[#This Row],[M-N2]]+Table1[[#This Row],[TEN-N2]]</f>
        <v>64656.691062657228</v>
      </c>
      <c r="Q152" s="9">
        <v>1423.6315431720593</v>
      </c>
      <c r="R152" s="9">
        <f>SUM(Table1[[#This Row],[TEN-CDA]:[TEN-CDA WWT]])</f>
        <v>97276.898223440177</v>
      </c>
      <c r="S152" s="9">
        <v>425.20477055609848</v>
      </c>
      <c r="T152" s="9">
        <v>237.81258209673257</v>
      </c>
      <c r="U152" s="9">
        <v>36.929874739160475</v>
      </c>
      <c r="V152" s="42">
        <v>0.93</v>
      </c>
      <c r="W152" s="9">
        <v>0.15</v>
      </c>
      <c r="X152" s="9">
        <v>74696.73213588653</v>
      </c>
      <c r="Y152" s="9">
        <v>1650.6214440350398</v>
      </c>
      <c r="Z152" s="1">
        <v>62296.730718142782</v>
      </c>
      <c r="AA152" s="1">
        <v>2359.960344514443</v>
      </c>
      <c r="AB152" s="1">
        <v>35700.846721027061</v>
      </c>
      <c r="AC152" s="1">
        <v>51964.17731013619</v>
      </c>
      <c r="AD152" s="1">
        <v>7043.43183580196</v>
      </c>
      <c r="AE152" s="1">
        <v>2547.1284235597568</v>
      </c>
      <c r="AF152" s="1">
        <v>21.313932915204603</v>
      </c>
      <c r="AG152" s="1"/>
      <c r="AH152" s="1"/>
      <c r="AI152" s="1"/>
      <c r="AJ152" s="1"/>
      <c r="AK152" s="1"/>
      <c r="AL152" s="1"/>
      <c r="AM152" s="1"/>
      <c r="AN152" s="1"/>
      <c r="AO152" s="1"/>
      <c r="AP152" s="1"/>
      <c r="AQ152" s="1"/>
    </row>
    <row r="153" spans="1:43" x14ac:dyDescent="0.3">
      <c r="A153" s="9">
        <f t="shared" si="20"/>
        <v>2020</v>
      </c>
      <c r="B153" s="9">
        <f t="shared" si="21"/>
        <v>5</v>
      </c>
      <c r="C153" s="10">
        <v>43978</v>
      </c>
      <c r="D153" s="9">
        <v>0.215</v>
      </c>
      <c r="E153" s="9">
        <v>0.14699999999999999</v>
      </c>
      <c r="F153" s="9">
        <v>18.547544812924492</v>
      </c>
      <c r="G153" s="9">
        <v>10769.16141066859</v>
      </c>
      <c r="H153" s="9">
        <v>54797.824053391741</v>
      </c>
      <c r="I153" s="9">
        <v>1600.0869120294069</v>
      </c>
      <c r="J153" s="20">
        <v>70.959999999999994</v>
      </c>
      <c r="K153" s="9">
        <v>71.760000000000005</v>
      </c>
      <c r="L153" s="31">
        <f>Table1[[#This Row],[TN550 I (O2)]]/(Table1[[#This Row],[Flowmeter A]]+Table1[[#This Row],[Flowmeter B]])</f>
        <v>2.0954650325895784E-2</v>
      </c>
      <c r="M153" s="33">
        <f>Table1[[#This Row],[TN120 Venting2]]/100</f>
        <v>2.4900000000000002E-2</v>
      </c>
      <c r="N153" s="31">
        <f>Table1[[#This Row],[TN550 I Venting2]]/100</f>
        <v>7.4000000000000003E-3</v>
      </c>
      <c r="O153" s="31">
        <f>(Table1[[#This Row],[TN550 I (O2)]]-Table1[[#This Row],[O2]])/Table1[[#This Row],[TN550 I (O2)]]</f>
        <v>0.10875155581322958</v>
      </c>
      <c r="P153" s="9">
        <f>Table1[[#This Row],[M-N2]]+Table1[[#This Row],[TEN-N2]]</f>
        <v>64625.380064096651</v>
      </c>
      <c r="Q153" s="9">
        <v>1426.0749709098227</v>
      </c>
      <c r="R153" s="9">
        <f>SUM(Table1[[#This Row],[TEN-CDA]:[TEN-CDA WWT]])</f>
        <v>97367.849891641948</v>
      </c>
      <c r="S153" s="9">
        <v>418.53924729971322</v>
      </c>
      <c r="T153" s="9">
        <v>238.4223399006766</v>
      </c>
      <c r="U153" s="9">
        <v>36.408053116861275</v>
      </c>
      <c r="V153" s="42">
        <v>2.4900000000000002</v>
      </c>
      <c r="W153" s="9">
        <v>0.74</v>
      </c>
      <c r="X153" s="9">
        <v>74709.272862812286</v>
      </c>
      <c r="Y153" s="9">
        <v>1650.2409989875196</v>
      </c>
      <c r="Z153" s="1">
        <v>62235.323665748605</v>
      </c>
      <c r="AA153" s="1">
        <v>2390.0563983480438</v>
      </c>
      <c r="AB153" s="1">
        <v>35703.238820697436</v>
      </c>
      <c r="AC153" s="1">
        <v>52092.148562196395</v>
      </c>
      <c r="AD153" s="1">
        <v>7071.3944712737466</v>
      </c>
      <c r="AE153" s="1">
        <v>2479.6337229869664</v>
      </c>
      <c r="AF153" s="1">
        <v>21.434314487420544</v>
      </c>
      <c r="AG153" s="1"/>
      <c r="AH153" s="1"/>
      <c r="AI153" s="1"/>
      <c r="AJ153" s="1"/>
      <c r="AK153" s="1"/>
      <c r="AL153" s="1"/>
      <c r="AM153" s="1"/>
      <c r="AN153" s="1"/>
      <c r="AO153" s="1"/>
      <c r="AP153" s="1"/>
      <c r="AQ153" s="1"/>
    </row>
    <row r="154" spans="1:43" x14ac:dyDescent="0.3">
      <c r="A154" s="9">
        <f t="shared" si="20"/>
        <v>2020</v>
      </c>
      <c r="B154" s="9">
        <f t="shared" si="21"/>
        <v>5</v>
      </c>
      <c r="C154" s="10">
        <v>43979</v>
      </c>
      <c r="D154" s="9">
        <v>0.214</v>
      </c>
      <c r="E154" s="9">
        <v>0.14499999999999999</v>
      </c>
      <c r="F154" s="9">
        <v>18.798242469697591</v>
      </c>
      <c r="G154" s="9">
        <v>10476.352540417896</v>
      </c>
      <c r="H154" s="9">
        <v>54799.472680647123</v>
      </c>
      <c r="I154" s="9">
        <v>1599.8857545554845</v>
      </c>
      <c r="J154" s="20">
        <v>71.11</v>
      </c>
      <c r="K154" s="9">
        <v>71.78</v>
      </c>
      <c r="L154" s="31">
        <f>Table1[[#This Row],[TN550 I (O2)]]/(Table1[[#This Row],[Flowmeter A]]+Table1[[#This Row],[Flowmeter B]])</f>
        <v>2.0955630611433407E-2</v>
      </c>
      <c r="M154" s="33">
        <f>Table1[[#This Row],[TN120 Venting2]]/100</f>
        <v>3.9399999999999998E-2</v>
      </c>
      <c r="N154" s="31">
        <f>Table1[[#This Row],[TN550 I Venting2]]/100</f>
        <v>1.6399999999999998E-2</v>
      </c>
      <c r="O154" s="31">
        <f>(Table1[[#This Row],[TN550 I (O2)]]-Table1[[#This Row],[O2]])/Table1[[#This Row],[TN550 I (O2)]]</f>
        <v>0.1048585148818051</v>
      </c>
      <c r="P154" s="9">
        <f>Table1[[#This Row],[M-N2]]+Table1[[#This Row],[TEN-N2]]</f>
        <v>64486.973890453606</v>
      </c>
      <c r="Q154" s="9">
        <v>1432.1241103522402</v>
      </c>
      <c r="R154" s="9">
        <f>SUM(Table1[[#This Row],[TEN-CDA]:[TEN-CDA WWT]])</f>
        <v>97513.655770306461</v>
      </c>
      <c r="S154" s="9">
        <v>421.68593744070142</v>
      </c>
      <c r="T154" s="9">
        <v>243.16534731968835</v>
      </c>
      <c r="U154" s="9">
        <v>37.001837447813038</v>
      </c>
      <c r="V154" s="42">
        <v>3.94</v>
      </c>
      <c r="W154" s="9">
        <v>1.64</v>
      </c>
      <c r="X154" s="9">
        <v>74696.208497788</v>
      </c>
      <c r="Y154" s="9">
        <v>1650.1341258782963</v>
      </c>
      <c r="Z154" s="1">
        <v>62101.499479528109</v>
      </c>
      <c r="AA154" s="1">
        <v>2385.4744109254975</v>
      </c>
      <c r="AB154" s="1">
        <v>35931.765753207925</v>
      </c>
      <c r="AC154" s="1">
        <v>51974.035001734905</v>
      </c>
      <c r="AD154" s="1">
        <v>7094.5062263483478</v>
      </c>
      <c r="AE154" s="1">
        <v>2491.5002244873895</v>
      </c>
      <c r="AF154" s="1">
        <v>21.848564527905417</v>
      </c>
      <c r="AG154" s="1"/>
      <c r="AH154" s="1"/>
      <c r="AI154" s="1"/>
      <c r="AJ154" s="1"/>
      <c r="AK154" s="1"/>
      <c r="AL154" s="1"/>
      <c r="AM154" s="1"/>
      <c r="AN154" s="1"/>
      <c r="AO154" s="1"/>
      <c r="AP154" s="1"/>
      <c r="AQ154" s="1"/>
    </row>
    <row r="155" spans="1:43" x14ac:dyDescent="0.3">
      <c r="A155" s="9">
        <f t="shared" si="20"/>
        <v>2020</v>
      </c>
      <c r="B155" s="9">
        <f t="shared" si="21"/>
        <v>5</v>
      </c>
      <c r="C155" s="10">
        <v>43980</v>
      </c>
      <c r="D155" s="9">
        <v>0.21199999999999999</v>
      </c>
      <c r="E155" s="9">
        <v>0.155</v>
      </c>
      <c r="F155" s="9">
        <v>19.960092712656479</v>
      </c>
      <c r="G155" s="9">
        <v>10628.145688757808</v>
      </c>
      <c r="H155" s="9">
        <v>54797.586197735945</v>
      </c>
      <c r="I155" s="9">
        <v>1600.0642654027151</v>
      </c>
      <c r="J155" s="20">
        <v>70.97</v>
      </c>
      <c r="K155" s="9">
        <v>71.78</v>
      </c>
      <c r="L155" s="31">
        <f>Table1[[#This Row],[TN550 I (O2)]]/(Table1[[#This Row],[Flowmeter A]]+Table1[[#This Row],[Flowmeter B]])</f>
        <v>2.0959347976803374E-2</v>
      </c>
      <c r="M155" s="33">
        <f>Table1[[#This Row],[TN120 Venting2]]/100</f>
        <v>2.53E-2</v>
      </c>
      <c r="N155" s="31">
        <f>Table1[[#This Row],[TN550 I Venting2]]/100</f>
        <v>9.0000000000000011E-3</v>
      </c>
      <c r="O155" s="31">
        <f>(Table1[[#This Row],[TN550 I (O2)]]-Table1[[#This Row],[O2]])/Table1[[#This Row],[TN550 I (O2)]]</f>
        <v>0.10387124293623064</v>
      </c>
      <c r="P155" s="9">
        <f>Table1[[#This Row],[M-N2]]+Table1[[#This Row],[TEN-N2]]</f>
        <v>64402.023419541008</v>
      </c>
      <c r="Q155" s="9">
        <v>1433.8636013774883</v>
      </c>
      <c r="R155" s="9">
        <f>SUM(Table1[[#This Row],[TEN-CDA]:[TEN-CDA WWT]])</f>
        <v>97804.023796099544</v>
      </c>
      <c r="S155" s="9">
        <v>427.90771270476642</v>
      </c>
      <c r="T155" s="9">
        <v>250.07374042243617</v>
      </c>
      <c r="U155" s="9">
        <v>37.821399147356658</v>
      </c>
      <c r="V155" s="42">
        <v>2.5299999999999998</v>
      </c>
      <c r="W155" s="9">
        <v>0.9</v>
      </c>
      <c r="X155" s="9">
        <v>74691.174851448653</v>
      </c>
      <c r="Y155" s="9">
        <v>1650.1439325887245</v>
      </c>
      <c r="Z155" s="1">
        <v>62080.737524939279</v>
      </c>
      <c r="AA155" s="1">
        <v>2321.2858946017304</v>
      </c>
      <c r="AB155" s="1">
        <v>36154.007977858259</v>
      </c>
      <c r="AC155" s="1">
        <v>51972.913360405102</v>
      </c>
      <c r="AD155" s="1">
        <v>7122.7583092524719</v>
      </c>
      <c r="AE155" s="1">
        <v>2529.1393265310548</v>
      </c>
      <c r="AF155" s="1">
        <v>25.204822052650201</v>
      </c>
      <c r="AG155" s="1"/>
      <c r="AH155" s="1"/>
      <c r="AI155" s="1"/>
      <c r="AJ155" s="1"/>
      <c r="AK155" s="1"/>
      <c r="AL155" s="1"/>
      <c r="AM155" s="1"/>
      <c r="AN155" s="1"/>
      <c r="AO155" s="1"/>
      <c r="AP155" s="1"/>
      <c r="AQ155" s="1"/>
    </row>
    <row r="156" spans="1:43" x14ac:dyDescent="0.3">
      <c r="A156" s="9">
        <f t="shared" si="20"/>
        <v>2020</v>
      </c>
      <c r="B156" s="9">
        <f t="shared" si="21"/>
        <v>5</v>
      </c>
      <c r="C156" s="10">
        <v>43981</v>
      </c>
      <c r="D156" s="9">
        <v>0.214</v>
      </c>
      <c r="E156" s="9">
        <v>0.15</v>
      </c>
      <c r="F156" s="9">
        <v>20.300182265758849</v>
      </c>
      <c r="G156" s="9">
        <v>10516.182340686806</v>
      </c>
      <c r="H156" s="9">
        <v>54802.313023182687</v>
      </c>
      <c r="I156" s="9">
        <v>1600.0270741957083</v>
      </c>
      <c r="J156" s="20">
        <v>70.98</v>
      </c>
      <c r="K156" s="9">
        <v>71.78</v>
      </c>
      <c r="L156" s="31">
        <f>Table1[[#This Row],[TN550 I (O2)]]/(Table1[[#This Row],[Flowmeter A]]+Table1[[#This Row],[Flowmeter B]])</f>
        <v>2.0956615049474686E-2</v>
      </c>
      <c r="M156" s="33">
        <f>Table1[[#This Row],[TN120 Venting2]]/100</f>
        <v>3.7000000000000005E-2</v>
      </c>
      <c r="N156" s="31">
        <f>Table1[[#This Row],[TN550 I Venting2]]/100</f>
        <v>1.1699999999999999E-2</v>
      </c>
      <c r="O156" s="31">
        <f>(Table1[[#This Row],[TN550 I (O2)]]-Table1[[#This Row],[O2]])/Table1[[#This Row],[TN550 I (O2)]]</f>
        <v>0.10169394660072313</v>
      </c>
      <c r="P156" s="9">
        <f>Table1[[#This Row],[M-N2]]+Table1[[#This Row],[TEN-N2]]</f>
        <v>64160.454598358068</v>
      </c>
      <c r="Q156" s="9">
        <v>1437.3140063527387</v>
      </c>
      <c r="R156" s="9">
        <f>SUM(Table1[[#This Row],[TEN-CDA]:[TEN-CDA WWT]])</f>
        <v>97385.725341907993</v>
      </c>
      <c r="S156" s="9">
        <v>426.9423931685692</v>
      </c>
      <c r="T156" s="9">
        <v>241.84132391607324</v>
      </c>
      <c r="U156" s="9">
        <v>38.70128694728875</v>
      </c>
      <c r="V156" s="42">
        <v>3.7</v>
      </c>
      <c r="W156" s="9">
        <v>1.17</v>
      </c>
      <c r="X156" s="9">
        <v>74699.558162734218</v>
      </c>
      <c r="Y156" s="9">
        <v>1649.9415259483703</v>
      </c>
      <c r="Z156" s="1">
        <v>61873.894796907531</v>
      </c>
      <c r="AA156" s="1">
        <v>2286.5598014505408</v>
      </c>
      <c r="AB156" s="1">
        <v>35690.463655724423</v>
      </c>
      <c r="AC156" s="1">
        <v>52035.321404948823</v>
      </c>
      <c r="AD156" s="1">
        <v>7108.5911296815366</v>
      </c>
      <c r="AE156" s="1">
        <v>2523.9199437307534</v>
      </c>
      <c r="AF156" s="1">
        <v>27.429207822452831</v>
      </c>
      <c r="AG156" s="1"/>
      <c r="AH156" s="1"/>
      <c r="AI156" s="1"/>
      <c r="AJ156" s="1"/>
      <c r="AK156" s="1"/>
      <c r="AL156" s="1"/>
      <c r="AM156" s="1"/>
      <c r="AN156" s="1"/>
      <c r="AO156" s="1"/>
      <c r="AP156" s="1"/>
      <c r="AQ156" s="1"/>
    </row>
    <row r="157" spans="1:43" x14ac:dyDescent="0.3">
      <c r="A157" s="9">
        <f t="shared" si="20"/>
        <v>2020</v>
      </c>
      <c r="B157" s="9">
        <f t="shared" si="21"/>
        <v>5</v>
      </c>
      <c r="C157" s="10">
        <v>43982</v>
      </c>
      <c r="D157" s="9">
        <v>0.21299999999999999</v>
      </c>
      <c r="E157" s="9">
        <v>0.15</v>
      </c>
      <c r="F157" s="9">
        <v>21.119701155186693</v>
      </c>
      <c r="G157" s="9">
        <v>10509.316179898942</v>
      </c>
      <c r="H157" s="9">
        <v>54800.308314538517</v>
      </c>
      <c r="I157" s="9">
        <v>1599.8984998481958</v>
      </c>
      <c r="J157" s="20">
        <v>70.989999999999995</v>
      </c>
      <c r="K157" s="9">
        <v>71.77</v>
      </c>
      <c r="L157" s="31">
        <f>Table1[[#This Row],[TN550 I (O2)]]/(Table1[[#This Row],[Flowmeter A]]+Table1[[#This Row],[Flowmeter B]])</f>
        <v>2.0952073880026421E-2</v>
      </c>
      <c r="M157" s="33">
        <f>Table1[[#This Row],[TN120 Venting2]]/100</f>
        <v>1.6E-2</v>
      </c>
      <c r="N157" s="31">
        <f>Table1[[#This Row],[TN550 I Venting2]]/100</f>
        <v>5.0000000000000001E-3</v>
      </c>
      <c r="O157" s="31">
        <f>(Table1[[#This Row],[TN550 I (O2)]]-Table1[[#This Row],[O2]])/Table1[[#This Row],[TN550 I (O2)]]</f>
        <v>9.9061501143000538E-2</v>
      </c>
      <c r="P157" s="9">
        <f>Table1[[#This Row],[M-N2]]+Table1[[#This Row],[TEN-N2]]</f>
        <v>64204.389309927457</v>
      </c>
      <c r="Q157" s="9">
        <v>1441.4101527767989</v>
      </c>
      <c r="R157" s="9">
        <f>SUM(Table1[[#This Row],[TEN-CDA]:[TEN-CDA WWT]])</f>
        <v>97560.470234536362</v>
      </c>
      <c r="S157" s="9">
        <v>433.72853083084391</v>
      </c>
      <c r="T157" s="9">
        <v>243.72795319937737</v>
      </c>
      <c r="U157" s="9">
        <v>38.661579453721799</v>
      </c>
      <c r="V157" s="42">
        <v>1.6</v>
      </c>
      <c r="W157" s="9">
        <v>0.5</v>
      </c>
      <c r="X157" s="9">
        <v>74710.424748438585</v>
      </c>
      <c r="Y157" s="9">
        <v>1649.486399706828</v>
      </c>
      <c r="Z157" s="1">
        <v>61891.361118038687</v>
      </c>
      <c r="AA157" s="1">
        <v>2313.0281918887708</v>
      </c>
      <c r="AB157" s="1">
        <v>35823.544297037646</v>
      </c>
      <c r="AC157" s="1">
        <v>52135.580450858775</v>
      </c>
      <c r="AD157" s="1">
        <v>7052.0118339586224</v>
      </c>
      <c r="AE157" s="1">
        <v>2525.4950331529753</v>
      </c>
      <c r="AF157" s="1">
        <v>23.838619528351241</v>
      </c>
      <c r="AG157" s="1"/>
      <c r="AH157" s="1"/>
      <c r="AI157" s="1"/>
      <c r="AJ157" s="1"/>
      <c r="AK157" s="1"/>
      <c r="AL157" s="1"/>
      <c r="AM157" s="1"/>
      <c r="AN157" s="1"/>
      <c r="AO157" s="1"/>
      <c r="AP157" s="1"/>
      <c r="AQ157" s="1"/>
    </row>
    <row r="158" spans="1:43" x14ac:dyDescent="0.3">
      <c r="A158" s="9">
        <f t="shared" si="20"/>
        <v>2020</v>
      </c>
      <c r="B158" s="9">
        <f t="shared" si="21"/>
        <v>6</v>
      </c>
      <c r="C158" s="10">
        <v>43983</v>
      </c>
      <c r="D158" s="9">
        <v>0.21299999999999999</v>
      </c>
      <c r="E158" s="9">
        <v>0.14899999999999999</v>
      </c>
      <c r="F158" s="9">
        <v>20.947545425499751</v>
      </c>
      <c r="G158" s="9">
        <v>10466.418586810374</v>
      </c>
      <c r="H158" s="9">
        <v>54850.828889443095</v>
      </c>
      <c r="I158" s="9">
        <v>1599.9504054835238</v>
      </c>
      <c r="J158" s="20">
        <v>70.98</v>
      </c>
      <c r="K158" s="9">
        <v>71.84</v>
      </c>
      <c r="L158" s="31">
        <f>Table1[[#This Row],[TN550 I (O2)]]/(Table1[[#This Row],[Flowmeter A]]+Table1[[#This Row],[Flowmeter B]])</f>
        <v>2.0956337363941428E-2</v>
      </c>
      <c r="M158" s="33">
        <f>Table1[[#This Row],[TN120 Venting2]]/100</f>
        <v>1.47E-2</v>
      </c>
      <c r="N158" s="31">
        <f>Table1[[#This Row],[TN550 I Venting2]]/100</f>
        <v>4.8999999999999998E-3</v>
      </c>
      <c r="O158" s="31">
        <f>(Table1[[#This Row],[TN550 I (O2)]]-Table1[[#This Row],[O2]])/Table1[[#This Row],[TN550 I (O2)]]</f>
        <v>0.10369215660083669</v>
      </c>
      <c r="P158" s="9">
        <f>Table1[[#This Row],[M-N2]]+Table1[[#This Row],[TEN-N2]]</f>
        <v>64221.479000414271</v>
      </c>
      <c r="Q158" s="9">
        <v>1434.0480974845541</v>
      </c>
      <c r="R158" s="9">
        <f>SUM(Table1[[#This Row],[TEN-CDA]:[TEN-CDA WWT]])</f>
        <v>98283.37092708319</v>
      </c>
      <c r="S158" s="9">
        <v>430.75890025337014</v>
      </c>
      <c r="T158" s="9">
        <v>233.55825751584959</v>
      </c>
      <c r="U158" s="9">
        <v>37.817368913641232</v>
      </c>
      <c r="V158" s="42">
        <v>1.47</v>
      </c>
      <c r="W158" s="9">
        <v>0.49</v>
      </c>
      <c r="X158" s="9">
        <v>74696.524185678354</v>
      </c>
      <c r="Y158" s="9">
        <v>1650.3286874044445</v>
      </c>
      <c r="Z158" s="1">
        <v>61860.388719379778</v>
      </c>
      <c r="AA158" s="1">
        <v>2361.0902810344919</v>
      </c>
      <c r="AB158" s="1">
        <v>36443.606525958538</v>
      </c>
      <c r="AC158" s="1">
        <v>52097.991462712824</v>
      </c>
      <c r="AD158" s="1">
        <v>7172.8367552608152</v>
      </c>
      <c r="AE158" s="1">
        <v>2541.873919605629</v>
      </c>
      <c r="AF158" s="1">
        <v>27.062263545385672</v>
      </c>
      <c r="AG158" s="1"/>
      <c r="AH158" s="1"/>
      <c r="AI158" s="1"/>
      <c r="AJ158" s="1"/>
      <c r="AK158" s="1"/>
      <c r="AL158" s="1"/>
      <c r="AM158" s="1"/>
      <c r="AN158" s="1"/>
      <c r="AO158" s="1"/>
      <c r="AP158" s="1"/>
      <c r="AQ158" s="1"/>
    </row>
    <row r="159" spans="1:43" x14ac:dyDescent="0.3">
      <c r="A159" s="9">
        <f t="shared" si="20"/>
        <v>2020</v>
      </c>
      <c r="B159" s="9">
        <f t="shared" si="21"/>
        <v>6</v>
      </c>
      <c r="C159" s="10">
        <v>43984</v>
      </c>
      <c r="D159" s="9">
        <v>0.215</v>
      </c>
      <c r="E159" s="9">
        <v>0.14799999999999999</v>
      </c>
      <c r="F159" s="9">
        <v>20.083964198931152</v>
      </c>
      <c r="G159" s="9">
        <v>10459.044374295194</v>
      </c>
      <c r="H159" s="9">
        <v>54853.512396447783</v>
      </c>
      <c r="I159" s="9">
        <v>1600.0060001667136</v>
      </c>
      <c r="J159" s="20">
        <v>70.97</v>
      </c>
      <c r="K159" s="9">
        <v>71.83</v>
      </c>
      <c r="L159" s="31">
        <f>Table1[[#This Row],[TN550 I (O2)]]/(Table1[[#This Row],[Flowmeter A]]+Table1[[#This Row],[Flowmeter B]])</f>
        <v>2.0952792276831118E-2</v>
      </c>
      <c r="M159" s="33">
        <f>Table1[[#This Row],[TN120 Venting2]]/100</f>
        <v>9.5999999999999992E-3</v>
      </c>
      <c r="N159" s="31">
        <f>Table1[[#This Row],[TN550 I Venting2]]/100</f>
        <v>3.5999999999999999E-3</v>
      </c>
      <c r="O159" s="31">
        <f>(Table1[[#This Row],[TN550 I (O2)]]-Table1[[#This Row],[O2]])/Table1[[#This Row],[TN550 I (O2)]]</f>
        <v>0.10706462818346338</v>
      </c>
      <c r="P159" s="9">
        <f>Table1[[#This Row],[M-N2]]+Table1[[#This Row],[TEN-N2]]</f>
        <v>64257.514764832093</v>
      </c>
      <c r="Q159" s="9">
        <v>1428.701952667554</v>
      </c>
      <c r="R159" s="9">
        <f>SUM(Table1[[#This Row],[TEN-CDA]:[TEN-CDA WWT]])</f>
        <v>97457.796884917814</v>
      </c>
      <c r="S159" s="9">
        <v>429.51340522210194</v>
      </c>
      <c r="T159" s="9">
        <v>243.01791026044603</v>
      </c>
      <c r="U159" s="9">
        <v>37.592772468603954</v>
      </c>
      <c r="V159" s="42">
        <v>0.96</v>
      </c>
      <c r="W159" s="9">
        <v>0.36</v>
      </c>
      <c r="X159" s="9">
        <v>74712.526083232122</v>
      </c>
      <c r="Y159" s="9">
        <v>1649.8975511560168</v>
      </c>
      <c r="Z159" s="1">
        <v>61865.956218012667</v>
      </c>
      <c r="AA159" s="1">
        <v>2391.558546819429</v>
      </c>
      <c r="AB159" s="1">
        <v>35829.195377558986</v>
      </c>
      <c r="AC159" s="1">
        <v>51982.519604441361</v>
      </c>
      <c r="AD159" s="1">
        <v>7079.4944523659788</v>
      </c>
      <c r="AE159" s="1">
        <v>2543.122491162821</v>
      </c>
      <c r="AF159" s="1">
        <v>23.464959388656968</v>
      </c>
      <c r="AG159" s="1"/>
      <c r="AH159" s="1"/>
      <c r="AI159" s="1"/>
      <c r="AJ159" s="1"/>
      <c r="AK159" s="1"/>
      <c r="AL159" s="1"/>
      <c r="AM159" s="1"/>
      <c r="AN159" s="1"/>
      <c r="AO159" s="1"/>
      <c r="AP159" s="1"/>
      <c r="AQ159" s="1"/>
    </row>
    <row r="160" spans="1:43" x14ac:dyDescent="0.3">
      <c r="A160" s="9">
        <f t="shared" si="20"/>
        <v>2020</v>
      </c>
      <c r="B160" s="9">
        <f t="shared" si="21"/>
        <v>6</v>
      </c>
      <c r="C160" s="10">
        <v>43985</v>
      </c>
      <c r="D160" s="9">
        <v>0.215</v>
      </c>
      <c r="E160" s="9">
        <v>0.14799999999999999</v>
      </c>
      <c r="F160" s="9">
        <v>18.869155931439689</v>
      </c>
      <c r="G160" s="9">
        <v>10829.996626420454</v>
      </c>
      <c r="H160" s="9">
        <v>54857.564283700558</v>
      </c>
      <c r="I160" s="9">
        <v>1599.8854030844736</v>
      </c>
      <c r="J160" s="20">
        <v>71.03</v>
      </c>
      <c r="K160" s="9">
        <v>71.849999999999994</v>
      </c>
      <c r="L160" s="31">
        <f>Table1[[#This Row],[TN550 I (O2)]]/(Table1[[#This Row],[Flowmeter A]]+Table1[[#This Row],[Flowmeter B]])</f>
        <v>2.0953730122520248E-2</v>
      </c>
      <c r="M160" s="33">
        <f>Table1[[#This Row],[TN120 Venting2]]/100</f>
        <v>3.2000000000000002E-3</v>
      </c>
      <c r="N160" s="31">
        <f>Table1[[#This Row],[TN550 I Venting2]]/100</f>
        <v>2.0000000000000001E-4</v>
      </c>
      <c r="O160" s="31">
        <f>(Table1[[#This Row],[TN550 I (O2)]]-Table1[[#This Row],[O2]])/Table1[[#This Row],[TN550 I (O2)]]</f>
        <v>0.10739569705132747</v>
      </c>
      <c r="P160" s="9">
        <f>Table1[[#This Row],[M-N2]]+Table1[[#This Row],[TEN-N2]]</f>
        <v>64400.635862140007</v>
      </c>
      <c r="Q160" s="9">
        <v>1428.0645950179726</v>
      </c>
      <c r="R160" s="9">
        <f>SUM(Table1[[#This Row],[TEN-CDA]:[TEN-CDA WWT]])</f>
        <v>96382.311315401472</v>
      </c>
      <c r="S160" s="9">
        <v>431.91218563717825</v>
      </c>
      <c r="T160" s="9">
        <v>246.43017750726153</v>
      </c>
      <c r="U160" s="9">
        <v>38.527744371306973</v>
      </c>
      <c r="V160" s="42">
        <v>0.32</v>
      </c>
      <c r="W160" s="9">
        <v>0.02</v>
      </c>
      <c r="X160" s="9">
        <v>74703.139269604435</v>
      </c>
      <c r="Y160" s="9">
        <v>1650.1111411651252</v>
      </c>
      <c r="Z160" s="1">
        <v>62302.851079979184</v>
      </c>
      <c r="AA160" s="1">
        <v>2097.7847821608257</v>
      </c>
      <c r="AB160" s="1">
        <v>34942.560315102361</v>
      </c>
      <c r="AC160" s="1">
        <v>51826.192547493061</v>
      </c>
      <c r="AD160" s="1">
        <v>7078.6195014990672</v>
      </c>
      <c r="AE160" s="1">
        <v>2526.2350835330285</v>
      </c>
      <c r="AF160" s="1">
        <v>8.7038677739474526</v>
      </c>
      <c r="AG160" s="1"/>
      <c r="AH160" s="1"/>
      <c r="AI160" s="1"/>
      <c r="AJ160" s="1"/>
      <c r="AK160" s="1"/>
      <c r="AL160" s="1"/>
      <c r="AM160" s="1"/>
      <c r="AN160" s="1"/>
      <c r="AO160" s="1"/>
      <c r="AP160" s="1"/>
      <c r="AQ160" s="1"/>
    </row>
    <row r="161" spans="1:43" x14ac:dyDescent="0.3">
      <c r="A161" s="9">
        <f t="shared" si="20"/>
        <v>2020</v>
      </c>
      <c r="B161" s="9">
        <f t="shared" si="21"/>
        <v>6</v>
      </c>
      <c r="C161" s="10">
        <v>43986</v>
      </c>
      <c r="D161" s="9">
        <v>0.21199999999999999</v>
      </c>
      <c r="E161" s="9">
        <v>0.14599999999999999</v>
      </c>
      <c r="F161" s="9">
        <v>19.985517025324803</v>
      </c>
      <c r="G161" s="9">
        <v>10467.41925366499</v>
      </c>
      <c r="H161" s="9">
        <v>54843.149139594898</v>
      </c>
      <c r="I161" s="9">
        <v>1599.9854242455867</v>
      </c>
      <c r="J161" s="20">
        <v>70.989999999999995</v>
      </c>
      <c r="K161" s="9">
        <v>71.84</v>
      </c>
      <c r="L161" s="31">
        <f>Table1[[#This Row],[TN550 I (O2)]]/(Table1[[#This Row],[Flowmeter A]]+Table1[[#This Row],[Flowmeter B]])</f>
        <v>2.0957224228414981E-2</v>
      </c>
      <c r="M161" s="33">
        <f>Table1[[#This Row],[TN120 Venting2]]/100</f>
        <v>2.07E-2</v>
      </c>
      <c r="N161" s="31">
        <f>Table1[[#This Row],[TN550 I Venting2]]/100</f>
        <v>6.7000000000000002E-3</v>
      </c>
      <c r="O161" s="31">
        <f>(Table1[[#This Row],[TN550 I (O2)]]-Table1[[#This Row],[O2]])/Table1[[#This Row],[TN550 I (O2)]]</f>
        <v>0.10596727629013601</v>
      </c>
      <c r="P161" s="9">
        <f>Table1[[#This Row],[M-N2]]+Table1[[#This Row],[TEN-N2]]</f>
        <v>63870.586200192607</v>
      </c>
      <c r="Q161" s="9">
        <v>1430.4393267343642</v>
      </c>
      <c r="R161" s="9">
        <f>SUM(Table1[[#This Row],[TEN-CDA]:[TEN-CDA WWT]])</f>
        <v>95399.4011159613</v>
      </c>
      <c r="S161" s="9">
        <v>429.34065349295599</v>
      </c>
      <c r="T161" s="9">
        <v>239.95523253420345</v>
      </c>
      <c r="U161" s="9">
        <v>36.458320926081214</v>
      </c>
      <c r="V161" s="42">
        <v>2.0699999999999998</v>
      </c>
      <c r="W161" s="9">
        <v>0.67</v>
      </c>
      <c r="X161" s="9">
        <v>74695.271442357742</v>
      </c>
      <c r="Y161" s="9">
        <v>1650.0215605312881</v>
      </c>
      <c r="Z161" s="1">
        <v>61760.420508761279</v>
      </c>
      <c r="AA161" s="1">
        <v>2110.1656914313248</v>
      </c>
      <c r="AB161" s="1">
        <v>33859.169889345503</v>
      </c>
      <c r="AC161" s="1">
        <v>51887.399193810721</v>
      </c>
      <c r="AD161" s="1">
        <v>7101.5451987145425</v>
      </c>
      <c r="AE161" s="1">
        <v>2540.5433623229856</v>
      </c>
      <c r="AF161" s="1">
        <v>10.743471767538788</v>
      </c>
      <c r="AG161" s="1"/>
      <c r="AH161" s="1"/>
      <c r="AI161" s="1"/>
      <c r="AJ161" s="1"/>
      <c r="AK161" s="1"/>
      <c r="AL161" s="1"/>
      <c r="AM161" s="1"/>
      <c r="AN161" s="1"/>
      <c r="AO161" s="1"/>
      <c r="AP161" s="1"/>
      <c r="AQ161" s="1"/>
    </row>
    <row r="162" spans="1:43" x14ac:dyDescent="0.3">
      <c r="A162" s="9">
        <f t="shared" si="20"/>
        <v>2020</v>
      </c>
      <c r="B162" s="9">
        <f t="shared" si="21"/>
        <v>6</v>
      </c>
      <c r="C162" s="10">
        <v>43987</v>
      </c>
      <c r="D162" s="9">
        <v>0.217</v>
      </c>
      <c r="E162" s="9">
        <v>0.15</v>
      </c>
      <c r="F162" s="9">
        <v>21.296147725716139</v>
      </c>
      <c r="G162" s="9">
        <v>10499.958719395168</v>
      </c>
      <c r="H162" s="9">
        <v>54854.620950078061</v>
      </c>
      <c r="I162" s="9">
        <v>1599.998593777108</v>
      </c>
      <c r="J162" s="20">
        <v>71</v>
      </c>
      <c r="K162" s="9">
        <v>71.86</v>
      </c>
      <c r="L162" s="31">
        <f>Table1[[#This Row],[TN550 I (O2)]]/(Table1[[#This Row],[Flowmeter A]]+Table1[[#This Row],[Flowmeter B]])</f>
        <v>2.095950872401324E-2</v>
      </c>
      <c r="M162" s="33">
        <f>Table1[[#This Row],[TN120 Venting2]]/100</f>
        <v>2.2700000000000001E-2</v>
      </c>
      <c r="N162" s="31">
        <f>Table1[[#This Row],[TN550 I Venting2]]/100</f>
        <v>8.5000000000000006E-3</v>
      </c>
      <c r="O162" s="31">
        <f>(Table1[[#This Row],[TN550 I (O2)]]-Table1[[#This Row],[O2]])/Table1[[#This Row],[TN550 I (O2)]]</f>
        <v>0.10812460486346215</v>
      </c>
      <c r="P162" s="9">
        <f>Table1[[#This Row],[M-N2]]+Table1[[#This Row],[TEN-N2]]</f>
        <v>63826.2412621884</v>
      </c>
      <c r="Q162" s="9">
        <v>1426.9993780428631</v>
      </c>
      <c r="R162" s="9">
        <f>SUM(Table1[[#This Row],[TEN-CDA]:[TEN-CDA WWT]])</f>
        <v>95336.000058471545</v>
      </c>
      <c r="S162" s="9">
        <v>432.02883726883726</v>
      </c>
      <c r="T162" s="9">
        <v>240.62099290009925</v>
      </c>
      <c r="U162" s="9">
        <v>36.63625951312963</v>
      </c>
      <c r="V162" s="42">
        <v>2.27</v>
      </c>
      <c r="W162" s="9">
        <v>0.85</v>
      </c>
      <c r="X162" s="9">
        <v>74687.919559984381</v>
      </c>
      <c r="Y162" s="9">
        <v>1649.6804689702517</v>
      </c>
      <c r="Z162" s="1">
        <v>61669.297064755381</v>
      </c>
      <c r="AA162" s="1">
        <v>2156.9441974330161</v>
      </c>
      <c r="AB162" s="1">
        <v>33752.225211170626</v>
      </c>
      <c r="AC162" s="1">
        <v>51865.24169684681</v>
      </c>
      <c r="AD162" s="1">
        <v>7195.5974688665638</v>
      </c>
      <c r="AE162" s="1">
        <v>2509.2213672688235</v>
      </c>
      <c r="AF162" s="1">
        <v>13.714314318728023</v>
      </c>
      <c r="AG162" s="1"/>
      <c r="AH162" s="1"/>
      <c r="AI162" s="1"/>
      <c r="AJ162" s="1"/>
      <c r="AK162" s="1"/>
      <c r="AL162" s="1"/>
      <c r="AM162" s="1"/>
      <c r="AN162" s="1"/>
      <c r="AO162" s="1"/>
      <c r="AP162" s="1"/>
      <c r="AQ162" s="1"/>
    </row>
    <row r="163" spans="1:43" x14ac:dyDescent="0.3">
      <c r="A163" s="9">
        <f t="shared" si="20"/>
        <v>2020</v>
      </c>
      <c r="B163" s="9">
        <f t="shared" si="21"/>
        <v>6</v>
      </c>
      <c r="C163" s="10">
        <v>43988</v>
      </c>
      <c r="D163" s="9">
        <v>0.20300000000000001</v>
      </c>
      <c r="E163" s="9">
        <v>0.161</v>
      </c>
      <c r="F163" s="9">
        <v>22.642872718371592</v>
      </c>
      <c r="G163" s="9">
        <v>10562.275314722849</v>
      </c>
      <c r="H163" s="9">
        <v>54851.934458492367</v>
      </c>
      <c r="I163" s="9">
        <v>1599.8980454518346</v>
      </c>
      <c r="J163" s="20">
        <v>70.95</v>
      </c>
      <c r="K163" s="9">
        <v>71.84</v>
      </c>
      <c r="L163" s="31">
        <f>Table1[[#This Row],[TN550 I (O2)]]/(Table1[[#This Row],[Flowmeter A]]+Table1[[#This Row],[Flowmeter B]])</f>
        <v>2.0952590490252217E-2</v>
      </c>
      <c r="M163" s="33">
        <f>Table1[[#This Row],[TN120 Venting2]]/100</f>
        <v>2.98E-2</v>
      </c>
      <c r="N163" s="31">
        <f>Table1[[#This Row],[TN550 I Venting2]]/100</f>
        <v>1.2E-2</v>
      </c>
      <c r="O163" s="31">
        <f>(Table1[[#This Row],[TN550 I (O2)]]-Table1[[#This Row],[O2]])/Table1[[#This Row],[TN550 I (O2)]]</f>
        <v>0.10872032876392497</v>
      </c>
      <c r="P163" s="9">
        <f>Table1[[#This Row],[M-N2]]+Table1[[#This Row],[TEN-N2]]</f>
        <v>63889.249721720349</v>
      </c>
      <c r="Q163" s="9">
        <v>1425.9566039615502</v>
      </c>
      <c r="R163" s="9">
        <f>SUM(Table1[[#This Row],[TEN-CDA]:[TEN-CDA WWT]])</f>
        <v>97180.029483112725</v>
      </c>
      <c r="S163" s="9">
        <v>429.16921884826615</v>
      </c>
      <c r="T163" s="9">
        <v>235.55788884900829</v>
      </c>
      <c r="U163" s="9">
        <v>37.414714486296191</v>
      </c>
      <c r="V163" s="42">
        <v>2.98</v>
      </c>
      <c r="W163" s="9">
        <v>1.2</v>
      </c>
      <c r="X163" s="9">
        <v>74708.08433271166</v>
      </c>
      <c r="Y163" s="9">
        <v>1649.9223870853846</v>
      </c>
      <c r="Z163" s="1">
        <v>61685.441934854265</v>
      </c>
      <c r="AA163" s="1">
        <v>2203.8077868660816</v>
      </c>
      <c r="AB163" s="1">
        <v>35382.200042830496</v>
      </c>
      <c r="AC163" s="1">
        <v>52081.231783483694</v>
      </c>
      <c r="AD163" s="1">
        <v>7197.9520044267219</v>
      </c>
      <c r="AE163" s="1">
        <v>2507.8322681053737</v>
      </c>
      <c r="AF163" s="1">
        <v>10.813384266444828</v>
      </c>
      <c r="AG163" s="1"/>
      <c r="AH163" s="1"/>
      <c r="AI163" s="1"/>
      <c r="AJ163" s="1"/>
      <c r="AK163" s="1"/>
      <c r="AL163" s="1"/>
      <c r="AM163" s="1"/>
      <c r="AN163" s="1"/>
      <c r="AO163" s="1"/>
      <c r="AP163" s="1"/>
      <c r="AQ163" s="1"/>
    </row>
    <row r="164" spans="1:43" x14ac:dyDescent="0.3">
      <c r="A164" s="9">
        <f t="shared" si="20"/>
        <v>2020</v>
      </c>
      <c r="B164" s="9">
        <f t="shared" si="21"/>
        <v>6</v>
      </c>
      <c r="C164" s="10">
        <v>43989</v>
      </c>
      <c r="D164" s="9">
        <v>0.21099999999999999</v>
      </c>
      <c r="E164" s="9">
        <v>0.157</v>
      </c>
      <c r="F164" s="9">
        <v>21.868832418109541</v>
      </c>
      <c r="G164" s="9">
        <v>10525.574714824774</v>
      </c>
      <c r="H164" s="9">
        <v>54851.333194179395</v>
      </c>
      <c r="I164" s="9">
        <v>1600.0637669559983</v>
      </c>
      <c r="J164" s="20">
        <v>71.02</v>
      </c>
      <c r="K164" s="9">
        <v>71.849999999999994</v>
      </c>
      <c r="L164" s="31">
        <f>Table1[[#This Row],[TN550 I (O2)]]/(Table1[[#This Row],[Flowmeter A]]+Table1[[#This Row],[Flowmeter B]])</f>
        <v>2.0958854180940008E-2</v>
      </c>
      <c r="M164" s="33">
        <f>Table1[[#This Row],[TN120 Venting2]]/100</f>
        <v>3.7999999999999999E-2</v>
      </c>
      <c r="N164" s="31">
        <f>Table1[[#This Row],[TN550 I Venting2]]/100</f>
        <v>1.6200000000000003E-2</v>
      </c>
      <c r="O164" s="31">
        <f>(Table1[[#This Row],[TN550 I (O2)]]-Table1[[#This Row],[O2]])/Table1[[#This Row],[TN550 I (O2)]]</f>
        <v>0.11211510538892182</v>
      </c>
      <c r="P164" s="9">
        <f>Table1[[#This Row],[M-N2]]+Table1[[#This Row],[TEN-N2]]</f>
        <v>63841.254490086641</v>
      </c>
      <c r="Q164" s="9">
        <v>1420.6724490947313</v>
      </c>
      <c r="R164" s="9">
        <f>SUM(Table1[[#This Row],[TEN-CDA]:[TEN-CDA WWT]])</f>
        <v>97383.602259908395</v>
      </c>
      <c r="S164" s="9">
        <v>435.16915520820913</v>
      </c>
      <c r="T164" s="9">
        <v>239.91077471275781</v>
      </c>
      <c r="U164" s="9">
        <v>37.478469223880175</v>
      </c>
      <c r="V164" s="42">
        <v>3.8</v>
      </c>
      <c r="W164" s="9">
        <v>1.62</v>
      </c>
      <c r="X164" s="9">
        <v>74692.657507807075</v>
      </c>
      <c r="Y164" s="9">
        <v>1650.4361147010268</v>
      </c>
      <c r="Z164" s="1">
        <v>61609.649944699864</v>
      </c>
      <c r="AA164" s="1">
        <v>2231.6045453867755</v>
      </c>
      <c r="AB164" s="1">
        <v>35693.224361337612</v>
      </c>
      <c r="AC164" s="1">
        <v>52055.461281770469</v>
      </c>
      <c r="AD164" s="1">
        <v>7074.464165374523</v>
      </c>
      <c r="AE164" s="1">
        <v>2556.5897166816662</v>
      </c>
      <c r="AF164" s="1">
        <v>3.8627347441242801</v>
      </c>
      <c r="AG164" s="1"/>
      <c r="AH164" s="1"/>
      <c r="AI164" s="1"/>
      <c r="AJ164" s="1"/>
      <c r="AK164" s="1"/>
      <c r="AL164" s="1"/>
      <c r="AM164" s="1"/>
      <c r="AN164" s="1"/>
      <c r="AO164" s="1"/>
      <c r="AP164" s="1"/>
      <c r="AQ164" s="1"/>
    </row>
    <row r="165" spans="1:43" x14ac:dyDescent="0.3">
      <c r="A165" s="9">
        <f t="shared" si="20"/>
        <v>2020</v>
      </c>
      <c r="B165" s="9">
        <f t="shared" si="21"/>
        <v>6</v>
      </c>
      <c r="C165" s="10">
        <v>43990</v>
      </c>
      <c r="D165" s="9">
        <v>0.21299999999999999</v>
      </c>
      <c r="E165" s="9">
        <v>0.158</v>
      </c>
      <c r="F165" s="9">
        <v>20.926733467001455</v>
      </c>
      <c r="G165" s="9">
        <v>10648.41748961767</v>
      </c>
      <c r="H165" s="9">
        <v>54847.894273724851</v>
      </c>
      <c r="I165" s="9">
        <v>1599.9820851439158</v>
      </c>
      <c r="J165" s="20">
        <v>70.92</v>
      </c>
      <c r="K165" s="9">
        <v>71.84</v>
      </c>
      <c r="L165" s="31">
        <f>Table1[[#This Row],[TN550 I (O2)]]/(Table1[[#This Row],[Flowmeter A]]+Table1[[#This Row],[Flowmeter B]])</f>
        <v>2.0955203169223686E-2</v>
      </c>
      <c r="M165" s="33">
        <f>Table1[[#This Row],[TN120 Venting2]]/100</f>
        <v>2.7200000000000002E-2</v>
      </c>
      <c r="N165" s="31">
        <f>Table1[[#This Row],[TN550 I Venting2]]/100</f>
        <v>9.7000000000000003E-3</v>
      </c>
      <c r="O165" s="31">
        <f>(Table1[[#This Row],[TN550 I (O2)]]-Table1[[#This Row],[O2]])/Table1[[#This Row],[TN550 I (O2)]]</f>
        <v>0.11031504567193522</v>
      </c>
      <c r="P165" s="9">
        <f>Table1[[#This Row],[M-N2]]+Table1[[#This Row],[TEN-N2]]</f>
        <v>64746.401936453636</v>
      </c>
      <c r="Q165" s="9">
        <v>1423.4799883469866</v>
      </c>
      <c r="R165" s="9">
        <f>SUM(Table1[[#This Row],[TEN-CDA]:[TEN-CDA WWT]])</f>
        <v>98029.10076505506</v>
      </c>
      <c r="S165" s="9">
        <v>432.62909251099904</v>
      </c>
      <c r="T165" s="9">
        <v>237.19540228436671</v>
      </c>
      <c r="U165" s="9">
        <v>39.158126382344633</v>
      </c>
      <c r="V165" s="42">
        <v>2.72</v>
      </c>
      <c r="W165" s="9">
        <v>0.97</v>
      </c>
      <c r="X165" s="9">
        <v>74702.560222935455</v>
      </c>
      <c r="Y165" s="9">
        <v>1649.9366831200391</v>
      </c>
      <c r="Z165" s="1">
        <v>62484.675374631333</v>
      </c>
      <c r="AA165" s="1">
        <v>2261.7265618223023</v>
      </c>
      <c r="AB165" s="1">
        <v>35757.079968337959</v>
      </c>
      <c r="AC165" s="1">
        <v>52396.643701747918</v>
      </c>
      <c r="AD165" s="1">
        <v>7214.0690164029966</v>
      </c>
      <c r="AE165" s="1">
        <v>2659.0850339594358</v>
      </c>
      <c r="AF165" s="1">
        <v>2.2230446067619951</v>
      </c>
      <c r="AG165" s="1"/>
      <c r="AH165" s="1"/>
      <c r="AI165" s="1"/>
      <c r="AJ165" s="1"/>
      <c r="AK165" s="1"/>
      <c r="AL165" s="1"/>
      <c r="AM165" s="1"/>
      <c r="AN165" s="1"/>
      <c r="AO165" s="1"/>
      <c r="AP165" s="1"/>
      <c r="AQ165" s="1"/>
    </row>
    <row r="166" spans="1:43" x14ac:dyDescent="0.3">
      <c r="A166" s="9">
        <f t="shared" si="20"/>
        <v>2020</v>
      </c>
      <c r="B166" s="9">
        <f t="shared" si="21"/>
        <v>6</v>
      </c>
      <c r="C166" s="10">
        <v>43991</v>
      </c>
      <c r="D166" s="9">
        <v>0.218</v>
      </c>
      <c r="E166" s="9">
        <v>0.157</v>
      </c>
      <c r="F166" s="9">
        <v>20.791610623795815</v>
      </c>
      <c r="G166" s="9">
        <v>10463.127285874609</v>
      </c>
      <c r="H166" s="9">
        <v>54843.434504575816</v>
      </c>
      <c r="I166" s="9">
        <v>1600.0798511809562</v>
      </c>
      <c r="J166" s="20">
        <v>70.94</v>
      </c>
      <c r="K166" s="9">
        <v>71.84</v>
      </c>
      <c r="L166" s="31">
        <f>Table1[[#This Row],[TN550 I (O2)]]/(Table1[[#This Row],[Flowmeter A]]+Table1[[#This Row],[Flowmeter B]])</f>
        <v>2.0960284097692839E-2</v>
      </c>
      <c r="M166" s="33">
        <f>Table1[[#This Row],[TN120 Venting2]]/100</f>
        <v>3.0200000000000001E-2</v>
      </c>
      <c r="N166" s="31">
        <f>Table1[[#This Row],[TN550 I Venting2]]/100</f>
        <v>1.47E-2</v>
      </c>
      <c r="O166" s="31">
        <f>(Table1[[#This Row],[TN550 I (O2)]]-Table1[[#This Row],[O2]])/Table1[[#This Row],[TN550 I (O2)]]</f>
        <v>0.11035598228476021</v>
      </c>
      <c r="P166" s="9">
        <f>Table1[[#This Row],[M-N2]]+Table1[[#This Row],[TEN-N2]]</f>
        <v>64739.086559457137</v>
      </c>
      <c r="Q166" s="9">
        <v>1423.5014674698289</v>
      </c>
      <c r="R166" s="9">
        <f>SUM(Table1[[#This Row],[TEN-CDA]:[TEN-CDA WWT]])</f>
        <v>97667.301441498392</v>
      </c>
      <c r="S166" s="9">
        <v>432.98502736882477</v>
      </c>
      <c r="T166" s="9">
        <v>238.14738872033041</v>
      </c>
      <c r="U166" s="9">
        <v>37.15336531454453</v>
      </c>
      <c r="V166" s="42">
        <v>3.02</v>
      </c>
      <c r="W166" s="9">
        <v>1.47</v>
      </c>
      <c r="X166" s="9">
        <v>74688.671734038857</v>
      </c>
      <c r="Y166" s="9">
        <v>1649.9811068871716</v>
      </c>
      <c r="Z166" s="1">
        <v>62489.568818854095</v>
      </c>
      <c r="AA166" s="1">
        <v>2249.5177406030425</v>
      </c>
      <c r="AB166" s="1">
        <v>35256.942265570782</v>
      </c>
      <c r="AC166" s="1">
        <v>52560.762526565755</v>
      </c>
      <c r="AD166" s="1">
        <v>7154.2889882920936</v>
      </c>
      <c r="AE166" s="1">
        <v>2690.4529647244754</v>
      </c>
      <c r="AF166" s="1">
        <v>4.854696345279649</v>
      </c>
      <c r="AG166" s="1"/>
      <c r="AH166" s="1"/>
      <c r="AI166" s="1"/>
      <c r="AJ166" s="1"/>
      <c r="AK166" s="1"/>
      <c r="AL166" s="1"/>
      <c r="AM166" s="1"/>
      <c r="AN166" s="1"/>
      <c r="AO166" s="1"/>
      <c r="AP166" s="1"/>
      <c r="AQ166" s="1"/>
    </row>
    <row r="167" spans="1:43" x14ac:dyDescent="0.3">
      <c r="A167" s="9">
        <f t="shared" si="20"/>
        <v>2020</v>
      </c>
      <c r="B167" s="9">
        <f t="shared" si="21"/>
        <v>6</v>
      </c>
      <c r="C167" s="10">
        <v>43992</v>
      </c>
      <c r="D167" s="9">
        <v>0.214</v>
      </c>
      <c r="E167" s="9">
        <v>0.155</v>
      </c>
      <c r="F167" s="9">
        <v>22.6886915952112</v>
      </c>
      <c r="G167" s="9">
        <v>10427.705512529275</v>
      </c>
      <c r="H167" s="9">
        <v>54853.269975819741</v>
      </c>
      <c r="I167" s="9">
        <v>1599.9474378449479</v>
      </c>
      <c r="J167" s="20">
        <v>71</v>
      </c>
      <c r="K167" s="9">
        <v>71.84</v>
      </c>
      <c r="L167" s="31">
        <f>Table1[[#This Row],[TN550 I (O2)]]/(Table1[[#This Row],[Flowmeter A]]+Table1[[#This Row],[Flowmeter B]])</f>
        <v>2.0955516031479802E-2</v>
      </c>
      <c r="M167" s="33">
        <f>Table1[[#This Row],[TN120 Venting2]]/100</f>
        <v>3.6400000000000002E-2</v>
      </c>
      <c r="N167" s="31">
        <f>Table1[[#This Row],[TN550 I Venting2]]/100</f>
        <v>1.5900000000000001E-2</v>
      </c>
      <c r="O167" s="31">
        <f>(Table1[[#This Row],[TN550 I (O2)]]-Table1[[#This Row],[O2]])/Table1[[#This Row],[TN550 I (O2)]]</f>
        <v>0.10692528749927675</v>
      </c>
      <c r="P167" s="9">
        <f>Table1[[#This Row],[M-N2]]+Table1[[#This Row],[TEN-N2]]</f>
        <v>64519.705447639717</v>
      </c>
      <c r="Q167" s="9">
        <v>1428.8725980696456</v>
      </c>
      <c r="R167" s="9">
        <f>SUM(Table1[[#This Row],[TEN-CDA]:[TEN-CDA WWT]])</f>
        <v>97739.53008568837</v>
      </c>
      <c r="S167" s="9">
        <v>430.51214286174149</v>
      </c>
      <c r="T167" s="9">
        <v>238.81335889722305</v>
      </c>
      <c r="U167" s="9">
        <v>38.214029838937925</v>
      </c>
      <c r="V167" s="42">
        <v>3.64</v>
      </c>
      <c r="W167" s="9">
        <v>1.59</v>
      </c>
      <c r="X167" s="9">
        <v>74699.799520732122</v>
      </c>
      <c r="Y167" s="9">
        <v>1649.9040819600918</v>
      </c>
      <c r="Z167" s="1">
        <v>62269.485524375435</v>
      </c>
      <c r="AA167" s="1">
        <v>2250.2199232642806</v>
      </c>
      <c r="AB167" s="1">
        <v>35680.624365674877</v>
      </c>
      <c r="AC167" s="1">
        <v>52256.017202680428</v>
      </c>
      <c r="AD167" s="1">
        <v>7125.397491095051</v>
      </c>
      <c r="AE167" s="1">
        <v>2675.1376341502755</v>
      </c>
      <c r="AF167" s="1">
        <v>2.353392087743281</v>
      </c>
      <c r="AG167" s="1"/>
      <c r="AH167" s="1"/>
      <c r="AI167" s="1"/>
      <c r="AJ167" s="1"/>
      <c r="AK167" s="1"/>
      <c r="AL167" s="1"/>
      <c r="AM167" s="1"/>
      <c r="AN167" s="1"/>
      <c r="AO167" s="1"/>
      <c r="AP167" s="1"/>
      <c r="AQ167" s="1"/>
    </row>
    <row r="168" spans="1:43" x14ac:dyDescent="0.3">
      <c r="A168" s="9">
        <f t="shared" si="20"/>
        <v>2020</v>
      </c>
      <c r="B168" s="9">
        <f t="shared" si="21"/>
        <v>6</v>
      </c>
      <c r="C168" s="10">
        <v>43993</v>
      </c>
      <c r="D168" s="9">
        <v>0.216</v>
      </c>
      <c r="E168" s="9">
        <v>0.159</v>
      </c>
      <c r="F168" s="9">
        <v>23.951739469391864</v>
      </c>
      <c r="G168" s="9">
        <v>10448.20764456649</v>
      </c>
      <c r="H168" s="9">
        <v>54855.611925854442</v>
      </c>
      <c r="I168" s="9">
        <v>1600.0137045739179</v>
      </c>
      <c r="J168" s="20">
        <v>71.06</v>
      </c>
      <c r="K168" s="9">
        <v>71.849999999999994</v>
      </c>
      <c r="L168" s="31">
        <f>Table1[[#This Row],[TN550 I (O2)]]/(Table1[[#This Row],[Flowmeter A]]+Table1[[#This Row],[Flowmeter B]])</f>
        <v>2.0955691253304851E-2</v>
      </c>
      <c r="M168" s="33">
        <f>Table1[[#This Row],[TN120 Venting2]]/100</f>
        <v>3.7100000000000001E-2</v>
      </c>
      <c r="N168" s="31">
        <f>Table1[[#This Row],[TN550 I Venting2]]/100</f>
        <v>1.67E-2</v>
      </c>
      <c r="O168" s="31">
        <f>(Table1[[#This Row],[TN550 I (O2)]]-Table1[[#This Row],[O2]])/Table1[[#This Row],[TN550 I (O2)]]</f>
        <v>0.11018828736618266</v>
      </c>
      <c r="P168" s="9">
        <f>Table1[[#This Row],[M-N2]]+Table1[[#This Row],[TEN-N2]]</f>
        <v>64233.445871092394</v>
      </c>
      <c r="Q168" s="9">
        <v>1423.7109347044966</v>
      </c>
      <c r="R168" s="9">
        <f>SUM(Table1[[#This Row],[TEN-CDA]:[TEN-CDA WWT]])</f>
        <v>97332.961178164755</v>
      </c>
      <c r="S168" s="9">
        <v>432.1913690401563</v>
      </c>
      <c r="T168" s="9">
        <v>236.8022587052821</v>
      </c>
      <c r="U168" s="9">
        <v>37.68025150603507</v>
      </c>
      <c r="V168" s="42">
        <v>3.71</v>
      </c>
      <c r="W168" s="9">
        <v>1.67</v>
      </c>
      <c r="X168" s="9">
        <v>74701.98890202117</v>
      </c>
      <c r="Y168" s="9">
        <v>1650.2385303039341</v>
      </c>
      <c r="Z168" s="1">
        <v>61974.180462786258</v>
      </c>
      <c r="AA168" s="1">
        <v>2259.2654083061352</v>
      </c>
      <c r="AB168" s="1">
        <v>35370.71243656749</v>
      </c>
      <c r="AC168" s="1">
        <v>52088.872804259197</v>
      </c>
      <c r="AD168" s="1">
        <v>7196.9779117962789</v>
      </c>
      <c r="AE168" s="1">
        <v>2672.8473804270038</v>
      </c>
      <c r="AF168" s="1">
        <v>3.5506451147906404</v>
      </c>
      <c r="AG168" s="1"/>
      <c r="AH168" s="1"/>
      <c r="AI168" s="1"/>
      <c r="AJ168" s="1"/>
      <c r="AK168" s="1"/>
      <c r="AL168" s="1"/>
      <c r="AM168" s="1"/>
      <c r="AN168" s="1"/>
      <c r="AO168" s="1"/>
      <c r="AP168" s="1"/>
      <c r="AQ168" s="1"/>
    </row>
    <row r="169" spans="1:43" x14ac:dyDescent="0.3">
      <c r="A169" s="9">
        <f t="shared" si="20"/>
        <v>2020</v>
      </c>
      <c r="B169" s="9">
        <f t="shared" si="21"/>
        <v>6</v>
      </c>
      <c r="C169" s="10">
        <v>43994</v>
      </c>
      <c r="D169" s="9">
        <v>0.215</v>
      </c>
      <c r="E169" s="9">
        <v>0.157</v>
      </c>
      <c r="F169" s="9">
        <v>23.565423602779894</v>
      </c>
      <c r="G169" s="9">
        <v>10881.248179026066</v>
      </c>
      <c r="H169" s="9">
        <v>54813.92225993234</v>
      </c>
      <c r="I169" s="9">
        <v>1599.9071764128644</v>
      </c>
      <c r="J169" s="20">
        <v>71.03</v>
      </c>
      <c r="K169" s="9">
        <v>71.8</v>
      </c>
      <c r="L169" s="31">
        <f>Table1[[#This Row],[TN550 I (O2)]]/(Table1[[#This Row],[Flowmeter A]]+Table1[[#This Row],[Flowmeter B]])</f>
        <v>2.0955816866056839E-2</v>
      </c>
      <c r="M169" s="33">
        <f>Table1[[#This Row],[TN120 Venting2]]/100</f>
        <v>0.01</v>
      </c>
      <c r="N169" s="31">
        <f>Table1[[#This Row],[TN550 I Venting2]]/100</f>
        <v>1.6000000000000001E-3</v>
      </c>
      <c r="O169" s="31">
        <f>(Table1[[#This Row],[TN550 I (O2)]]-Table1[[#This Row],[O2]])/Table1[[#This Row],[TN550 I (O2)]]</f>
        <v>0.10950479977881673</v>
      </c>
      <c r="P169" s="9">
        <f>Table1[[#This Row],[M-N2]]+Table1[[#This Row],[TEN-N2]]</f>
        <v>64218.88835886334</v>
      </c>
      <c r="Q169" s="9">
        <v>1424.7096613950816</v>
      </c>
      <c r="R169" s="9">
        <f>SUM(Table1[[#This Row],[TEN-CDA]:[TEN-CDA WWT]])</f>
        <v>97397.365906882798</v>
      </c>
      <c r="S169" s="9">
        <v>431.33224171751658</v>
      </c>
      <c r="T169" s="9">
        <v>244.95114531771827</v>
      </c>
      <c r="U169" s="9">
        <v>37.567160980309325</v>
      </c>
      <c r="V169" s="42">
        <v>1</v>
      </c>
      <c r="W169" s="9">
        <v>0.16</v>
      </c>
      <c r="X169" s="9">
        <v>74697.044278062109</v>
      </c>
      <c r="Y169" s="9">
        <v>1649.6420209727132</v>
      </c>
      <c r="Z169" s="1">
        <v>61962.149391698476</v>
      </c>
      <c r="AA169" s="1">
        <v>2256.7389671648648</v>
      </c>
      <c r="AB169" s="1">
        <v>35541.147022467034</v>
      </c>
      <c r="AC169" s="1">
        <v>52044.273188107218</v>
      </c>
      <c r="AD169" s="1">
        <v>7183.6594965112117</v>
      </c>
      <c r="AE169" s="1">
        <v>2623.7211312605723</v>
      </c>
      <c r="AF169" s="1">
        <v>4.565068536752797</v>
      </c>
      <c r="AG169" s="1"/>
      <c r="AH169" s="1"/>
      <c r="AI169" s="1"/>
      <c r="AJ169" s="1"/>
      <c r="AK169" s="1"/>
      <c r="AL169" s="1"/>
      <c r="AM169" s="1"/>
      <c r="AN169" s="1"/>
      <c r="AO169" s="1"/>
      <c r="AP169" s="1"/>
      <c r="AQ169" s="1"/>
    </row>
    <row r="170" spans="1:43" x14ac:dyDescent="0.3">
      <c r="A170" s="9">
        <f t="shared" si="20"/>
        <v>2020</v>
      </c>
      <c r="B170" s="9">
        <f t="shared" si="21"/>
        <v>6</v>
      </c>
      <c r="C170" s="10">
        <v>43995</v>
      </c>
      <c r="D170" s="9">
        <v>0.217</v>
      </c>
      <c r="E170" s="9">
        <v>0.17</v>
      </c>
      <c r="F170" s="9">
        <v>23.169228222203039</v>
      </c>
      <c r="G170" s="9">
        <v>10931.828008435979</v>
      </c>
      <c r="H170" s="9">
        <v>54852.043947345592</v>
      </c>
      <c r="I170" s="9">
        <v>1600.0241882197151</v>
      </c>
      <c r="J170" s="20">
        <v>71.02</v>
      </c>
      <c r="K170" s="9">
        <v>71.84</v>
      </c>
      <c r="L170" s="31">
        <f>Table1[[#This Row],[TN550 I (O2)]]/(Table1[[#This Row],[Flowmeter A]]+Table1[[#This Row],[Flowmeter B]])</f>
        <v>2.0955112039707721E-2</v>
      </c>
      <c r="M170" s="33">
        <f>Table1[[#This Row],[TN120 Venting2]]/100</f>
        <v>9.0000000000000011E-3</v>
      </c>
      <c r="N170" s="31">
        <f>Table1[[#This Row],[TN550 I Venting2]]/100</f>
        <v>1.6000000000000001E-3</v>
      </c>
      <c r="O170" s="31">
        <f>(Table1[[#This Row],[TN550 I (O2)]]-Table1[[#This Row],[O2]])/Table1[[#This Row],[TN550 I (O2)]]</f>
        <v>0.10814017287519076</v>
      </c>
      <c r="P170" s="9">
        <f>Table1[[#This Row],[M-N2]]+Table1[[#This Row],[TEN-N2]]</f>
        <v>64151.149733597005</v>
      </c>
      <c r="Q170" s="9">
        <v>1426.9972959011484</v>
      </c>
      <c r="R170" s="9">
        <f>SUM(Table1[[#This Row],[TEN-CDA]:[TEN-CDA WWT]])</f>
        <v>97691.431429597127</v>
      </c>
      <c r="S170" s="9">
        <v>430.91562376743718</v>
      </c>
      <c r="T170" s="9">
        <v>243.77719913564732</v>
      </c>
      <c r="U170" s="9">
        <v>37.972655308900151</v>
      </c>
      <c r="V170" s="42">
        <v>0.9</v>
      </c>
      <c r="W170" s="9">
        <v>0.16</v>
      </c>
      <c r="X170" s="9">
        <v>74705.225109515959</v>
      </c>
      <c r="Y170" s="9">
        <v>1649.6130410908495</v>
      </c>
      <c r="Z170" s="1">
        <v>61916.491032702987</v>
      </c>
      <c r="AA170" s="1">
        <v>2234.6587008940187</v>
      </c>
      <c r="AB170" s="1">
        <v>35639.058013640701</v>
      </c>
      <c r="AC170" s="1">
        <v>52313.152023876646</v>
      </c>
      <c r="AD170" s="1">
        <v>7130.2626258484779</v>
      </c>
      <c r="AE170" s="1">
        <v>2605.8852327281943</v>
      </c>
      <c r="AF170" s="1">
        <v>3.0735335031021478</v>
      </c>
      <c r="AG170" s="1"/>
      <c r="AH170" s="1"/>
      <c r="AI170" s="1"/>
      <c r="AJ170" s="1"/>
      <c r="AK170" s="1"/>
      <c r="AL170" s="1"/>
      <c r="AM170" s="1"/>
      <c r="AN170" s="1"/>
      <c r="AO170" s="1"/>
      <c r="AP170" s="1"/>
      <c r="AQ170" s="1"/>
    </row>
    <row r="171" spans="1:43" x14ac:dyDescent="0.3">
      <c r="A171" s="9">
        <f t="shared" si="20"/>
        <v>2020</v>
      </c>
      <c r="B171" s="9">
        <f t="shared" si="21"/>
        <v>6</v>
      </c>
      <c r="C171" s="10">
        <v>43996</v>
      </c>
      <c r="D171" s="9">
        <v>0.217</v>
      </c>
      <c r="E171" s="9">
        <v>0.155</v>
      </c>
      <c r="F171" s="9">
        <v>21.816326234011417</v>
      </c>
      <c r="G171" s="9">
        <v>11078.441535690275</v>
      </c>
      <c r="H171" s="9">
        <v>54850.122183488027</v>
      </c>
      <c r="I171" s="9">
        <v>1600.0491330042885</v>
      </c>
      <c r="J171" s="20">
        <v>71.180000000000007</v>
      </c>
      <c r="K171" s="9">
        <v>71.83</v>
      </c>
      <c r="L171" s="31">
        <f>Table1[[#This Row],[TN550 I (O2)]]/(Table1[[#This Row],[Flowmeter A]]+Table1[[#This Row],[Flowmeter B]])</f>
        <v>2.0954914455960566E-2</v>
      </c>
      <c r="M171" s="33">
        <f>Table1[[#This Row],[TN120 Venting2]]/100</f>
        <v>1.2E-2</v>
      </c>
      <c r="N171" s="31">
        <f>Table1[[#This Row],[TN550 I Venting2]]/100</f>
        <v>8.9999999999999998E-4</v>
      </c>
      <c r="O171" s="31">
        <f>(Table1[[#This Row],[TN550 I (O2)]]-Table1[[#This Row],[O2]])/Table1[[#This Row],[TN550 I (O2)]]</f>
        <v>0.1066250357054561</v>
      </c>
      <c r="P171" s="9">
        <f>Table1[[#This Row],[M-N2]]+Table1[[#This Row],[TEN-N2]]</f>
        <v>64258.591565441209</v>
      </c>
      <c r="Q171" s="9">
        <v>1429.4438370672221</v>
      </c>
      <c r="R171" s="9">
        <f>SUM(Table1[[#This Row],[TEN-CDA]:[TEN-CDA WWT]])</f>
        <v>97545.479731595406</v>
      </c>
      <c r="S171" s="9">
        <v>431.20052168751494</v>
      </c>
      <c r="T171" s="9">
        <v>244.09446682423703</v>
      </c>
      <c r="U171" s="9">
        <v>38.562304362416846</v>
      </c>
      <c r="V171" s="42">
        <v>1.2</v>
      </c>
      <c r="W171" s="9">
        <v>0.09</v>
      </c>
      <c r="X171" s="9">
        <v>74706.541767869538</v>
      </c>
      <c r="Y171" s="9">
        <v>1650.2067345877972</v>
      </c>
      <c r="Z171" s="1">
        <v>62044.02167006419</v>
      </c>
      <c r="AA171" s="1">
        <v>2214.569895377017</v>
      </c>
      <c r="AB171" s="1">
        <v>35616.614129727619</v>
      </c>
      <c r="AC171" s="1">
        <v>52331.290615783313</v>
      </c>
      <c r="AD171" s="1">
        <v>7010.081960091733</v>
      </c>
      <c r="AE171" s="1">
        <v>2582.4328465881981</v>
      </c>
      <c r="AF171" s="1">
        <v>5.060179404547279</v>
      </c>
      <c r="AG171" s="1"/>
      <c r="AH171" s="1"/>
      <c r="AI171" s="1"/>
      <c r="AJ171" s="1"/>
      <c r="AK171" s="1"/>
      <c r="AL171" s="1"/>
      <c r="AM171" s="1"/>
      <c r="AN171" s="1"/>
      <c r="AO171" s="1"/>
      <c r="AP171" s="1"/>
      <c r="AQ171" s="1"/>
    </row>
    <row r="172" spans="1:43" x14ac:dyDescent="0.3">
      <c r="A172" s="9">
        <f t="shared" si="20"/>
        <v>2020</v>
      </c>
      <c r="B172" s="9">
        <f t="shared" si="21"/>
        <v>6</v>
      </c>
      <c r="C172" s="10">
        <v>43997</v>
      </c>
      <c r="D172" s="9">
        <v>0.214</v>
      </c>
      <c r="E172" s="9">
        <v>0.153</v>
      </c>
      <c r="F172" s="9">
        <v>22.006266821970861</v>
      </c>
      <c r="G172" s="9">
        <v>10802.646075045541</v>
      </c>
      <c r="H172" s="9">
        <v>54855.983989128486</v>
      </c>
      <c r="I172" s="9">
        <v>1599.8575345082377</v>
      </c>
      <c r="J172" s="20">
        <v>71.02</v>
      </c>
      <c r="K172" s="9">
        <v>71.849999999999994</v>
      </c>
      <c r="L172" s="31">
        <f>Table1[[#This Row],[TN550 I (O2)]]/(Table1[[#This Row],[Flowmeter A]]+Table1[[#This Row],[Flowmeter B]])</f>
        <v>2.0954213703494189E-2</v>
      </c>
      <c r="M172" s="33">
        <f>Table1[[#This Row],[TN120 Venting2]]/100</f>
        <v>3.39E-2</v>
      </c>
      <c r="N172" s="31">
        <f>Table1[[#This Row],[TN550 I Venting2]]/100</f>
        <v>7.0999999999999995E-3</v>
      </c>
      <c r="O172" s="31">
        <f>(Table1[[#This Row],[TN550 I (O2)]]-Table1[[#This Row],[O2]])/Table1[[#This Row],[TN550 I (O2)]]</f>
        <v>0.10425979870463813</v>
      </c>
      <c r="P172" s="9">
        <f>Table1[[#This Row],[M-N2]]+Table1[[#This Row],[TEN-N2]]</f>
        <v>64377.677666859359</v>
      </c>
      <c r="Q172" s="9">
        <v>1433.0567100043102</v>
      </c>
      <c r="R172" s="9">
        <f>SUM(Table1[[#This Row],[TEN-CDA]:[TEN-CDA WWT]])</f>
        <v>97228.380685134005</v>
      </c>
      <c r="S172" s="9">
        <v>428.7733092668733</v>
      </c>
      <c r="T172" s="9">
        <v>234.46885785983719</v>
      </c>
      <c r="U172" s="9">
        <v>39.351329199892213</v>
      </c>
      <c r="V172" s="42">
        <v>3.39</v>
      </c>
      <c r="W172" s="9">
        <v>0.71</v>
      </c>
      <c r="X172" s="9">
        <v>74700.407838224768</v>
      </c>
      <c r="Y172" s="9">
        <v>1649.750518776983</v>
      </c>
      <c r="Z172" s="1">
        <v>62167.525107347326</v>
      </c>
      <c r="AA172" s="1">
        <v>2210.1525595120306</v>
      </c>
      <c r="AB172" s="1">
        <v>35296.766522271857</v>
      </c>
      <c r="AC172" s="1">
        <v>52171.200300355653</v>
      </c>
      <c r="AD172" s="1">
        <v>7112.1979328184634</v>
      </c>
      <c r="AE172" s="1">
        <v>2645.5612042418461</v>
      </c>
      <c r="AF172" s="1">
        <v>2.6547254461699437</v>
      </c>
      <c r="AG172" s="1"/>
      <c r="AH172" s="1"/>
      <c r="AI172" s="1"/>
      <c r="AJ172" s="1"/>
      <c r="AK172" s="1"/>
      <c r="AL172" s="1"/>
      <c r="AM172" s="1"/>
      <c r="AN172" s="1"/>
      <c r="AO172" s="1"/>
      <c r="AP172" s="1"/>
      <c r="AQ172" s="1"/>
    </row>
    <row r="173" spans="1:43" x14ac:dyDescent="0.3">
      <c r="A173" s="9">
        <f t="shared" si="20"/>
        <v>2020</v>
      </c>
      <c r="B173" s="9">
        <f t="shared" si="21"/>
        <v>6</v>
      </c>
      <c r="C173" s="10">
        <v>43998</v>
      </c>
      <c r="D173" s="9">
        <v>0.21199999999999999</v>
      </c>
      <c r="E173" s="9">
        <v>0.156</v>
      </c>
      <c r="F173" s="9">
        <v>21.3781404343022</v>
      </c>
      <c r="G173" s="9">
        <v>10675.327691951121</v>
      </c>
      <c r="H173" s="9">
        <v>54850.409586983864</v>
      </c>
      <c r="I173" s="9">
        <v>1600.1827192657281</v>
      </c>
      <c r="J173" s="20">
        <v>70.959999999999994</v>
      </c>
      <c r="K173" s="9">
        <v>71.849999999999994</v>
      </c>
      <c r="L173" s="31">
        <f>Table1[[#This Row],[TN550 I (O2)]]/(Table1[[#This Row],[Flowmeter A]]+Table1[[#This Row],[Flowmeter B]])</f>
        <v>2.0961361527921919E-2</v>
      </c>
      <c r="M173" s="33">
        <f>Table1[[#This Row],[TN120 Venting2]]/100</f>
        <v>3.1200000000000002E-2</v>
      </c>
      <c r="N173" s="31">
        <f>Table1[[#This Row],[TN550 I Venting2]]/100</f>
        <v>9.3999999999999986E-3</v>
      </c>
      <c r="O173" s="31">
        <f>(Table1[[#This Row],[TN550 I (O2)]]-Table1[[#This Row],[O2]])/Table1[[#This Row],[TN550 I (O2)]]</f>
        <v>9.9834942942418084E-2</v>
      </c>
      <c r="P173" s="9">
        <f>Table1[[#This Row],[M-N2]]+Table1[[#This Row],[TEN-N2]]</f>
        <v>64599.75532441731</v>
      </c>
      <c r="Q173" s="9">
        <v>1440.4285687903907</v>
      </c>
      <c r="R173" s="9">
        <f>SUM(Table1[[#This Row],[TEN-CDA]:[TEN-CDA WWT]])</f>
        <v>97025.878071731291</v>
      </c>
      <c r="S173" s="9">
        <v>430.69086243988824</v>
      </c>
      <c r="T173" s="9">
        <v>225.13052633948661</v>
      </c>
      <c r="U173" s="9">
        <v>37.188537216451245</v>
      </c>
      <c r="V173" s="42">
        <v>3.12</v>
      </c>
      <c r="W173" s="9">
        <v>0.94</v>
      </c>
      <c r="X173" s="9">
        <v>74690.313362031578</v>
      </c>
      <c r="Y173" s="9">
        <v>1649.3231226585542</v>
      </c>
      <c r="Z173" s="1">
        <v>62334.326837374218</v>
      </c>
      <c r="AA173" s="1">
        <v>2265.4284870430961</v>
      </c>
      <c r="AB173" s="1">
        <v>34912.236649353748</v>
      </c>
      <c r="AC173" s="1">
        <v>52270.182241065231</v>
      </c>
      <c r="AD173" s="1">
        <v>7150.1272543616633</v>
      </c>
      <c r="AE173" s="1">
        <v>2690.7435645818882</v>
      </c>
      <c r="AF173" s="1">
        <v>2.5883623687531037</v>
      </c>
      <c r="AG173" s="1"/>
      <c r="AH173" s="1"/>
      <c r="AI173" s="1"/>
      <c r="AJ173" s="1"/>
      <c r="AK173" s="1"/>
      <c r="AL173" s="1"/>
      <c r="AM173" s="1"/>
      <c r="AN173" s="1"/>
      <c r="AO173" s="1"/>
      <c r="AP173" s="1"/>
      <c r="AQ173" s="1"/>
    </row>
    <row r="174" spans="1:43" x14ac:dyDescent="0.3">
      <c r="A174" s="9">
        <f t="shared" si="20"/>
        <v>2020</v>
      </c>
      <c r="B174" s="9">
        <f t="shared" si="21"/>
        <v>6</v>
      </c>
      <c r="C174" s="10">
        <v>43999</v>
      </c>
      <c r="D174" s="9">
        <v>0.21299999999999999</v>
      </c>
      <c r="E174" s="9">
        <v>0.158</v>
      </c>
      <c r="F174" s="9">
        <v>21.613817818540404</v>
      </c>
      <c r="G174" s="9">
        <v>10440.100798056905</v>
      </c>
      <c r="H174" s="9">
        <v>54853.467912365544</v>
      </c>
      <c r="I174" s="9">
        <v>1599.9131385437902</v>
      </c>
      <c r="J174" s="20">
        <v>71.03</v>
      </c>
      <c r="K174" s="9">
        <v>71.849999999999994</v>
      </c>
      <c r="L174" s="31">
        <f>Table1[[#This Row],[TN550 I (O2)]]/(Table1[[#This Row],[Flowmeter A]]+Table1[[#This Row],[Flowmeter B]])</f>
        <v>2.0957113466092827E-2</v>
      </c>
      <c r="M174" s="33">
        <f>Table1[[#This Row],[TN120 Venting2]]/100</f>
        <v>2.2799999999999997E-2</v>
      </c>
      <c r="N174" s="31">
        <f>Table1[[#This Row],[TN550 I Venting2]]/100</f>
        <v>8.8000000000000005E-3</v>
      </c>
      <c r="O174" s="31">
        <f>(Table1[[#This Row],[TN550 I (O2)]]-Table1[[#This Row],[O2]])/Table1[[#This Row],[TN550 I (O2)]]</f>
        <v>9.9451988542383032E-2</v>
      </c>
      <c r="P174" s="9">
        <f>Table1[[#This Row],[M-N2]]+Table1[[#This Row],[TEN-N2]]</f>
        <v>64394.741586043223</v>
      </c>
      <c r="Q174" s="9">
        <v>1440.7985954205251</v>
      </c>
      <c r="R174" s="9">
        <f>SUM(Table1[[#This Row],[TEN-CDA]:[TEN-CDA WWT]])</f>
        <v>96954.229762388655</v>
      </c>
      <c r="S174" s="9">
        <v>427.20688931467134</v>
      </c>
      <c r="T174" s="9">
        <v>232.41071518124349</v>
      </c>
      <c r="U174" s="9">
        <v>37.081599728586269</v>
      </c>
      <c r="V174" s="42">
        <v>2.2799999999999998</v>
      </c>
      <c r="W174" s="9">
        <v>0.88</v>
      </c>
      <c r="X174" s="9">
        <v>74692.286655317483</v>
      </c>
      <c r="Y174" s="9">
        <v>1649.9606266061437</v>
      </c>
      <c r="Z174" s="1">
        <v>62069.442037864334</v>
      </c>
      <c r="AA174" s="1">
        <v>2325.2995481788907</v>
      </c>
      <c r="AB174" s="1">
        <v>35028.623462981435</v>
      </c>
      <c r="AC174" s="1">
        <v>52134.659174943619</v>
      </c>
      <c r="AD174" s="1">
        <v>7093.9614783028283</v>
      </c>
      <c r="AE174" s="1">
        <v>2693.7158270894779</v>
      </c>
      <c r="AF174" s="1">
        <v>3.269819071295359</v>
      </c>
      <c r="AG174" s="1"/>
      <c r="AH174" s="1"/>
      <c r="AI174" s="1"/>
      <c r="AJ174" s="1"/>
      <c r="AK174" s="1"/>
      <c r="AL174" s="1"/>
      <c r="AM174" s="1"/>
      <c r="AN174" s="1"/>
      <c r="AO174" s="1"/>
      <c r="AP174" s="1"/>
      <c r="AQ174" s="1"/>
    </row>
    <row r="175" spans="1:43" x14ac:dyDescent="0.3">
      <c r="A175" s="9">
        <f t="shared" si="20"/>
        <v>2020</v>
      </c>
      <c r="B175" s="9">
        <f t="shared" si="21"/>
        <v>6</v>
      </c>
      <c r="C175" s="10">
        <v>44000</v>
      </c>
      <c r="D175" s="9">
        <v>0.214</v>
      </c>
      <c r="E175" s="9">
        <v>0.159</v>
      </c>
      <c r="F175" s="9">
        <v>21.554251079837289</v>
      </c>
      <c r="G175" s="9">
        <v>10727.76392262318</v>
      </c>
      <c r="H175" s="9">
        <v>54838.066164989592</v>
      </c>
      <c r="I175" s="9">
        <v>1600.3225522064483</v>
      </c>
      <c r="J175" s="20">
        <v>70.97</v>
      </c>
      <c r="K175" s="9">
        <v>71.81</v>
      </c>
      <c r="L175" s="31">
        <f>Table1[[#This Row],[TN550 I (O2)]]/(Table1[[#This Row],[Flowmeter A]]+Table1[[#This Row],[Flowmeter B]])</f>
        <v>2.0956077125681784E-2</v>
      </c>
      <c r="M175" s="33">
        <f>Table1[[#This Row],[TN120 Venting2]]/100</f>
        <v>3.9000000000000003E-3</v>
      </c>
      <c r="N175" s="31">
        <f>Table1[[#This Row],[TN550 I Venting2]]/100</f>
        <v>1E-3</v>
      </c>
      <c r="O175" s="31">
        <f>(Table1[[#This Row],[TN550 I (O2)]]-Table1[[#This Row],[O2]])/Table1[[#This Row],[TN550 I (O2)]]</f>
        <v>9.7118648648162234E-2</v>
      </c>
      <c r="P175" s="9">
        <f>Table1[[#This Row],[M-N2]]+Table1[[#This Row],[TEN-N2]]</f>
        <v>64432.440894842315</v>
      </c>
      <c r="Q175" s="9">
        <v>1444.90138853498</v>
      </c>
      <c r="R175" s="9">
        <f>SUM(Table1[[#This Row],[TEN-CDA]:[TEN-CDA WWT]])</f>
        <v>96519.496547181712</v>
      </c>
      <c r="S175" s="9">
        <v>428.55897141826563</v>
      </c>
      <c r="T175" s="9">
        <v>246.70582925768713</v>
      </c>
      <c r="U175" s="9">
        <v>36.539834642641914</v>
      </c>
      <c r="V175" s="42">
        <v>0.39</v>
      </c>
      <c r="W175" s="9">
        <v>0.1</v>
      </c>
      <c r="X175" s="9">
        <v>74716.100911910151</v>
      </c>
      <c r="Y175" s="9">
        <v>1649.4584725437519</v>
      </c>
      <c r="Z175" s="1">
        <v>62125.158790011279</v>
      </c>
      <c r="AA175" s="1">
        <v>2307.2821048310366</v>
      </c>
      <c r="AB175" s="1">
        <v>34534.858007405885</v>
      </c>
      <c r="AC175" s="1">
        <v>52163.422810222939</v>
      </c>
      <c r="AD175" s="1">
        <v>7159.3990409898724</v>
      </c>
      <c r="AE175" s="1">
        <v>2660.0344572047406</v>
      </c>
      <c r="AF175" s="1">
        <v>1.7822313582670719</v>
      </c>
      <c r="AG175" s="1"/>
      <c r="AH175" s="1"/>
      <c r="AI175" s="1"/>
      <c r="AJ175" s="1"/>
      <c r="AK175" s="1"/>
      <c r="AL175" s="1"/>
      <c r="AM175" s="1"/>
      <c r="AN175" s="1"/>
      <c r="AO175" s="1"/>
      <c r="AP175" s="1"/>
      <c r="AQ175" s="1"/>
    </row>
    <row r="176" spans="1:43" x14ac:dyDescent="0.3">
      <c r="A176" s="9">
        <f t="shared" si="20"/>
        <v>2020</v>
      </c>
      <c r="B176" s="9">
        <f t="shared" si="21"/>
        <v>6</v>
      </c>
      <c r="C176" s="10">
        <v>44001</v>
      </c>
      <c r="D176" s="9">
        <v>0.215</v>
      </c>
      <c r="E176" s="9">
        <v>0.154</v>
      </c>
      <c r="F176" s="9">
        <v>22.581414732668136</v>
      </c>
      <c r="G176" s="9">
        <v>10841.359491564021</v>
      </c>
      <c r="H176" s="9">
        <v>54787.077574709401</v>
      </c>
      <c r="I176" s="9">
        <v>1600.1509993670302</v>
      </c>
      <c r="J176" s="20">
        <v>70.92</v>
      </c>
      <c r="K176" s="9">
        <v>71.760000000000005</v>
      </c>
      <c r="L176" s="31">
        <f>Table1[[#This Row],[TN550 I (O2)]]/(Table1[[#This Row],[Flowmeter A]]+Table1[[#This Row],[Flowmeter B]])</f>
        <v>2.0958840635484317E-2</v>
      </c>
      <c r="M176" s="33">
        <f>Table1[[#This Row],[TN120 Venting2]]/100</f>
        <v>1.8E-3</v>
      </c>
      <c r="N176" s="31">
        <f>Table1[[#This Row],[TN550 I Venting2]]/100</f>
        <v>5.0000000000000001E-4</v>
      </c>
      <c r="O176" s="31">
        <f>(Table1[[#This Row],[TN550 I (O2)]]-Table1[[#This Row],[O2]])/Table1[[#This Row],[TN550 I (O2)]]</f>
        <v>9.8141754410830007E-2</v>
      </c>
      <c r="P176" s="9">
        <f>Table1[[#This Row],[M-N2]]+Table1[[#This Row],[TEN-N2]]</f>
        <v>64198.062773281628</v>
      </c>
      <c r="Q176" s="9">
        <v>1443.1093729669069</v>
      </c>
      <c r="R176" s="9">
        <f>SUM(Table1[[#This Row],[TEN-CDA]:[TEN-CDA WWT]])</f>
        <v>97276.705734404837</v>
      </c>
      <c r="S176" s="9">
        <v>429.21668725738414</v>
      </c>
      <c r="T176" s="9">
        <v>250.31980211944895</v>
      </c>
      <c r="U176" s="9">
        <v>36.345335149665743</v>
      </c>
      <c r="V176" s="42">
        <v>0.18</v>
      </c>
      <c r="W176" s="9">
        <v>0.05</v>
      </c>
      <c r="X176" s="9">
        <v>74697.448343164462</v>
      </c>
      <c r="Y176" s="9">
        <v>1649.8567008892751</v>
      </c>
      <c r="Z176" s="1">
        <v>61952.907353291987</v>
      </c>
      <c r="AA176" s="1">
        <v>2245.155419989645</v>
      </c>
      <c r="AB176" s="1">
        <v>35246.816387274463</v>
      </c>
      <c r="AC176" s="1">
        <v>52201.448625086749</v>
      </c>
      <c r="AD176" s="1">
        <v>7177.0865291301616</v>
      </c>
      <c r="AE176" s="1">
        <v>2648.9433930904647</v>
      </c>
      <c r="AF176" s="1">
        <v>2.4107998230033747</v>
      </c>
      <c r="AG176" s="1"/>
      <c r="AH176" s="1"/>
      <c r="AI176" s="1"/>
      <c r="AJ176" s="1"/>
      <c r="AK176" s="1"/>
      <c r="AL176" s="1"/>
      <c r="AM176" s="1"/>
      <c r="AN176" s="1"/>
      <c r="AO176" s="1"/>
      <c r="AP176" s="1"/>
      <c r="AQ176" s="1"/>
    </row>
    <row r="177" spans="1:43" x14ac:dyDescent="0.3">
      <c r="A177" s="9">
        <f t="shared" si="20"/>
        <v>2020</v>
      </c>
      <c r="B177" s="9">
        <f t="shared" si="21"/>
        <v>6</v>
      </c>
      <c r="C177" s="10">
        <v>44002</v>
      </c>
      <c r="D177" s="9">
        <v>0.219</v>
      </c>
      <c r="E177" s="9">
        <v>0.16</v>
      </c>
      <c r="F177" s="9">
        <v>22.644202771739444</v>
      </c>
      <c r="G177" s="9">
        <v>10894.569594818053</v>
      </c>
      <c r="H177" s="9">
        <v>54802.344655404231</v>
      </c>
      <c r="I177" s="9">
        <v>1600.4739222741639</v>
      </c>
      <c r="J177" s="20">
        <v>70.97</v>
      </c>
      <c r="K177" s="9">
        <v>71.77</v>
      </c>
      <c r="L177" s="31">
        <f>Table1[[#This Row],[TN550 I (O2)]]/(Table1[[#This Row],[Flowmeter A]]+Table1[[#This Row],[Flowmeter B]])</f>
        <v>2.0960808667061352E-2</v>
      </c>
      <c r="M177" s="33">
        <f>Table1[[#This Row],[TN120 Venting2]]/100</f>
        <v>5.9999999999999995E-4</v>
      </c>
      <c r="N177" s="31">
        <f>Table1[[#This Row],[TN550 I Venting2]]/100</f>
        <v>0</v>
      </c>
      <c r="O177" s="31">
        <f>(Table1[[#This Row],[TN550 I (O2)]]-Table1[[#This Row],[O2]])/Table1[[#This Row],[TN550 I (O2)]]</f>
        <v>9.7350167521588704E-2</v>
      </c>
      <c r="P177" s="9">
        <f>Table1[[#This Row],[M-N2]]+Table1[[#This Row],[TEN-N2]]</f>
        <v>64175.436875925057</v>
      </c>
      <c r="Q177" s="9">
        <v>1444.6675178268399</v>
      </c>
      <c r="R177" s="9">
        <f>SUM(Table1[[#This Row],[TEN-CDA]:[TEN-CDA WWT]])</f>
        <v>96830.661624971035</v>
      </c>
      <c r="S177" s="9">
        <v>428.12606099940768</v>
      </c>
      <c r="T177" s="9">
        <v>251.27384291151839</v>
      </c>
      <c r="U177" s="9">
        <v>37.453585688890797</v>
      </c>
      <c r="V177" s="42">
        <v>0.06</v>
      </c>
      <c r="W177" s="9">
        <v>0</v>
      </c>
      <c r="X177" s="9">
        <v>74705.164875737333</v>
      </c>
      <c r="Y177" s="9">
        <v>1650.3778753022532</v>
      </c>
      <c r="Z177" s="1">
        <v>61882.27975093251</v>
      </c>
      <c r="AA177" s="1">
        <v>2293.1571249925455</v>
      </c>
      <c r="AB177" s="1">
        <v>34806.202807837442</v>
      </c>
      <c r="AC177" s="1">
        <v>52300.007790813674</v>
      </c>
      <c r="AD177" s="1">
        <v>7066.7324567764354</v>
      </c>
      <c r="AE177" s="1">
        <v>2652.5479396632113</v>
      </c>
      <c r="AF177" s="1">
        <v>5.1706298802727879</v>
      </c>
      <c r="AG177" s="1"/>
      <c r="AH177" s="1"/>
      <c r="AI177" s="1"/>
      <c r="AJ177" s="1"/>
      <c r="AK177" s="1"/>
      <c r="AL177" s="1"/>
      <c r="AM177" s="1"/>
      <c r="AN177" s="1"/>
      <c r="AO177" s="1"/>
      <c r="AP177" s="1"/>
      <c r="AQ177" s="1"/>
    </row>
    <row r="178" spans="1:43" x14ac:dyDescent="0.3">
      <c r="A178" s="9">
        <f t="shared" si="20"/>
        <v>2020</v>
      </c>
      <c r="B178" s="9">
        <f t="shared" si="21"/>
        <v>6</v>
      </c>
      <c r="C178" s="10">
        <v>44003</v>
      </c>
      <c r="D178" s="9">
        <v>0.215</v>
      </c>
      <c r="E178" s="9">
        <v>0.158</v>
      </c>
      <c r="F178" s="9">
        <v>22.171510530957573</v>
      </c>
      <c r="G178" s="9">
        <v>10824.891739812849</v>
      </c>
      <c r="H178" s="9">
        <v>54803.823871768735</v>
      </c>
      <c r="I178" s="9">
        <v>1599.9132793355038</v>
      </c>
      <c r="J178" s="20">
        <v>70.94</v>
      </c>
      <c r="K178" s="9">
        <v>71.78</v>
      </c>
      <c r="L178" s="31">
        <f>Table1[[#This Row],[TN550 I (O2)]]/(Table1[[#This Row],[Flowmeter A]]+Table1[[#This Row],[Flowmeter B]])</f>
        <v>2.0954021653895934E-2</v>
      </c>
      <c r="M178" s="33">
        <f>Table1[[#This Row],[TN120 Venting2]]/100</f>
        <v>1.7000000000000001E-3</v>
      </c>
      <c r="N178" s="31">
        <f>Table1[[#This Row],[TN550 I Venting2]]/100</f>
        <v>1E-4</v>
      </c>
      <c r="O178" s="31">
        <f>(Table1[[#This Row],[TN550 I (O2)]]-Table1[[#This Row],[O2]])/Table1[[#This Row],[TN550 I (O2)]]</f>
        <v>9.4625453058327591E-2</v>
      </c>
      <c r="P178" s="9">
        <f>Table1[[#This Row],[M-N2]]+Table1[[#This Row],[TEN-N2]]</f>
        <v>64332.874735867284</v>
      </c>
      <c r="Q178" s="9">
        <v>1448.5207604243471</v>
      </c>
      <c r="R178" s="9">
        <f>SUM(Table1[[#This Row],[TEN-CDA]:[TEN-CDA WWT]])</f>
        <v>96170.473282653198</v>
      </c>
      <c r="S178" s="9">
        <v>432.90714803426982</v>
      </c>
      <c r="T178" s="9">
        <v>247.10967816386596</v>
      </c>
      <c r="U178" s="9">
        <v>37.785056979187985</v>
      </c>
      <c r="V178" s="42">
        <v>0.17</v>
      </c>
      <c r="W178" s="9">
        <v>0.01</v>
      </c>
      <c r="X178" s="9">
        <v>74703.589179606177</v>
      </c>
      <c r="Y178" s="9">
        <v>1649.9292886748567</v>
      </c>
      <c r="Z178" s="1">
        <v>62017.065853248605</v>
      </c>
      <c r="AA178" s="1">
        <v>2315.8088826186786</v>
      </c>
      <c r="AB178" s="1">
        <v>34227.616729376299</v>
      </c>
      <c r="AC178" s="1">
        <v>52284.37244372398</v>
      </c>
      <c r="AD178" s="1">
        <v>6945.1216613218903</v>
      </c>
      <c r="AE178" s="1">
        <v>2710.621788051375</v>
      </c>
      <c r="AF178" s="1">
        <v>2.7406601796623407</v>
      </c>
      <c r="AG178" s="1"/>
      <c r="AH178" s="1"/>
      <c r="AI178" s="1"/>
      <c r="AJ178" s="1"/>
      <c r="AK178" s="1"/>
      <c r="AL178" s="1"/>
      <c r="AM178" s="1"/>
      <c r="AN178" s="1"/>
      <c r="AO178" s="1"/>
      <c r="AP178" s="1"/>
      <c r="AQ178" s="1"/>
    </row>
    <row r="179" spans="1:43" x14ac:dyDescent="0.3">
      <c r="A179" s="9">
        <f t="shared" si="20"/>
        <v>2020</v>
      </c>
      <c r="B179" s="9">
        <f t="shared" si="21"/>
        <v>6</v>
      </c>
      <c r="C179" s="10">
        <v>44004</v>
      </c>
      <c r="D179" s="9">
        <v>0.21099999999999999</v>
      </c>
      <c r="E179" s="9">
        <v>0.156</v>
      </c>
      <c r="F179" s="9">
        <v>22.958666645926289</v>
      </c>
      <c r="G179" s="9">
        <v>10477.752413281793</v>
      </c>
      <c r="H179" s="9">
        <v>54795.433835010408</v>
      </c>
      <c r="I179" s="9">
        <v>1599.9629615291301</v>
      </c>
      <c r="J179" s="20">
        <v>70.989999999999995</v>
      </c>
      <c r="K179" s="9">
        <v>71.78</v>
      </c>
      <c r="L179" s="31">
        <f>Table1[[#This Row],[TN550 I (O2)]]/(Table1[[#This Row],[Flowmeter A]]+Table1[[#This Row],[Flowmeter B]])</f>
        <v>2.0958411154968239E-2</v>
      </c>
      <c r="M179" s="33">
        <f>Table1[[#This Row],[TN120 Venting2]]/100</f>
        <v>1.11E-2</v>
      </c>
      <c r="N179" s="31">
        <f>Table1[[#This Row],[TN550 I Venting2]]/100</f>
        <v>2.8000000000000004E-3</v>
      </c>
      <c r="O179" s="31">
        <f>(Table1[[#This Row],[TN550 I (O2)]]-Table1[[#This Row],[O2]])/Table1[[#This Row],[TN550 I (O2)]]</f>
        <v>0.10099444458823295</v>
      </c>
      <c r="P179" s="9">
        <f>Table1[[#This Row],[M-N2]]+Table1[[#This Row],[TEN-N2]]</f>
        <v>64230.823365697921</v>
      </c>
      <c r="Q179" s="9">
        <v>1438.3755908677513</v>
      </c>
      <c r="R179" s="9">
        <f>SUM(Table1[[#This Row],[TEN-CDA]:[TEN-CDA WWT]])</f>
        <v>97054.22294819665</v>
      </c>
      <c r="S179" s="9">
        <v>432.08802417381867</v>
      </c>
      <c r="T179" s="9">
        <v>249.58190488054225</v>
      </c>
      <c r="U179" s="9">
        <v>37.432281989177675</v>
      </c>
      <c r="V179" s="42">
        <v>1.1100000000000001</v>
      </c>
      <c r="W179" s="9">
        <v>0.28000000000000003</v>
      </c>
      <c r="X179" s="9">
        <v>74690.047140657523</v>
      </c>
      <c r="Y179" s="9">
        <v>1649.8504641213242</v>
      </c>
      <c r="Z179" s="1">
        <v>61930.778173252082</v>
      </c>
      <c r="AA179" s="1">
        <v>2300.0451924458384</v>
      </c>
      <c r="AB179" s="1">
        <v>35016.639968988551</v>
      </c>
      <c r="AC179" s="1">
        <v>52278.479725993231</v>
      </c>
      <c r="AD179" s="1">
        <v>7048.0962005551701</v>
      </c>
      <c r="AE179" s="1">
        <v>2706.2860414927241</v>
      </c>
      <c r="AF179" s="1">
        <v>4.7210111669746233</v>
      </c>
      <c r="AG179" s="1"/>
      <c r="AH179" s="1"/>
      <c r="AI179" s="1"/>
      <c r="AJ179" s="1"/>
      <c r="AK179" s="1"/>
      <c r="AL179" s="1"/>
      <c r="AM179" s="1"/>
      <c r="AN179" s="1"/>
      <c r="AO179" s="1"/>
      <c r="AP179" s="1"/>
      <c r="AQ179" s="1"/>
    </row>
    <row r="180" spans="1:43" x14ac:dyDescent="0.3">
      <c r="A180" s="9">
        <f t="shared" si="20"/>
        <v>2020</v>
      </c>
      <c r="B180" s="9">
        <f t="shared" si="21"/>
        <v>6</v>
      </c>
      <c r="C180" s="10">
        <v>44005</v>
      </c>
      <c r="D180" s="9">
        <v>0.216</v>
      </c>
      <c r="E180" s="9">
        <v>0.16200000000000001</v>
      </c>
      <c r="F180" s="9">
        <v>23.205957259178824</v>
      </c>
      <c r="G180" s="9">
        <v>10633.68114319483</v>
      </c>
      <c r="H180" s="9">
        <v>54796.700427762837</v>
      </c>
      <c r="I180" s="9">
        <v>1599.8706623953635</v>
      </c>
      <c r="J180" s="20">
        <v>70.959999999999994</v>
      </c>
      <c r="K180" s="9">
        <v>71.78</v>
      </c>
      <c r="L180" s="31">
        <f>Table1[[#This Row],[TN550 I (O2)]]/(Table1[[#This Row],[Flowmeter A]]+Table1[[#This Row],[Flowmeter B]])</f>
        <v>2.0957143390420631E-2</v>
      </c>
      <c r="M180" s="33">
        <f>Table1[[#This Row],[TN120 Venting2]]/100</f>
        <v>5.3E-3</v>
      </c>
      <c r="N180" s="31">
        <f>Table1[[#This Row],[TN550 I Venting2]]/100</f>
        <v>8.0000000000000004E-4</v>
      </c>
      <c r="O180" s="31">
        <f>(Table1[[#This Row],[TN550 I (O2)]]-Table1[[#This Row],[O2]])/Table1[[#This Row],[TN550 I (O2)]]</f>
        <v>0.10068607816336976</v>
      </c>
      <c r="P180" s="9">
        <f>Table1[[#This Row],[M-N2]]+Table1[[#This Row],[TEN-N2]]</f>
        <v>64342.721661304946</v>
      </c>
      <c r="Q180" s="9">
        <v>1438.7859598301418</v>
      </c>
      <c r="R180" s="9">
        <f>SUM(Table1[[#This Row],[TEN-CDA]:[TEN-CDA WWT]])</f>
        <v>97226.442738183527</v>
      </c>
      <c r="S180" s="9">
        <v>430.32372261169138</v>
      </c>
      <c r="T180" s="9">
        <v>258.01496325988558</v>
      </c>
      <c r="U180" s="9">
        <v>37.017586041621911</v>
      </c>
      <c r="V180" s="42">
        <v>0.53</v>
      </c>
      <c r="W180" s="9">
        <v>0.08</v>
      </c>
      <c r="X180" s="9">
        <v>74689.809556080843</v>
      </c>
      <c r="Y180" s="9">
        <v>1650.3019080919826</v>
      </c>
      <c r="Z180" s="1">
        <v>62059.394867388095</v>
      </c>
      <c r="AA180" s="1">
        <v>2283.3267939168491</v>
      </c>
      <c r="AB180" s="1">
        <v>35085.196207061068</v>
      </c>
      <c r="AC180" s="1">
        <v>52293.85450370836</v>
      </c>
      <c r="AD180" s="1">
        <v>7126.7514201156964</v>
      </c>
      <c r="AE180" s="1">
        <v>2715.6961215017241</v>
      </c>
      <c r="AF180" s="1">
        <v>4.9444857966734874</v>
      </c>
      <c r="AG180" s="1"/>
      <c r="AH180" s="1"/>
      <c r="AI180" s="1"/>
      <c r="AJ180" s="1"/>
      <c r="AK180" s="1"/>
      <c r="AL180" s="1"/>
      <c r="AM180" s="1"/>
      <c r="AN180" s="1"/>
      <c r="AO180" s="1"/>
      <c r="AP180" s="1"/>
      <c r="AQ180" s="1"/>
    </row>
    <row r="181" spans="1:43" x14ac:dyDescent="0.3">
      <c r="A181" s="9">
        <f t="shared" si="20"/>
        <v>2020</v>
      </c>
      <c r="B181" s="9">
        <f t="shared" si="21"/>
        <v>6</v>
      </c>
      <c r="C181" s="10">
        <v>44006</v>
      </c>
      <c r="D181" s="9">
        <v>0.217</v>
      </c>
      <c r="E181" s="9">
        <v>0.16200000000000001</v>
      </c>
      <c r="F181" s="9">
        <v>23.788122077851888</v>
      </c>
      <c r="G181" s="9">
        <v>10481.362174569527</v>
      </c>
      <c r="H181" s="9">
        <v>54810.384785955939</v>
      </c>
      <c r="I181" s="9">
        <v>1600.3023429198201</v>
      </c>
      <c r="J181" s="20">
        <v>70.98</v>
      </c>
      <c r="K181" s="9">
        <v>71.790000000000006</v>
      </c>
      <c r="L181" s="31">
        <f>Table1[[#This Row],[TN550 I (O2)]]/(Table1[[#This Row],[Flowmeter A]]+Table1[[#This Row],[Flowmeter B]])</f>
        <v>2.0962026107948811E-2</v>
      </c>
      <c r="M181" s="33">
        <f>Table1[[#This Row],[TN120 Venting2]]/100</f>
        <v>1.21E-2</v>
      </c>
      <c r="N181" s="31">
        <f>Table1[[#This Row],[TN550 I Venting2]]/100</f>
        <v>2.3999999999999998E-3</v>
      </c>
      <c r="O181" s="31">
        <f>(Table1[[#This Row],[TN550 I (O2)]]-Table1[[#This Row],[O2]])/Table1[[#This Row],[TN550 I (O2)]]</f>
        <v>0.10344783190420878</v>
      </c>
      <c r="P181" s="9">
        <f>Table1[[#This Row],[M-N2]]+Table1[[#This Row],[TEN-N2]]</f>
        <v>63927.499835997136</v>
      </c>
      <c r="Q181" s="9">
        <v>1434.7545351535391</v>
      </c>
      <c r="R181" s="9">
        <f>SUM(Table1[[#This Row],[TEN-CDA]:[TEN-CDA WWT]])</f>
        <v>97336.195373411596</v>
      </c>
      <c r="S181" s="9">
        <v>434.19892490447847</v>
      </c>
      <c r="T181" s="9">
        <v>248.28746585462096</v>
      </c>
      <c r="U181" s="9">
        <v>36.903202439413398</v>
      </c>
      <c r="V181" s="42">
        <v>1.21</v>
      </c>
      <c r="W181" s="9">
        <v>0.24</v>
      </c>
      <c r="X181" s="9">
        <v>74693.225375173497</v>
      </c>
      <c r="Y181" s="9">
        <v>1649.6975216253361</v>
      </c>
      <c r="Z181" s="1">
        <v>61625.80008457668</v>
      </c>
      <c r="AA181" s="1">
        <v>2301.6997514204545</v>
      </c>
      <c r="AB181" s="1">
        <v>35204.922197584143</v>
      </c>
      <c r="AC181" s="1">
        <v>52230.234217774108</v>
      </c>
      <c r="AD181" s="1">
        <v>7167.8704828054515</v>
      </c>
      <c r="AE181" s="1">
        <v>2729.105796247452</v>
      </c>
      <c r="AF181" s="1">
        <v>4.0626790004418512</v>
      </c>
      <c r="AG181" s="1"/>
      <c r="AH181" s="1"/>
      <c r="AI181" s="1"/>
      <c r="AJ181" s="1"/>
      <c r="AK181" s="1"/>
      <c r="AL181" s="1"/>
      <c r="AM181" s="1"/>
      <c r="AN181" s="1"/>
      <c r="AO181" s="1"/>
      <c r="AP181" s="1"/>
      <c r="AQ181" s="1"/>
    </row>
    <row r="182" spans="1:43" x14ac:dyDescent="0.3">
      <c r="A182" s="9">
        <f t="shared" si="20"/>
        <v>2020</v>
      </c>
      <c r="B182" s="9">
        <f t="shared" si="21"/>
        <v>6</v>
      </c>
      <c r="C182" s="10">
        <v>44007</v>
      </c>
      <c r="D182" s="9">
        <v>0.216</v>
      </c>
      <c r="E182" s="9">
        <v>0.16400000000000001</v>
      </c>
      <c r="F182" s="9">
        <v>23.771003958750399</v>
      </c>
      <c r="G182" s="9">
        <v>10681.782503063194</v>
      </c>
      <c r="H182" s="9">
        <v>54796.218454523769</v>
      </c>
      <c r="I182" s="9">
        <v>1600.0170127556275</v>
      </c>
      <c r="J182" s="20">
        <v>70.98</v>
      </c>
      <c r="K182" s="9">
        <v>71.78</v>
      </c>
      <c r="L182" s="31">
        <f>Table1[[#This Row],[TN550 I (O2)]]/(Table1[[#This Row],[Flowmeter A]]+Table1[[#This Row],[Flowmeter B]])</f>
        <v>2.0960609963801811E-2</v>
      </c>
      <c r="M182" s="33">
        <f>Table1[[#This Row],[TN120 Venting2]]/100</f>
        <v>3.9000000000000003E-3</v>
      </c>
      <c r="N182" s="31">
        <f>Table1[[#This Row],[TN550 I Venting2]]/100</f>
        <v>5.0000000000000001E-4</v>
      </c>
      <c r="O182" s="31">
        <f>(Table1[[#This Row],[TN550 I (O2)]]-Table1[[#This Row],[O2]])/Table1[[#This Row],[TN550 I (O2)]]</f>
        <v>0.10186133682853098</v>
      </c>
      <c r="P182" s="9">
        <f>Table1[[#This Row],[M-N2]]+Table1[[#This Row],[TEN-N2]]</f>
        <v>64142.372949540651</v>
      </c>
      <c r="Q182" s="9">
        <v>1437.0371408879466</v>
      </c>
      <c r="R182" s="9">
        <f>SUM(Table1[[#This Row],[TEN-CDA]:[TEN-CDA WWT]])</f>
        <v>96735.472550095787</v>
      </c>
      <c r="S182" s="9">
        <v>432.86695324952694</v>
      </c>
      <c r="T182" s="9">
        <v>245.68813626291353</v>
      </c>
      <c r="U182" s="9">
        <v>37.188922548525703</v>
      </c>
      <c r="V182" s="42">
        <v>0.39</v>
      </c>
      <c r="W182" s="9">
        <v>0.05</v>
      </c>
      <c r="X182" s="9">
        <v>74684.270840562109</v>
      </c>
      <c r="Y182" s="9">
        <v>1650.1972650320145</v>
      </c>
      <c r="Z182" s="1">
        <v>61844.135783527061</v>
      </c>
      <c r="AA182" s="1">
        <v>2298.2371660135918</v>
      </c>
      <c r="AB182" s="1">
        <v>34583.602665791987</v>
      </c>
      <c r="AC182" s="1">
        <v>52260.185147033313</v>
      </c>
      <c r="AD182" s="1">
        <v>7141.9766844856003</v>
      </c>
      <c r="AE182" s="1">
        <v>2743.0187217400025</v>
      </c>
      <c r="AF182" s="1">
        <v>6.6893310448843764</v>
      </c>
      <c r="AG182" s="1"/>
      <c r="AH182" s="1"/>
      <c r="AI182" s="1"/>
      <c r="AJ182" s="1"/>
      <c r="AK182" s="1"/>
      <c r="AL182" s="1"/>
      <c r="AM182" s="1"/>
      <c r="AN182" s="1"/>
      <c r="AO182" s="1"/>
      <c r="AP182" s="1"/>
      <c r="AQ182" s="1"/>
    </row>
    <row r="183" spans="1:43" x14ac:dyDescent="0.3">
      <c r="A183" s="9">
        <f t="shared" si="20"/>
        <v>2020</v>
      </c>
      <c r="B183" s="9">
        <f t="shared" si="21"/>
        <v>6</v>
      </c>
      <c r="C183" s="10">
        <v>44008</v>
      </c>
      <c r="D183" s="9">
        <v>0.217</v>
      </c>
      <c r="E183" s="9">
        <v>0.16600000000000001</v>
      </c>
      <c r="F183" s="9">
        <v>23.530844201982063</v>
      </c>
      <c r="G183" s="9">
        <v>10935.279752287908</v>
      </c>
      <c r="H183" s="9">
        <v>54798.409624934939</v>
      </c>
      <c r="I183" s="9">
        <v>1599.8245298132806</v>
      </c>
      <c r="J183" s="20">
        <v>70.930000000000007</v>
      </c>
      <c r="K183" s="9">
        <v>71.78</v>
      </c>
      <c r="L183" s="31">
        <f>Table1[[#This Row],[TN550 I (O2)]]/(Table1[[#This Row],[Flowmeter A]]+Table1[[#This Row],[Flowmeter B]])</f>
        <v>2.0954979079389206E-2</v>
      </c>
      <c r="M183" s="33">
        <f>Table1[[#This Row],[TN120 Venting2]]/100</f>
        <v>8.0000000000000004E-4</v>
      </c>
      <c r="N183" s="31">
        <f>Table1[[#This Row],[TN550 I Venting2]]/100</f>
        <v>0</v>
      </c>
      <c r="O183" s="31">
        <f>(Table1[[#This Row],[TN550 I (O2)]]-Table1[[#This Row],[O2]])/Table1[[#This Row],[TN550 I (O2)]]</f>
        <v>9.9684586877093487E-2</v>
      </c>
      <c r="P183" s="9">
        <f>Table1[[#This Row],[M-N2]]+Table1[[#This Row],[TEN-N2]]</f>
        <v>64362.711580211631</v>
      </c>
      <c r="Q183" s="9">
        <v>1440.3466824830034</v>
      </c>
      <c r="R183" s="9">
        <f>SUM(Table1[[#This Row],[TEN-CDA]:[TEN-CDA WWT]])</f>
        <v>96439.089922117593</v>
      </c>
      <c r="S183" s="9">
        <v>438.95109993314514</v>
      </c>
      <c r="T183" s="9">
        <v>243.75270606841087</v>
      </c>
      <c r="U183" s="9">
        <v>36.291387494449232</v>
      </c>
      <c r="V183" s="42">
        <v>0.08</v>
      </c>
      <c r="W183" s="9">
        <v>0</v>
      </c>
      <c r="X183" s="9">
        <v>74696.000916247402</v>
      </c>
      <c r="Y183" s="9">
        <v>1649.7937396312241</v>
      </c>
      <c r="Z183" s="1">
        <v>62076.976229072694</v>
      </c>
      <c r="AA183" s="1">
        <v>2285.7353511389388</v>
      </c>
      <c r="AB183" s="1">
        <v>34324.706914685979</v>
      </c>
      <c r="AC183" s="1">
        <v>52421.216855157007</v>
      </c>
      <c r="AD183" s="1">
        <v>6930.2245477045017</v>
      </c>
      <c r="AE183" s="1">
        <v>2758.5777229557925</v>
      </c>
      <c r="AF183" s="1">
        <v>4.3638816143157921</v>
      </c>
      <c r="AG183" s="1"/>
      <c r="AH183" s="1"/>
      <c r="AI183" s="1"/>
      <c r="AJ183" s="1"/>
      <c r="AK183" s="1"/>
      <c r="AL183" s="1"/>
      <c r="AM183" s="1"/>
      <c r="AN183" s="1"/>
      <c r="AO183" s="1"/>
      <c r="AP183" s="1"/>
      <c r="AQ183" s="1"/>
    </row>
    <row r="184" spans="1:43" x14ac:dyDescent="0.3">
      <c r="A184" s="9">
        <f t="shared" si="20"/>
        <v>2020</v>
      </c>
      <c r="B184" s="9">
        <f t="shared" si="21"/>
        <v>6</v>
      </c>
      <c r="C184" s="10">
        <v>44009</v>
      </c>
      <c r="D184" s="9">
        <v>0.21199999999999999</v>
      </c>
      <c r="E184" s="9">
        <v>0.16200000000000001</v>
      </c>
      <c r="F184" s="9">
        <v>22.789392908110873</v>
      </c>
      <c r="G184" s="9">
        <v>10947.364897559204</v>
      </c>
      <c r="H184" s="9">
        <v>54793.737042418463</v>
      </c>
      <c r="I184" s="9">
        <v>1600.0957019390289</v>
      </c>
      <c r="J184" s="20">
        <v>70.91</v>
      </c>
      <c r="K184" s="9">
        <v>71.75</v>
      </c>
      <c r="L184" s="31">
        <f>Table1[[#This Row],[TN550 I (O2)]]/(Table1[[#This Row],[Flowmeter A]]+Table1[[#This Row],[Flowmeter B]])</f>
        <v>2.095334224424893E-2</v>
      </c>
      <c r="M184" s="33">
        <f>Table1[[#This Row],[TN120 Venting2]]/100</f>
        <v>7.000000000000001E-4</v>
      </c>
      <c r="N184" s="31">
        <f>Table1[[#This Row],[TN550 I Venting2]]/100</f>
        <v>0</v>
      </c>
      <c r="O184" s="31">
        <f>(Table1[[#This Row],[TN550 I (O2)]]-Table1[[#This Row],[O2]])/Table1[[#This Row],[TN550 I (O2)]]</f>
        <v>0.10145590026907308</v>
      </c>
      <c r="P184" s="9">
        <f>Table1[[#This Row],[M-N2]]+Table1[[#This Row],[TEN-N2]]</f>
        <v>64487.087674778253</v>
      </c>
      <c r="Q184" s="9">
        <v>1437.7565519821303</v>
      </c>
      <c r="R184" s="9">
        <f>SUM(Table1[[#This Row],[TEN-CDA]:[TEN-CDA WWT]])</f>
        <v>97332.0912394513</v>
      </c>
      <c r="S184" s="9">
        <v>434.98372614673241</v>
      </c>
      <c r="T184" s="9">
        <v>255.12762071025776</v>
      </c>
      <c r="U184" s="9">
        <v>39.463886721609043</v>
      </c>
      <c r="V184" s="42">
        <v>7.0000000000000007E-2</v>
      </c>
      <c r="W184" s="9">
        <v>0</v>
      </c>
      <c r="X184" s="9">
        <v>74714.471683075986</v>
      </c>
      <c r="Y184" s="9">
        <v>1650.2286729355967</v>
      </c>
      <c r="Z184" s="1">
        <v>62172.861386407007</v>
      </c>
      <c r="AA184" s="1">
        <v>2314.2262883712483</v>
      </c>
      <c r="AB184" s="1">
        <v>35229.239907724674</v>
      </c>
      <c r="AC184" s="1">
        <v>52386.376287625782</v>
      </c>
      <c r="AD184" s="1">
        <v>6949.1986111939405</v>
      </c>
      <c r="AE184" s="1">
        <v>2762.8997766308121</v>
      </c>
      <c r="AF184" s="1">
        <v>4.3766562760827608</v>
      </c>
      <c r="AG184" s="1"/>
      <c r="AH184" s="1"/>
      <c r="AI184" s="1"/>
      <c r="AJ184" s="1"/>
      <c r="AK184" s="1"/>
      <c r="AL184" s="1"/>
      <c r="AM184" s="1"/>
      <c r="AN184" s="1"/>
      <c r="AO184" s="1"/>
      <c r="AP184" s="1"/>
      <c r="AQ184" s="1"/>
    </row>
    <row r="185" spans="1:43" x14ac:dyDescent="0.3">
      <c r="A185" s="9">
        <f t="shared" si="20"/>
        <v>2020</v>
      </c>
      <c r="B185" s="9">
        <f t="shared" si="21"/>
        <v>6</v>
      </c>
      <c r="C185" s="10">
        <v>44010</v>
      </c>
      <c r="D185" s="9">
        <v>0.21299999999999999</v>
      </c>
      <c r="E185" s="9">
        <v>0.16300000000000001</v>
      </c>
      <c r="F185" s="9">
        <v>23.56541865373303</v>
      </c>
      <c r="G185" s="9">
        <v>11084.166532708408</v>
      </c>
      <c r="H185" s="9">
        <v>54800.690866802557</v>
      </c>
      <c r="I185" s="9">
        <v>1600.3507549383835</v>
      </c>
      <c r="J185" s="20">
        <v>70.900000000000006</v>
      </c>
      <c r="K185" s="9">
        <v>71.77</v>
      </c>
      <c r="L185" s="31">
        <f>Table1[[#This Row],[TN550 I (O2)]]/(Table1[[#This Row],[Flowmeter A]]+Table1[[#This Row],[Flowmeter B]])</f>
        <v>2.0959607874724864E-2</v>
      </c>
      <c r="M185" s="33">
        <f>Table1[[#This Row],[TN120 Venting2]]/100</f>
        <v>2.0000000000000001E-4</v>
      </c>
      <c r="N185" s="31">
        <f>Table1[[#This Row],[TN550 I Venting2]]/100</f>
        <v>0</v>
      </c>
      <c r="O185" s="31">
        <f>(Table1[[#This Row],[TN550 I (O2)]]-Table1[[#This Row],[O2]])/Table1[[#This Row],[TN550 I (O2)]]</f>
        <v>0.10479057972129092</v>
      </c>
      <c r="P185" s="9">
        <f>Table1[[#This Row],[M-N2]]+Table1[[#This Row],[TEN-N2]]</f>
        <v>64700.040154609975</v>
      </c>
      <c r="Q185" s="9">
        <v>1432.6490715709847</v>
      </c>
      <c r="R185" s="9">
        <f>SUM(Table1[[#This Row],[TEN-CDA]:[TEN-CDA WWT]])</f>
        <v>97701.40070813967</v>
      </c>
      <c r="S185" s="9">
        <v>429.72323235664658</v>
      </c>
      <c r="T185" s="9">
        <v>244.71664287876868</v>
      </c>
      <c r="U185" s="9">
        <v>37.867990409062195</v>
      </c>
      <c r="V185" s="42">
        <v>0.02</v>
      </c>
      <c r="W185" s="9">
        <v>0</v>
      </c>
      <c r="X185" s="9">
        <v>74703.720219248789</v>
      </c>
      <c r="Y185" s="9">
        <v>1650.3205864593274</v>
      </c>
      <c r="Z185" s="1">
        <v>62380.859694873354</v>
      </c>
      <c r="AA185" s="1">
        <v>2319.1804597366195</v>
      </c>
      <c r="AB185" s="1">
        <v>34622.214410023422</v>
      </c>
      <c r="AC185" s="1">
        <v>53264.867832668286</v>
      </c>
      <c r="AD185" s="1">
        <v>7048.6898726199252</v>
      </c>
      <c r="AE185" s="1">
        <v>2760.3260437901199</v>
      </c>
      <c r="AF185" s="1">
        <v>5.3025490379039812</v>
      </c>
      <c r="AG185" s="1"/>
      <c r="AH185" s="1"/>
      <c r="AI185" s="1"/>
      <c r="AJ185" s="1"/>
      <c r="AK185" s="1"/>
      <c r="AL185" s="1"/>
      <c r="AM185" s="1"/>
      <c r="AN185" s="1"/>
      <c r="AO185" s="1"/>
      <c r="AP185" s="1"/>
      <c r="AQ185" s="1"/>
    </row>
    <row r="186" spans="1:43" x14ac:dyDescent="0.3">
      <c r="A186" s="9">
        <f t="shared" si="20"/>
        <v>2020</v>
      </c>
      <c r="B186" s="9">
        <f t="shared" si="21"/>
        <v>6</v>
      </c>
      <c r="C186" s="10">
        <v>44011</v>
      </c>
      <c r="D186" s="9">
        <v>0.216</v>
      </c>
      <c r="E186" s="9">
        <v>0.16300000000000001</v>
      </c>
      <c r="F186" s="9">
        <v>24.477171730449182</v>
      </c>
      <c r="G186" s="9">
        <v>10824.154540846201</v>
      </c>
      <c r="H186" s="9">
        <v>54810.025741672449</v>
      </c>
      <c r="I186" s="9">
        <v>1603.0336996233357</v>
      </c>
      <c r="J186" s="20">
        <v>70.98</v>
      </c>
      <c r="K186" s="9">
        <v>71.78</v>
      </c>
      <c r="L186" s="31">
        <f>Table1[[#This Row],[TN550 I (O2)]]/(Table1[[#This Row],[Flowmeter A]]+Table1[[#This Row],[Flowmeter B]])</f>
        <v>2.0993876773914965E-2</v>
      </c>
      <c r="M186" s="33">
        <f>Table1[[#This Row],[TN120 Venting2]]/100</f>
        <v>1.9E-3</v>
      </c>
      <c r="N186" s="31">
        <f>Table1[[#This Row],[TN550 I Venting2]]/100</f>
        <v>0</v>
      </c>
      <c r="O186" s="31">
        <f>(Table1[[#This Row],[TN550 I (O2)]]-Table1[[#This Row],[O2]])/Table1[[#This Row],[TN550 I (O2)]]</f>
        <v>0.11263143494751682</v>
      </c>
      <c r="P186" s="9">
        <f>Table1[[#This Row],[M-N2]]+Table1[[#This Row],[TEN-N2]]</f>
        <v>64329.24033026924</v>
      </c>
      <c r="Q186" s="9">
        <v>1422.4817137655327</v>
      </c>
      <c r="R186" s="9">
        <f>SUM(Table1[[#This Row],[TEN-CDA]:[TEN-CDA WWT]])</f>
        <v>98758.1875649063</v>
      </c>
      <c r="S186" s="9">
        <v>427.1760793311326</v>
      </c>
      <c r="T186" s="9">
        <v>269.09889172481877</v>
      </c>
      <c r="U186" s="9">
        <v>36.607076156478563</v>
      </c>
      <c r="V186" s="42">
        <v>0.19</v>
      </c>
      <c r="W186" s="9">
        <v>0</v>
      </c>
      <c r="X186" s="9">
        <v>74707.076850928177</v>
      </c>
      <c r="Y186" s="9">
        <v>1650.1256270398703</v>
      </c>
      <c r="Z186" s="1">
        <v>61928.243881744449</v>
      </c>
      <c r="AA186" s="1">
        <v>2400.9964485247874</v>
      </c>
      <c r="AB186" s="1">
        <v>35361.600676071306</v>
      </c>
      <c r="AC186" s="1">
        <v>53478.548506896259</v>
      </c>
      <c r="AD186" s="1">
        <v>7173.7222038867321</v>
      </c>
      <c r="AE186" s="1">
        <v>2738.7613131478793</v>
      </c>
      <c r="AF186" s="1">
        <v>5.5548649041303984</v>
      </c>
      <c r="AG186" s="1"/>
      <c r="AH186" s="1"/>
      <c r="AI186" s="1"/>
      <c r="AJ186" s="1"/>
      <c r="AK186" s="1"/>
      <c r="AL186" s="1"/>
      <c r="AM186" s="1"/>
      <c r="AN186" s="1"/>
      <c r="AO186" s="1"/>
      <c r="AP186" s="1"/>
      <c r="AQ186" s="1"/>
    </row>
    <row r="187" spans="1:43" x14ac:dyDescent="0.3">
      <c r="A187" s="9">
        <f t="shared" si="20"/>
        <v>2020</v>
      </c>
      <c r="B187" s="9">
        <f t="shared" si="21"/>
        <v>6</v>
      </c>
      <c r="C187" s="10">
        <v>44012</v>
      </c>
      <c r="D187" s="9">
        <v>0.219</v>
      </c>
      <c r="E187" s="9">
        <v>0.252</v>
      </c>
      <c r="F187" s="9">
        <v>23.731407472609149</v>
      </c>
      <c r="G187" s="9">
        <v>10950.270793800964</v>
      </c>
      <c r="H187" s="9">
        <v>54795.338564256592</v>
      </c>
      <c r="I187" s="9">
        <v>1610.0805049051764</v>
      </c>
      <c r="J187" s="20">
        <v>70.959999999999994</v>
      </c>
      <c r="K187" s="9">
        <v>71.77</v>
      </c>
      <c r="L187" s="31">
        <f>Table1[[#This Row],[TN550 I (O2)]]/(Table1[[#This Row],[Flowmeter A]]+Table1[[#This Row],[Flowmeter B]])</f>
        <v>2.1089780879722585E-2</v>
      </c>
      <c r="M187" s="33">
        <f>Table1[[#This Row],[TN120 Venting2]]/100</f>
        <v>5.0000000000000001E-4</v>
      </c>
      <c r="N187" s="31">
        <f>Table1[[#This Row],[TN550 I Venting2]]/100</f>
        <v>0</v>
      </c>
      <c r="O187" s="31">
        <f>(Table1[[#This Row],[TN550 I (O2)]]-Table1[[#This Row],[O2]])/Table1[[#This Row],[TN550 I (O2)]]</f>
        <v>0.11661106334625332</v>
      </c>
      <c r="P187" s="9">
        <f>Table1[[#This Row],[M-N2]]+Table1[[#This Row],[TEN-N2]]</f>
        <v>64219.754990735877</v>
      </c>
      <c r="Q187" s="9">
        <v>1422.3273051551114</v>
      </c>
      <c r="R187" s="9">
        <f>SUM(Table1[[#This Row],[TEN-CDA]:[TEN-CDA WWT]])</f>
        <v>97247.659216123939</v>
      </c>
      <c r="S187" s="9">
        <v>427.26313149573321</v>
      </c>
      <c r="T187" s="9">
        <v>274.37059825762208</v>
      </c>
      <c r="U187" s="9">
        <v>37.585570927711927</v>
      </c>
      <c r="V187" s="42">
        <v>0.05</v>
      </c>
      <c r="W187" s="9">
        <v>0</v>
      </c>
      <c r="X187" s="9">
        <v>74693.528181384449</v>
      </c>
      <c r="Y187" s="9">
        <v>1650.5796160198267</v>
      </c>
      <c r="Z187" s="1">
        <v>61872.882422146082</v>
      </c>
      <c r="AA187" s="1">
        <v>2346.8725685897921</v>
      </c>
      <c r="AB187" s="1">
        <v>35202.21561361468</v>
      </c>
      <c r="AC187" s="1">
        <v>52295.213442270993</v>
      </c>
      <c r="AD187" s="1">
        <v>7041.4590897570051</v>
      </c>
      <c r="AE187" s="1">
        <v>2701.5201078013856</v>
      </c>
      <c r="AF187" s="1">
        <v>7.2509626798709181</v>
      </c>
      <c r="AG187" s="1"/>
      <c r="AH187" s="1"/>
      <c r="AI187" s="1"/>
      <c r="AJ187" s="1"/>
      <c r="AK187" s="1"/>
      <c r="AL187" s="1"/>
      <c r="AM187" s="1"/>
      <c r="AN187" s="1"/>
      <c r="AO187" s="1"/>
      <c r="AP187" s="1"/>
      <c r="AQ187" s="1"/>
    </row>
    <row r="188" spans="1:43" x14ac:dyDescent="0.3">
      <c r="A188" s="9">
        <f t="shared" si="20"/>
        <v>2020</v>
      </c>
      <c r="B188" s="9">
        <f t="shared" si="21"/>
        <v>7</v>
      </c>
      <c r="C188" s="10">
        <v>44013</v>
      </c>
      <c r="D188" s="9">
        <v>0.222</v>
      </c>
      <c r="E188" s="9">
        <v>0.16600000000000001</v>
      </c>
      <c r="F188" s="9">
        <v>23.400388291442997</v>
      </c>
      <c r="G188" s="9">
        <v>10995.283782556602</v>
      </c>
      <c r="H188" s="9">
        <v>54803.098052025503</v>
      </c>
      <c r="I188" s="9">
        <v>1600.0532633181167</v>
      </c>
      <c r="J188" s="20">
        <v>70.97</v>
      </c>
      <c r="K188" s="9">
        <v>71.78</v>
      </c>
      <c r="L188" s="31">
        <f>Table1[[#This Row],[TN550 I (O2)]]/(Table1[[#This Row],[Flowmeter A]]+Table1[[#This Row],[Flowmeter B]])</f>
        <v>2.0958204950470079E-2</v>
      </c>
      <c r="M188" s="33">
        <f>Table1[[#This Row],[TN120 Venting2]]/100</f>
        <v>5.0000000000000001E-4</v>
      </c>
      <c r="N188" s="31">
        <f>Table1[[#This Row],[TN550 I Venting2]]/100</f>
        <v>0</v>
      </c>
      <c r="O188" s="31">
        <f>(Table1[[#This Row],[TN550 I (O2)]]-Table1[[#This Row],[O2]])/Table1[[#This Row],[TN550 I (O2)]]</f>
        <v>0.11024027916463039</v>
      </c>
      <c r="P188" s="9">
        <f>Table1[[#This Row],[M-N2]]+Table1[[#This Row],[TEN-N2]]</f>
        <v>64325.432140935387</v>
      </c>
      <c r="Q188" s="9">
        <v>1423.6629448916497</v>
      </c>
      <c r="R188" s="9">
        <f>SUM(Table1[[#This Row],[TEN-CDA]:[TEN-CDA WWT]])</f>
        <v>96855.897913545108</v>
      </c>
      <c r="S188" s="9">
        <v>428.10798089095579</v>
      </c>
      <c r="T188" s="9">
        <v>262.16831657838526</v>
      </c>
      <c r="U188" s="9">
        <v>37.059364999192695</v>
      </c>
      <c r="V188" s="42">
        <v>0.05</v>
      </c>
      <c r="W188" s="9">
        <v>0</v>
      </c>
      <c r="X188" s="9">
        <v>74694.866732087088</v>
      </c>
      <c r="Y188" s="9">
        <v>1650.0906294558629</v>
      </c>
      <c r="Z188" s="1">
        <v>61937.209785413776</v>
      </c>
      <c r="AA188" s="1">
        <v>2388.2223555216106</v>
      </c>
      <c r="AB188" s="1">
        <v>34746.941436068701</v>
      </c>
      <c r="AC188" s="1">
        <v>52379.50240718251</v>
      </c>
      <c r="AD188" s="1">
        <v>7030.5450482656361</v>
      </c>
      <c r="AE188" s="1">
        <v>2691.7734005654711</v>
      </c>
      <c r="AF188" s="1">
        <v>7.1356214628006169</v>
      </c>
      <c r="AG188" s="1"/>
      <c r="AH188" s="1"/>
      <c r="AI188" s="1"/>
      <c r="AJ188" s="1"/>
      <c r="AK188" s="1"/>
      <c r="AL188" s="1"/>
      <c r="AM188" s="1"/>
      <c r="AN188" s="1"/>
      <c r="AO188" s="1"/>
      <c r="AP188" s="1"/>
      <c r="AQ188" s="1"/>
    </row>
    <row r="189" spans="1:43" x14ac:dyDescent="0.3">
      <c r="A189" s="9">
        <f t="shared" si="20"/>
        <v>2020</v>
      </c>
      <c r="B189" s="9">
        <f t="shared" si="21"/>
        <v>7</v>
      </c>
      <c r="C189" s="10">
        <v>44014</v>
      </c>
      <c r="D189" s="9">
        <v>0.216</v>
      </c>
      <c r="E189" s="9">
        <v>0.16600000000000001</v>
      </c>
      <c r="F189" s="9">
        <v>22.502531939790448</v>
      </c>
      <c r="G189" s="9">
        <v>10637.051201422622</v>
      </c>
      <c r="H189" s="9">
        <v>54755.648955261102</v>
      </c>
      <c r="I189" s="9">
        <v>1600.1903864842666</v>
      </c>
      <c r="J189" s="20">
        <v>70.97</v>
      </c>
      <c r="K189" s="9">
        <v>71.72</v>
      </c>
      <c r="L189" s="31">
        <f>Table1[[#This Row],[TN550 I (O2)]]/(Table1[[#This Row],[Flowmeter A]]+Table1[[#This Row],[Flowmeter B]])</f>
        <v>2.0960492887239821E-2</v>
      </c>
      <c r="M189" s="33">
        <f>Table1[[#This Row],[TN120 Venting2]]/100</f>
        <v>6.0000000000000001E-3</v>
      </c>
      <c r="N189" s="31">
        <f>Table1[[#This Row],[TN550 I Venting2]]/100</f>
        <v>1E-3</v>
      </c>
      <c r="O189" s="31">
        <f>(Table1[[#This Row],[TN550 I (O2)]]-Table1[[#This Row],[O2]])/Table1[[#This Row],[TN550 I (O2)]]</f>
        <v>0.11009445615126594</v>
      </c>
      <c r="P189" s="9">
        <f>Table1[[#This Row],[M-N2]]+Table1[[#This Row],[TEN-N2]]</f>
        <v>63883.457766890941</v>
      </c>
      <c r="Q189" s="9">
        <v>1424.0182961457972</v>
      </c>
      <c r="R189" s="9">
        <f>SUM(Table1[[#This Row],[TEN-CDA]:[TEN-CDA WWT]])</f>
        <v>97040.515120177792</v>
      </c>
      <c r="S189" s="9">
        <v>426.51405337649362</v>
      </c>
      <c r="T189" s="9">
        <v>267.60705532521359</v>
      </c>
      <c r="U189" s="9">
        <v>37.749333510706606</v>
      </c>
      <c r="V189" s="42">
        <v>0.6</v>
      </c>
      <c r="W189" s="9">
        <v>0.1</v>
      </c>
      <c r="X189" s="9">
        <v>74692.957646599578</v>
      </c>
      <c r="Y189" s="9">
        <v>1650.2082843131941</v>
      </c>
      <c r="Z189" s="1">
        <v>61491.722442097504</v>
      </c>
      <c r="AA189" s="1">
        <v>2391.7353247934379</v>
      </c>
      <c r="AB189" s="1">
        <v>34876.963553413429</v>
      </c>
      <c r="AC189" s="1">
        <v>52369.030434051871</v>
      </c>
      <c r="AD189" s="1">
        <v>7080.6725299949039</v>
      </c>
      <c r="AE189" s="1">
        <v>2705.9653189855676</v>
      </c>
      <c r="AF189" s="1">
        <v>7.8832837320052445</v>
      </c>
      <c r="AG189" s="1"/>
      <c r="AH189" s="1"/>
      <c r="AI189" s="1"/>
      <c r="AJ189" s="1"/>
      <c r="AK189" s="1"/>
      <c r="AL189" s="1"/>
      <c r="AM189" s="1"/>
      <c r="AN189" s="1"/>
      <c r="AO189" s="1"/>
      <c r="AP189" s="1"/>
      <c r="AQ189" s="1"/>
    </row>
    <row r="190" spans="1:43" x14ac:dyDescent="0.3">
      <c r="A190" s="9">
        <f t="shared" si="20"/>
        <v>2020</v>
      </c>
      <c r="B190" s="9">
        <f t="shared" si="21"/>
        <v>7</v>
      </c>
      <c r="C190" s="10">
        <v>44015</v>
      </c>
      <c r="D190" s="9">
        <v>0.219</v>
      </c>
      <c r="E190" s="9">
        <v>0.17</v>
      </c>
      <c r="F190" s="9">
        <v>24.222126962739836</v>
      </c>
      <c r="G190" s="9">
        <v>10641.878269214089</v>
      </c>
      <c r="H190" s="9">
        <v>54800.131261927483</v>
      </c>
      <c r="I190" s="9">
        <v>1600.1941754925508</v>
      </c>
      <c r="J190" s="20">
        <v>70.959999999999994</v>
      </c>
      <c r="K190" s="9">
        <v>71.790000000000006</v>
      </c>
      <c r="L190" s="31">
        <f>Table1[[#This Row],[TN550 I (O2)]]/(Table1[[#This Row],[Flowmeter A]]+Table1[[#This Row],[Flowmeter B]])</f>
        <v>2.0961668924557357E-2</v>
      </c>
      <c r="M190" s="33">
        <f>Table1[[#This Row],[TN120 Venting2]]/100</f>
        <v>5.0000000000000001E-3</v>
      </c>
      <c r="N190" s="31">
        <f>Table1[[#This Row],[TN550 I Venting2]]/100</f>
        <v>4.0000000000000002E-4</v>
      </c>
      <c r="O190" s="31">
        <f>(Table1[[#This Row],[TN550 I (O2)]]-Table1[[#This Row],[O2]])/Table1[[#This Row],[TN550 I (O2)]]</f>
        <v>0.11765056893121481</v>
      </c>
      <c r="P190" s="9">
        <f>Table1[[#This Row],[M-N2]]+Table1[[#This Row],[TEN-N2]]</f>
        <v>63758.933526996771</v>
      </c>
      <c r="Q190" s="9">
        <v>1411.930420345436</v>
      </c>
      <c r="R190" s="9">
        <f>SUM(Table1[[#This Row],[TEN-CDA]:[TEN-CDA WWT]])</f>
        <v>97274.490669256877</v>
      </c>
      <c r="S190" s="9">
        <v>424.36044438591779</v>
      </c>
      <c r="T190" s="9">
        <v>258.39154448764015</v>
      </c>
      <c r="U190" s="9">
        <v>36.099413158991197</v>
      </c>
      <c r="V190" s="42">
        <v>0.5</v>
      </c>
      <c r="W190" s="9">
        <v>0.04</v>
      </c>
      <c r="X190" s="9">
        <v>74689.266102099238</v>
      </c>
      <c r="Y190" s="9">
        <v>1649.7974167346624</v>
      </c>
      <c r="Z190" s="1">
        <v>61387.110592145211</v>
      </c>
      <c r="AA190" s="1">
        <v>2371.822934851557</v>
      </c>
      <c r="AB190" s="1">
        <v>35114.880337547707</v>
      </c>
      <c r="AC190" s="1">
        <v>52307.980346764401</v>
      </c>
      <c r="AD190" s="1">
        <v>7123.5194827946088</v>
      </c>
      <c r="AE190" s="1">
        <v>2717.8114397418244</v>
      </c>
      <c r="AF190" s="1">
        <v>10.299062408336246</v>
      </c>
      <c r="AG190" s="1"/>
      <c r="AH190" s="1"/>
      <c r="AI190" s="1"/>
      <c r="AJ190" s="1"/>
      <c r="AK190" s="1"/>
      <c r="AL190" s="1"/>
      <c r="AM190" s="1"/>
      <c r="AN190" s="1"/>
      <c r="AO190" s="1"/>
      <c r="AP190" s="1"/>
      <c r="AQ190" s="1"/>
    </row>
    <row r="191" spans="1:43" x14ac:dyDescent="0.3">
      <c r="A191" s="9">
        <f t="shared" si="20"/>
        <v>2020</v>
      </c>
      <c r="B191" s="9">
        <f t="shared" si="21"/>
        <v>7</v>
      </c>
      <c r="C191" s="10">
        <v>44016</v>
      </c>
      <c r="D191" s="9">
        <v>0.221</v>
      </c>
      <c r="E191" s="9">
        <v>0.17</v>
      </c>
      <c r="F191" s="9">
        <v>25.360456134444057</v>
      </c>
      <c r="G191" s="9">
        <v>10663.731537479398</v>
      </c>
      <c r="H191" s="9">
        <v>54797.710200164816</v>
      </c>
      <c r="I191" s="9">
        <v>1599.7035475445657</v>
      </c>
      <c r="J191" s="20">
        <v>70.97</v>
      </c>
      <c r="K191" s="9">
        <v>71.78</v>
      </c>
      <c r="L191" s="31">
        <f>Table1[[#This Row],[TN550 I (O2)]]/(Table1[[#This Row],[Flowmeter A]]+Table1[[#This Row],[Flowmeter B]])</f>
        <v>2.0953246523338815E-2</v>
      </c>
      <c r="M191" s="33">
        <f>Table1[[#This Row],[TN120 Venting2]]/100</f>
        <v>7.8000000000000005E-3</v>
      </c>
      <c r="N191" s="31">
        <f>Table1[[#This Row],[TN550 I Venting2]]/100</f>
        <v>1.8E-3</v>
      </c>
      <c r="O191" s="31">
        <f>(Table1[[#This Row],[TN550 I (O2)]]-Table1[[#This Row],[O2]])/Table1[[#This Row],[TN550 I (O2)]]</f>
        <v>0.11890130058013344</v>
      </c>
      <c r="P191" s="9">
        <f>Table1[[#This Row],[M-N2]]+Table1[[#This Row],[TEN-N2]]</f>
        <v>63640.86658672092</v>
      </c>
      <c r="Q191" s="9">
        <v>1409.4967151988635</v>
      </c>
      <c r="R191" s="9">
        <f>SUM(Table1[[#This Row],[TEN-CDA]:[TEN-CDA WWT]])</f>
        <v>97165.006087155634</v>
      </c>
      <c r="S191" s="9">
        <v>430.19030382631553</v>
      </c>
      <c r="T191" s="9">
        <v>272.28355488191454</v>
      </c>
      <c r="U191" s="9">
        <v>36.043868589699059</v>
      </c>
      <c r="V191" s="42">
        <v>0.78</v>
      </c>
      <c r="W191" s="9">
        <v>0.18</v>
      </c>
      <c r="X191" s="9">
        <v>74695.964770558639</v>
      </c>
      <c r="Y191" s="9">
        <v>1650.3687564550714</v>
      </c>
      <c r="Z191" s="1">
        <v>61285.57154319917</v>
      </c>
      <c r="AA191" s="1">
        <v>2355.2950435217513</v>
      </c>
      <c r="AB191" s="1">
        <v>35013.336135387748</v>
      </c>
      <c r="AC191" s="1">
        <v>52330.722574926265</v>
      </c>
      <c r="AD191" s="1">
        <v>7086.619984019886</v>
      </c>
      <c r="AE191" s="1">
        <v>2725.4747666008848</v>
      </c>
      <c r="AF191" s="1">
        <v>8.8526262208408344</v>
      </c>
      <c r="AG191" s="1"/>
      <c r="AH191" s="1"/>
      <c r="AI191" s="1"/>
      <c r="AJ191" s="1"/>
      <c r="AK191" s="1"/>
      <c r="AL191" s="1"/>
      <c r="AM191" s="1"/>
      <c r="AN191" s="1"/>
      <c r="AO191" s="1"/>
      <c r="AP191" s="1"/>
      <c r="AQ191" s="1"/>
    </row>
    <row r="192" spans="1:43" x14ac:dyDescent="0.3">
      <c r="A192" s="9">
        <f t="shared" si="20"/>
        <v>2020</v>
      </c>
      <c r="B192" s="9">
        <f t="shared" si="21"/>
        <v>7</v>
      </c>
      <c r="C192" s="10">
        <v>44017</v>
      </c>
      <c r="D192" s="9">
        <v>0.222</v>
      </c>
      <c r="E192" s="9">
        <v>0.153</v>
      </c>
      <c r="F192" s="9">
        <v>25.062970639929681</v>
      </c>
      <c r="G192" s="9">
        <v>10566.777301055041</v>
      </c>
      <c r="H192" s="9">
        <v>54798.546159351143</v>
      </c>
      <c r="I192" s="9">
        <v>1599.7148438347122</v>
      </c>
      <c r="J192" s="20">
        <v>70.959999999999994</v>
      </c>
      <c r="K192" s="9">
        <v>71.77</v>
      </c>
      <c r="L192" s="31">
        <f>Table1[[#This Row],[TN550 I (O2)]]/(Table1[[#This Row],[Flowmeter A]]+Table1[[#This Row],[Flowmeter B]])</f>
        <v>2.0952775787931376E-2</v>
      </c>
      <c r="M192" s="33">
        <f>Table1[[#This Row],[TN120 Venting2]]/100</f>
        <v>1.15E-2</v>
      </c>
      <c r="N192" s="31">
        <f>Table1[[#This Row],[TN550 I Venting2]]/100</f>
        <v>2.2000000000000001E-3</v>
      </c>
      <c r="O192" s="31">
        <f>(Table1[[#This Row],[TN550 I (O2)]]-Table1[[#This Row],[O2]])/Table1[[#This Row],[TN550 I (O2)]]</f>
        <v>0.11635912470591131</v>
      </c>
      <c r="P192" s="9">
        <f>Table1[[#This Row],[M-N2]]+Table1[[#This Row],[TEN-N2]]</f>
        <v>63717.483036208032</v>
      </c>
      <c r="Q192" s="9">
        <v>1413.5734248270514</v>
      </c>
      <c r="R192" s="9">
        <f>SUM(Table1[[#This Row],[TEN-CDA]:[TEN-CDA WWT]])</f>
        <v>96994.083369178086</v>
      </c>
      <c r="S192" s="9">
        <v>430.57991331737128</v>
      </c>
      <c r="T192" s="9">
        <v>269.88341010237303</v>
      </c>
      <c r="U192" s="9">
        <v>35.612999035201909</v>
      </c>
      <c r="V192" s="42">
        <v>1.1499999999999999</v>
      </c>
      <c r="W192" s="9">
        <v>0.22</v>
      </c>
      <c r="X192" s="9">
        <v>74698.866482694313</v>
      </c>
      <c r="Y192" s="9">
        <v>1649.7214097096471</v>
      </c>
      <c r="Z192" s="1">
        <v>61338.008332971891</v>
      </c>
      <c r="AA192" s="1">
        <v>2379.4747032361424</v>
      </c>
      <c r="AB192" s="1">
        <v>34801.362332473109</v>
      </c>
      <c r="AC192" s="1">
        <v>52365.029694005898</v>
      </c>
      <c r="AD192" s="1">
        <v>7093.0818062543376</v>
      </c>
      <c r="AE192" s="1">
        <v>2726.0262690907466</v>
      </c>
      <c r="AF192" s="1">
        <v>8.5832673539973072</v>
      </c>
      <c r="AG192" s="1"/>
      <c r="AH192" s="1"/>
      <c r="AI192" s="1"/>
      <c r="AJ192" s="1"/>
      <c r="AK192" s="1"/>
      <c r="AL192" s="1"/>
      <c r="AM192" s="1"/>
      <c r="AN192" s="1"/>
      <c r="AO192" s="1"/>
      <c r="AP192" s="1"/>
      <c r="AQ192" s="1"/>
    </row>
    <row r="193" spans="1:43" x14ac:dyDescent="0.3">
      <c r="A193" s="9">
        <f t="shared" si="20"/>
        <v>2020</v>
      </c>
      <c r="B193" s="9">
        <f t="shared" si="21"/>
        <v>7</v>
      </c>
      <c r="C193" s="10">
        <v>44018</v>
      </c>
      <c r="D193" s="9">
        <v>0.217</v>
      </c>
      <c r="E193" s="9">
        <v>0.158</v>
      </c>
      <c r="F193" s="9">
        <v>23.374041718132872</v>
      </c>
      <c r="G193" s="9">
        <v>10538.423748156662</v>
      </c>
      <c r="H193" s="9">
        <v>54799.033451162381</v>
      </c>
      <c r="I193" s="9">
        <v>1600.1098584526533</v>
      </c>
      <c r="J193" s="20">
        <v>70.98</v>
      </c>
      <c r="K193" s="9">
        <v>71.760000000000005</v>
      </c>
      <c r="L193" s="31">
        <f>Table1[[#This Row],[TN550 I (O2)]]/(Table1[[#This Row],[Flowmeter A]]+Table1[[#This Row],[Flowmeter B]])</f>
        <v>2.0955001446886324E-2</v>
      </c>
      <c r="M193" s="33">
        <f>Table1[[#This Row],[TN120 Venting2]]/100</f>
        <v>1.29E-2</v>
      </c>
      <c r="N193" s="31">
        <f>Table1[[#This Row],[TN550 I Venting2]]/100</f>
        <v>3.5999999999999999E-3</v>
      </c>
      <c r="O193" s="31">
        <f>(Table1[[#This Row],[TN550 I (O2)]]-Table1[[#This Row],[O2]])/Table1[[#This Row],[TN550 I (O2)]]</f>
        <v>0.11625687805437823</v>
      </c>
      <c r="P193" s="9">
        <f>Table1[[#This Row],[M-N2]]+Table1[[#This Row],[TEN-N2]]</f>
        <v>63764.347256577734</v>
      </c>
      <c r="Q193" s="9">
        <v>1414.0860817649148</v>
      </c>
      <c r="R193" s="9">
        <f>SUM(Table1[[#This Row],[TEN-CDA]:[TEN-CDA WWT]])</f>
        <v>97457.509456515734</v>
      </c>
      <c r="S193" s="9">
        <v>431.38935562970318</v>
      </c>
      <c r="T193" s="9">
        <v>259.0346297953048</v>
      </c>
      <c r="U193" s="9">
        <v>35.585169231618636</v>
      </c>
      <c r="V193" s="42">
        <v>1.29</v>
      </c>
      <c r="W193" s="9">
        <v>0.36</v>
      </c>
      <c r="X193" s="9">
        <v>74709.138917201606</v>
      </c>
      <c r="Y193" s="9">
        <v>1650.1905015234647</v>
      </c>
      <c r="Z193" s="1">
        <v>61416.646317661347</v>
      </c>
      <c r="AA193" s="1">
        <v>2347.7009389163882</v>
      </c>
      <c r="AB193" s="1">
        <v>35320.334655295803</v>
      </c>
      <c r="AC193" s="1">
        <v>52333.517533396946</v>
      </c>
      <c r="AD193" s="1">
        <v>7057.9550313638529</v>
      </c>
      <c r="AE193" s="1">
        <v>2738.0870158865914</v>
      </c>
      <c r="AF193" s="1">
        <v>7.6152205725570798</v>
      </c>
      <c r="AG193" s="1"/>
      <c r="AH193" s="1"/>
      <c r="AI193" s="1"/>
      <c r="AJ193" s="1"/>
      <c r="AK193" s="1"/>
      <c r="AL193" s="1"/>
      <c r="AM193" s="1"/>
      <c r="AN193" s="1"/>
      <c r="AO193" s="1"/>
      <c r="AP193" s="1"/>
      <c r="AQ193" s="1"/>
    </row>
    <row r="194" spans="1:43" x14ac:dyDescent="0.3">
      <c r="A194" s="9">
        <f t="shared" si="20"/>
        <v>2020</v>
      </c>
      <c r="B194" s="9">
        <f t="shared" si="21"/>
        <v>7</v>
      </c>
      <c r="C194" s="10">
        <v>44019</v>
      </c>
      <c r="D194" s="9">
        <v>0.22</v>
      </c>
      <c r="E194" s="9">
        <v>0.158</v>
      </c>
      <c r="F194" s="9">
        <v>24.12778477797816</v>
      </c>
      <c r="G194" s="9">
        <v>10549.328255795672</v>
      </c>
      <c r="H194" s="9">
        <v>54796.567959533313</v>
      </c>
      <c r="I194" s="9">
        <v>1601.6954263532268</v>
      </c>
      <c r="J194" s="20">
        <v>70.98</v>
      </c>
      <c r="K194" s="9">
        <v>71.760000000000005</v>
      </c>
      <c r="L194" s="31">
        <f>Table1[[#This Row],[TN550 I (O2)]]/(Table1[[#This Row],[Flowmeter A]]+Table1[[#This Row],[Flowmeter B]])</f>
        <v>2.0975768740008144E-2</v>
      </c>
      <c r="M194" s="33">
        <f>Table1[[#This Row],[TN120 Venting2]]/100</f>
        <v>1.2699999999999999E-2</v>
      </c>
      <c r="N194" s="31">
        <f>Table1[[#This Row],[TN550 I Venting2]]/100</f>
        <v>3.0999999999999999E-3</v>
      </c>
      <c r="O194" s="31">
        <f>(Table1[[#This Row],[TN550 I (O2)]]-Table1[[#This Row],[O2]])/Table1[[#This Row],[TN550 I (O2)]]</f>
        <v>0.11976015925734261</v>
      </c>
      <c r="P194" s="9">
        <f>Table1[[#This Row],[M-N2]]+Table1[[#This Row],[TEN-N2]]</f>
        <v>63734.463908188212</v>
      </c>
      <c r="Q194" s="9">
        <v>1409.8761270114071</v>
      </c>
      <c r="R194" s="9">
        <f>SUM(Table1[[#This Row],[TEN-CDA]:[TEN-CDA WWT]])</f>
        <v>97576.55462440323</v>
      </c>
      <c r="S194" s="9">
        <v>432.35968638095153</v>
      </c>
      <c r="T194" s="9">
        <v>262.48532202970148</v>
      </c>
      <c r="U194" s="9">
        <v>37.959344514453683</v>
      </c>
      <c r="V194" s="42">
        <v>1.27</v>
      </c>
      <c r="W194" s="9">
        <v>0.31</v>
      </c>
      <c r="X194" s="9">
        <v>74709.593847588476</v>
      </c>
      <c r="Y194" s="9">
        <v>1649.7256227026046</v>
      </c>
      <c r="Z194" s="1">
        <v>61394.084151088653</v>
      </c>
      <c r="AA194" s="1">
        <v>2340.3797570995621</v>
      </c>
      <c r="AB194" s="1">
        <v>35447.578669869014</v>
      </c>
      <c r="AC194" s="1">
        <v>52243.523421235252</v>
      </c>
      <c r="AD194" s="1">
        <v>7145.3404011564235</v>
      </c>
      <c r="AE194" s="1">
        <v>2733.8855265101815</v>
      </c>
      <c r="AF194" s="1">
        <v>6.2266056323624337</v>
      </c>
      <c r="AG194" s="1"/>
      <c r="AH194" s="1"/>
      <c r="AI194" s="1"/>
      <c r="AJ194" s="1"/>
      <c r="AK194" s="1"/>
      <c r="AL194" s="1"/>
      <c r="AM194" s="1"/>
      <c r="AN194" s="1"/>
      <c r="AO194" s="1"/>
      <c r="AP194" s="1"/>
      <c r="AQ194" s="1"/>
    </row>
    <row r="195" spans="1:43" x14ac:dyDescent="0.3">
      <c r="A195" s="9">
        <f t="shared" si="20"/>
        <v>2020</v>
      </c>
      <c r="B195" s="9">
        <f t="shared" si="21"/>
        <v>7</v>
      </c>
      <c r="C195" s="10">
        <v>44020</v>
      </c>
      <c r="D195" s="9">
        <v>0.219</v>
      </c>
      <c r="E195" s="9">
        <v>0.156</v>
      </c>
      <c r="F195" s="9">
        <v>24.470632558395099</v>
      </c>
      <c r="G195" s="9">
        <v>10643.983222913776</v>
      </c>
      <c r="H195" s="9">
        <v>54766.628534871619</v>
      </c>
      <c r="I195" s="9">
        <v>1608.1204909378253</v>
      </c>
      <c r="J195" s="20">
        <v>70.97</v>
      </c>
      <c r="K195" s="9">
        <v>71.739999999999995</v>
      </c>
      <c r="L195" s="31">
        <f>Table1[[#This Row],[TN550 I (O2)]]/(Table1[[#This Row],[Flowmeter A]]+Table1[[#This Row],[Flowmeter B]])</f>
        <v>2.1064678293274141E-2</v>
      </c>
      <c r="M195" s="33">
        <f>Table1[[#This Row],[TN120 Venting2]]/100</f>
        <v>9.1000000000000004E-3</v>
      </c>
      <c r="N195" s="31">
        <f>Table1[[#This Row],[TN550 I Venting2]]/100</f>
        <v>2.2000000000000001E-3</v>
      </c>
      <c r="O195" s="31">
        <f>(Table1[[#This Row],[TN550 I (O2)]]-Table1[[#This Row],[O2]])/Table1[[#This Row],[TN550 I (O2)]]</f>
        <v>0.12267966020418519</v>
      </c>
      <c r="P195" s="9">
        <f>Table1[[#This Row],[M-N2]]+Table1[[#This Row],[TEN-N2]]</f>
        <v>63679.962309668575</v>
      </c>
      <c r="Q195" s="9">
        <v>1410.8368155421854</v>
      </c>
      <c r="R195" s="9">
        <f>SUM(Table1[[#This Row],[TEN-CDA]:[TEN-CDA WWT]])</f>
        <v>97576.944527992047</v>
      </c>
      <c r="S195" s="9">
        <v>426.97828893509279</v>
      </c>
      <c r="T195" s="9">
        <v>259.46164810847773</v>
      </c>
      <c r="U195" s="9">
        <v>36.519506511383788</v>
      </c>
      <c r="V195" s="42">
        <v>0.91</v>
      </c>
      <c r="W195" s="9">
        <v>0.22</v>
      </c>
      <c r="X195" s="9">
        <v>74691.838843468082</v>
      </c>
      <c r="Y195" s="9">
        <v>1650.2001161912842</v>
      </c>
      <c r="Z195" s="1">
        <v>61300.46089412734</v>
      </c>
      <c r="AA195" s="1">
        <v>2379.5014155412364</v>
      </c>
      <c r="AB195" s="1">
        <v>35404.948934116932</v>
      </c>
      <c r="AC195" s="1">
        <v>52250.161088762143</v>
      </c>
      <c r="AD195" s="1">
        <v>7213.450935697324</v>
      </c>
      <c r="AE195" s="1">
        <v>2702.3186184249762</v>
      </c>
      <c r="AF195" s="1">
        <v>6.064950990664471</v>
      </c>
      <c r="AG195" s="1"/>
      <c r="AH195" s="1"/>
      <c r="AI195" s="1"/>
      <c r="AJ195" s="1"/>
      <c r="AK195" s="1"/>
      <c r="AL195" s="1"/>
      <c r="AM195" s="1"/>
      <c r="AN195" s="1"/>
      <c r="AO195" s="1"/>
      <c r="AP195" s="1"/>
      <c r="AQ195" s="1"/>
    </row>
    <row r="196" spans="1:43" x14ac:dyDescent="0.3">
      <c r="A196" s="9">
        <f t="shared" si="20"/>
        <v>2020</v>
      </c>
      <c r="B196" s="9">
        <f t="shared" si="21"/>
        <v>7</v>
      </c>
      <c r="C196" s="10">
        <v>44021</v>
      </c>
      <c r="D196" s="9">
        <v>0.221</v>
      </c>
      <c r="E196" s="9">
        <v>0.156</v>
      </c>
      <c r="F196" s="9">
        <v>24.438464432768654</v>
      </c>
      <c r="G196" s="9">
        <v>10463.692494632634</v>
      </c>
      <c r="H196" s="9">
        <v>54800.098317683034</v>
      </c>
      <c r="I196" s="9">
        <v>1602.0532623862823</v>
      </c>
      <c r="J196" s="20">
        <v>71.05</v>
      </c>
      <c r="K196" s="9">
        <v>71.78</v>
      </c>
      <c r="L196" s="31">
        <f>Table1[[#This Row],[TN550 I (O2)]]/(Table1[[#This Row],[Flowmeter A]]+Table1[[#This Row],[Flowmeter B]])</f>
        <v>2.09842213558015E-2</v>
      </c>
      <c r="M196" s="33">
        <f>Table1[[#This Row],[TN120 Venting2]]/100</f>
        <v>1.52E-2</v>
      </c>
      <c r="N196" s="31">
        <f>Table1[[#This Row],[TN550 I Venting2]]/100</f>
        <v>4.1999999999999997E-3</v>
      </c>
      <c r="O196" s="31">
        <f>(Table1[[#This Row],[TN550 I (O2)]]-Table1[[#This Row],[O2]])/Table1[[#This Row],[TN550 I (O2)]]</f>
        <v>0.11941265143404739</v>
      </c>
      <c r="P196" s="9">
        <f>Table1[[#This Row],[M-N2]]+Table1[[#This Row],[TEN-N2]]</f>
        <v>63519.422137607886</v>
      </c>
      <c r="Q196" s="9">
        <v>1410.7478345861707</v>
      </c>
      <c r="R196" s="9">
        <f>SUM(Table1[[#This Row],[TEN-CDA]:[TEN-CDA WWT]])</f>
        <v>97863.4629388881</v>
      </c>
      <c r="S196" s="9">
        <v>422.99348872209242</v>
      </c>
      <c r="T196" s="9">
        <v>270.28630400531245</v>
      </c>
      <c r="U196" s="9">
        <v>37.115801044175562</v>
      </c>
      <c r="V196" s="42">
        <v>1.52</v>
      </c>
      <c r="W196" s="9">
        <v>0.42</v>
      </c>
      <c r="X196" s="9">
        <v>74695.403761493755</v>
      </c>
      <c r="Y196" s="9">
        <v>1650.2101749205738</v>
      </c>
      <c r="Z196" s="1">
        <v>61141.644986662905</v>
      </c>
      <c r="AA196" s="1">
        <v>2377.7771509449817</v>
      </c>
      <c r="AB196" s="1">
        <v>35666.210734190667</v>
      </c>
      <c r="AC196" s="1">
        <v>52308.119071499823</v>
      </c>
      <c r="AD196" s="1">
        <v>7179.4581009959447</v>
      </c>
      <c r="AE196" s="1">
        <v>2703.1090619036254</v>
      </c>
      <c r="AF196" s="1">
        <v>6.5659702980294981</v>
      </c>
      <c r="AG196" s="1"/>
      <c r="AH196" s="1"/>
      <c r="AI196" s="1"/>
      <c r="AJ196" s="1"/>
      <c r="AK196" s="1"/>
      <c r="AL196" s="1"/>
      <c r="AM196" s="1"/>
      <c r="AN196" s="1"/>
      <c r="AO196" s="1"/>
      <c r="AP196" s="1"/>
      <c r="AQ196" s="1"/>
    </row>
    <row r="197" spans="1:43" x14ac:dyDescent="0.3">
      <c r="A197" s="9">
        <f t="shared" si="20"/>
        <v>2020</v>
      </c>
      <c r="B197" s="9">
        <f t="shared" si="21"/>
        <v>7</v>
      </c>
      <c r="C197" s="10">
        <v>44022</v>
      </c>
      <c r="D197" s="9">
        <v>0.215</v>
      </c>
      <c r="E197" s="9">
        <v>0.155</v>
      </c>
      <c r="F197" s="9">
        <v>24.447792926817449</v>
      </c>
      <c r="G197" s="9">
        <v>10758.272660858343</v>
      </c>
      <c r="H197" s="9">
        <v>54797.586319721544</v>
      </c>
      <c r="I197" s="9">
        <v>1605.3220226703461</v>
      </c>
      <c r="J197" s="20">
        <v>70.98</v>
      </c>
      <c r="K197" s="9">
        <v>71.760000000000005</v>
      </c>
      <c r="L197" s="31">
        <f>Table1[[#This Row],[TN550 I (O2)]]/(Table1[[#This Row],[Flowmeter A]]+Table1[[#This Row],[Flowmeter B]])</f>
        <v>2.1022411043633969E-2</v>
      </c>
      <c r="M197" s="33">
        <f>Table1[[#This Row],[TN120 Venting2]]/100</f>
        <v>9.5999999999999992E-3</v>
      </c>
      <c r="N197" s="31">
        <f>Table1[[#This Row],[TN550 I Venting2]]/100</f>
        <v>4.0999999999999995E-3</v>
      </c>
      <c r="O197" s="31">
        <f>(Table1[[#This Row],[TN550 I (O2)]]-Table1[[#This Row],[O2]])/Table1[[#This Row],[TN550 I (O2)]]</f>
        <v>0.12128393076876372</v>
      </c>
      <c r="P197" s="9">
        <f>Table1[[#This Row],[M-N2]]+Table1[[#This Row],[TEN-N2]]</f>
        <v>63805.371127550177</v>
      </c>
      <c r="Q197" s="9">
        <v>1410.6222576112241</v>
      </c>
      <c r="R197" s="9">
        <f>SUM(Table1[[#This Row],[TEN-CDA]:[TEN-CDA WWT]])</f>
        <v>97612.965562752492</v>
      </c>
      <c r="S197" s="9">
        <v>425.8209794816832</v>
      </c>
      <c r="T197" s="9">
        <v>264.62257772812325</v>
      </c>
      <c r="U197" s="9">
        <v>36.434835947527809</v>
      </c>
      <c r="V197" s="42">
        <v>0.96</v>
      </c>
      <c r="W197" s="9">
        <v>0.41</v>
      </c>
      <c r="X197" s="9">
        <v>74712.755074600966</v>
      </c>
      <c r="Y197" s="9">
        <v>1649.6573688790336</v>
      </c>
      <c r="Z197" s="1">
        <v>61531.055286584837</v>
      </c>
      <c r="AA197" s="1">
        <v>2274.3158409653397</v>
      </c>
      <c r="AB197" s="1">
        <v>35482.191728834143</v>
      </c>
      <c r="AC197" s="1">
        <v>52180.737023442918</v>
      </c>
      <c r="AD197" s="1">
        <v>7193.7341090036216</v>
      </c>
      <c r="AE197" s="1">
        <v>2752.9588500214154</v>
      </c>
      <c r="AF197" s="1">
        <v>3.3438514503989678</v>
      </c>
      <c r="AG197" s="1"/>
      <c r="AH197" s="1"/>
      <c r="AI197" s="1"/>
      <c r="AJ197" s="1"/>
      <c r="AK197" s="1"/>
      <c r="AL197" s="1"/>
      <c r="AM197" s="1"/>
      <c r="AN197" s="1"/>
      <c r="AO197" s="1"/>
      <c r="AP197" s="1"/>
      <c r="AQ197" s="1"/>
    </row>
    <row r="198" spans="1:43" x14ac:dyDescent="0.3">
      <c r="A198" s="9">
        <f t="shared" si="20"/>
        <v>2020</v>
      </c>
      <c r="B198" s="9">
        <f t="shared" si="21"/>
        <v>7</v>
      </c>
      <c r="C198" s="10">
        <v>44023</v>
      </c>
      <c r="D198" s="9">
        <v>0.217</v>
      </c>
      <c r="E198" s="9">
        <v>0.153</v>
      </c>
      <c r="F198" s="9">
        <v>22.560750026822006</v>
      </c>
      <c r="G198" s="9">
        <v>11083.625813237337</v>
      </c>
      <c r="H198" s="9">
        <v>54802.569363723109</v>
      </c>
      <c r="I198" s="9">
        <v>1600.1643760199352</v>
      </c>
      <c r="J198" s="20">
        <v>70.89</v>
      </c>
      <c r="K198" s="9">
        <v>71.78</v>
      </c>
      <c r="L198" s="31">
        <f>Table1[[#This Row],[TN550 I (O2)]]/(Table1[[#This Row],[Flowmeter A]]+Table1[[#This Row],[Flowmeter B]])</f>
        <v>2.0957897052386425E-2</v>
      </c>
      <c r="M198" s="33">
        <f>Table1[[#This Row],[TN120 Venting2]]/100</f>
        <v>1E-4</v>
      </c>
      <c r="N198" s="31">
        <f>Table1[[#This Row],[TN550 I Venting2]]/100</f>
        <v>0</v>
      </c>
      <c r="O198" s="31">
        <f>(Table1[[#This Row],[TN550 I (O2)]]-Table1[[#This Row],[O2]])/Table1[[#This Row],[TN550 I (O2)]]</f>
        <v>0.11341989338372659</v>
      </c>
      <c r="P198" s="9">
        <f>Table1[[#This Row],[M-N2]]+Table1[[#This Row],[TEN-N2]]</f>
        <v>64288.597627617266</v>
      </c>
      <c r="Q198" s="9">
        <v>1418.6739030953167</v>
      </c>
      <c r="R198" s="9">
        <f>SUM(Table1[[#This Row],[TEN-CDA]:[TEN-CDA WWT]])</f>
        <v>97882.518000156851</v>
      </c>
      <c r="S198" s="9">
        <v>426.54864690437819</v>
      </c>
      <c r="T198" s="9">
        <v>258.65055291244011</v>
      </c>
      <c r="U198" s="9">
        <v>36.798791579617799</v>
      </c>
      <c r="V198" s="42">
        <v>0.01</v>
      </c>
      <c r="W198" s="9">
        <v>0</v>
      </c>
      <c r="X198" s="9">
        <v>74701.489042982299</v>
      </c>
      <c r="Y198" s="9">
        <v>1649.8916332448712</v>
      </c>
      <c r="Z198" s="1">
        <v>62116.533765614156</v>
      </c>
      <c r="AA198" s="1">
        <v>2172.0638620031118</v>
      </c>
      <c r="AB198" s="1">
        <v>35583.255204718946</v>
      </c>
      <c r="AC198" s="1">
        <v>52239.540637469639</v>
      </c>
      <c r="AD198" s="1">
        <v>7269.7610346140909</v>
      </c>
      <c r="AE198" s="1">
        <v>2787.0476843405731</v>
      </c>
      <c r="AF198" s="1">
        <v>2.9134390135964612</v>
      </c>
      <c r="AG198" s="1"/>
      <c r="AH198" s="1"/>
      <c r="AI198" s="1"/>
      <c r="AJ198" s="1"/>
      <c r="AK198" s="1"/>
      <c r="AL198" s="1"/>
      <c r="AM198" s="1"/>
      <c r="AN198" s="1"/>
      <c r="AO198" s="1"/>
      <c r="AP198" s="1"/>
      <c r="AQ198" s="1"/>
    </row>
    <row r="199" spans="1:43" x14ac:dyDescent="0.3">
      <c r="A199" s="9">
        <f t="shared" ref="A199:A262" si="22">YEAR(C199)</f>
        <v>2020</v>
      </c>
      <c r="B199" s="9">
        <f t="shared" ref="B199:B262" si="23">MONTH(C199)</f>
        <v>7</v>
      </c>
      <c r="C199" s="10">
        <v>44024</v>
      </c>
      <c r="D199" s="9">
        <v>0.216</v>
      </c>
      <c r="E199" s="9">
        <v>0.151</v>
      </c>
      <c r="F199" s="9">
        <v>22.227620297550409</v>
      </c>
      <c r="G199" s="9">
        <v>10983.116983512968</v>
      </c>
      <c r="H199" s="9">
        <v>54798.656480417245</v>
      </c>
      <c r="I199" s="9">
        <v>1600.1040917528246</v>
      </c>
      <c r="J199" s="20">
        <v>70.849999999999994</v>
      </c>
      <c r="K199" s="9">
        <v>71.790000000000006</v>
      </c>
      <c r="L199" s="31">
        <f>Table1[[#This Row],[TN550 I (O2)]]/(Table1[[#This Row],[Flowmeter A]]+Table1[[#This Row],[Flowmeter B]])</f>
        <v>2.0963170974367583E-2</v>
      </c>
      <c r="M199" s="33">
        <f>Table1[[#This Row],[TN120 Venting2]]/100</f>
        <v>2.9999999999999997E-4</v>
      </c>
      <c r="N199" s="31">
        <f>Table1[[#This Row],[TN550 I Venting2]]/100</f>
        <v>0</v>
      </c>
      <c r="O199" s="31">
        <f>(Table1[[#This Row],[TN550 I (O2)]]-Table1[[#This Row],[O2]])/Table1[[#This Row],[TN550 I (O2)]]</f>
        <v>0.11262161122813252</v>
      </c>
      <c r="P199" s="9">
        <f>Table1[[#This Row],[M-N2]]+Table1[[#This Row],[TEN-N2]]</f>
        <v>64142.250011859716</v>
      </c>
      <c r="Q199" s="9">
        <v>1419.8977908068939</v>
      </c>
      <c r="R199" s="9">
        <f>SUM(Table1[[#This Row],[TEN-CDA]:[TEN-CDA WWT]])</f>
        <v>97434.369013014963</v>
      </c>
      <c r="S199" s="9">
        <v>429.81921791219605</v>
      </c>
      <c r="T199" s="9">
        <v>268.32014064007876</v>
      </c>
      <c r="U199" s="9">
        <v>36.336708755810832</v>
      </c>
      <c r="V199" s="42">
        <v>0.03</v>
      </c>
      <c r="W199" s="9">
        <v>0</v>
      </c>
      <c r="X199" s="9">
        <v>74679.493228443782</v>
      </c>
      <c r="Y199" s="9">
        <v>1649.803217658229</v>
      </c>
      <c r="Z199" s="1">
        <v>62019.115737226755</v>
      </c>
      <c r="AA199" s="1">
        <v>2123.1342746329587</v>
      </c>
      <c r="AB199" s="1">
        <v>35067.999531033136</v>
      </c>
      <c r="AC199" s="1">
        <v>52343.411609234041</v>
      </c>
      <c r="AD199" s="1">
        <v>7232.8635841809073</v>
      </c>
      <c r="AE199" s="1">
        <v>2788.1165035335162</v>
      </c>
      <c r="AF199" s="1">
        <v>1.9777850333696887</v>
      </c>
      <c r="AG199" s="1"/>
      <c r="AH199" s="1"/>
      <c r="AI199" s="1"/>
      <c r="AJ199" s="1"/>
      <c r="AK199" s="1"/>
      <c r="AL199" s="1"/>
      <c r="AM199" s="1"/>
      <c r="AN199" s="1"/>
      <c r="AO199" s="1"/>
      <c r="AP199" s="1"/>
      <c r="AQ199" s="1"/>
    </row>
    <row r="200" spans="1:43" x14ac:dyDescent="0.3">
      <c r="A200" s="9">
        <f t="shared" si="22"/>
        <v>2020</v>
      </c>
      <c r="B200" s="9">
        <f t="shared" si="23"/>
        <v>7</v>
      </c>
      <c r="C200" s="10">
        <v>44025</v>
      </c>
      <c r="D200" s="9">
        <v>0.26200000000000001</v>
      </c>
      <c r="E200" s="9">
        <v>0.152</v>
      </c>
      <c r="F200" s="9">
        <v>23.12450622304457</v>
      </c>
      <c r="G200" s="9">
        <v>4079.5312574546751</v>
      </c>
      <c r="H200" s="9">
        <v>56709.173371356694</v>
      </c>
      <c r="I200" s="9">
        <v>1637.0595603164577</v>
      </c>
      <c r="J200" s="20">
        <v>70.98</v>
      </c>
      <c r="K200" s="9">
        <v>71.81</v>
      </c>
      <c r="L200" s="31">
        <f>Table1[[#This Row],[TN550 I (O2)]]/(Table1[[#This Row],[Flowmeter A]]+Table1[[#This Row],[Flowmeter B]])</f>
        <v>2.0731147533506914E-2</v>
      </c>
      <c r="M200" s="33">
        <f>Table1[[#This Row],[TN120 Venting2]]/100</f>
        <v>9.4800000000000009E-2</v>
      </c>
      <c r="N200" s="31">
        <f>Table1[[#This Row],[TN550 I Venting2]]/100</f>
        <v>8.0000000000000002E-3</v>
      </c>
      <c r="O200" s="31">
        <f>(Table1[[#This Row],[TN550 I (O2)]]-Table1[[#This Row],[O2]])/Table1[[#This Row],[TN550 I (O2)]]</f>
        <v>0.13591381344611286</v>
      </c>
      <c r="P200" s="9">
        <f>Table1[[#This Row],[M-N2]]+Table1[[#This Row],[TEN-N2]]</f>
        <v>64174.241562323798</v>
      </c>
      <c r="Q200" s="9">
        <v>1414.5605526354311</v>
      </c>
      <c r="R200" s="9">
        <f>SUM(Table1[[#This Row],[TEN-CDA]:[TEN-CDA WWT]])</f>
        <v>97102.664089781101</v>
      </c>
      <c r="S200" s="9">
        <v>427.20255965180559</v>
      </c>
      <c r="T200" s="9">
        <v>260.47553790566991</v>
      </c>
      <c r="U200" s="9">
        <v>36.366447434170553</v>
      </c>
      <c r="V200" s="42">
        <v>9.48</v>
      </c>
      <c r="W200" s="9">
        <v>0.8</v>
      </c>
      <c r="X200" s="9">
        <v>77316.17111597849</v>
      </c>
      <c r="Y200" s="9">
        <v>1650.0104555213393</v>
      </c>
      <c r="Z200" s="1">
        <v>62027.694420649721</v>
      </c>
      <c r="AA200" s="1">
        <v>2146.5471416740761</v>
      </c>
      <c r="AB200" s="1">
        <v>34932.785687565061</v>
      </c>
      <c r="AC200" s="1">
        <v>52286.434312109646</v>
      </c>
      <c r="AD200" s="1">
        <v>7144.7998849946871</v>
      </c>
      <c r="AE200" s="1">
        <v>2735.6441207345702</v>
      </c>
      <c r="AF200" s="1">
        <v>3.0000843771375938</v>
      </c>
      <c r="AG200" s="1"/>
      <c r="AH200" s="1"/>
      <c r="AI200" s="1"/>
      <c r="AJ200" s="1"/>
      <c r="AK200" s="1"/>
      <c r="AL200" s="1"/>
      <c r="AM200" s="1"/>
      <c r="AN200" s="1"/>
      <c r="AO200" s="1"/>
      <c r="AP200" s="1"/>
      <c r="AQ200" s="1"/>
    </row>
    <row r="201" spans="1:43" x14ac:dyDescent="0.3">
      <c r="A201" s="9">
        <f t="shared" si="22"/>
        <v>2020</v>
      </c>
      <c r="B201" s="9">
        <f t="shared" si="23"/>
        <v>7</v>
      </c>
      <c r="C201" s="10">
        <v>44026</v>
      </c>
      <c r="D201" s="9">
        <v>0.28599999999999998</v>
      </c>
      <c r="E201" s="9">
        <v>0.152</v>
      </c>
      <c r="F201" s="9">
        <v>23.481947677156978</v>
      </c>
      <c r="G201" s="9">
        <v>31.761933964539971</v>
      </c>
      <c r="H201" s="9">
        <v>57424.436692184245</v>
      </c>
      <c r="I201" s="9">
        <v>1650.0570751987009</v>
      </c>
      <c r="J201" s="20">
        <v>48.04</v>
      </c>
      <c r="K201" s="9">
        <v>71.94</v>
      </c>
      <c r="L201" s="31">
        <f>Table1[[#This Row],[TN550 I (O2)]]/(Table1[[#This Row],[Flowmeter A]]+Table1[[#This Row],[Flowmeter B]])</f>
        <v>2.0670844047779278E-2</v>
      </c>
      <c r="M201" s="33">
        <f>Table1[[#This Row],[TN120 Venting2]]/100</f>
        <v>9.6699999999999994E-2</v>
      </c>
      <c r="N201" s="31">
        <f>Table1[[#This Row],[TN550 I Venting2]]/100</f>
        <v>0</v>
      </c>
      <c r="O201" s="31">
        <f>(Table1[[#This Row],[TN550 I (O2)]]-Table1[[#This Row],[O2]])/Table1[[#This Row],[TN550 I (O2)]]</f>
        <v>0.14379340000306268</v>
      </c>
      <c r="P201" s="9">
        <f>Table1[[#This Row],[M-N2]]+Table1[[#This Row],[TEN-N2]]</f>
        <v>64091.841351203999</v>
      </c>
      <c r="Q201" s="9">
        <v>1412.7897581567704</v>
      </c>
      <c r="R201" s="9">
        <f>SUM(Table1[[#This Row],[TEN-CDA]:[TEN-CDA WWT]])</f>
        <v>97508.01915047587</v>
      </c>
      <c r="S201" s="9">
        <v>424.7326665874325</v>
      </c>
      <c r="T201" s="9">
        <v>269.85994291073905</v>
      </c>
      <c r="U201" s="9">
        <v>36.31920984203331</v>
      </c>
      <c r="V201" s="42">
        <v>9.67</v>
      </c>
      <c r="W201" s="9">
        <v>0</v>
      </c>
      <c r="X201" s="9">
        <v>78175.232466603047</v>
      </c>
      <c r="Y201" s="9">
        <v>1650.1037114796582</v>
      </c>
      <c r="Z201" s="1">
        <v>61932.864967362075</v>
      </c>
      <c r="AA201" s="1">
        <v>2158.9763838419231</v>
      </c>
      <c r="AB201" s="1">
        <v>35242.216125954197</v>
      </c>
      <c r="AC201" s="1">
        <v>52426.978386862422</v>
      </c>
      <c r="AD201" s="1">
        <v>7110.2330446792594</v>
      </c>
      <c r="AE201" s="1">
        <v>2724.0101735990634</v>
      </c>
      <c r="AF201" s="1">
        <v>4.5814193809388168</v>
      </c>
      <c r="AG201" s="1"/>
      <c r="AH201" s="1"/>
      <c r="AI201" s="1"/>
      <c r="AJ201" s="1"/>
      <c r="AK201" s="1"/>
      <c r="AL201" s="1"/>
      <c r="AM201" s="1"/>
      <c r="AN201" s="1"/>
      <c r="AO201" s="1"/>
      <c r="AP201" s="1"/>
      <c r="AQ201" s="1"/>
    </row>
    <row r="202" spans="1:43" x14ac:dyDescent="0.3">
      <c r="A202" s="9">
        <f t="shared" si="22"/>
        <v>2020</v>
      </c>
      <c r="B202" s="9">
        <f t="shared" si="23"/>
        <v>7</v>
      </c>
      <c r="C202" s="10">
        <v>44027</v>
      </c>
      <c r="D202" s="9">
        <v>0.32100000000000001</v>
      </c>
      <c r="E202" s="9">
        <v>0.15</v>
      </c>
      <c r="F202" s="9">
        <v>23.419715264536787</v>
      </c>
      <c r="G202" s="9">
        <v>9969.6960543379992</v>
      </c>
      <c r="H202" s="9">
        <v>57391.855783201769</v>
      </c>
      <c r="I202" s="9">
        <v>1649.8122899136883</v>
      </c>
      <c r="J202" s="20">
        <v>66.739999999999995</v>
      </c>
      <c r="K202" s="9">
        <v>71.87</v>
      </c>
      <c r="L202" s="31">
        <f>Table1[[#This Row],[TN550 I (O2)]]/(Table1[[#This Row],[Flowmeter A]]+Table1[[#This Row],[Flowmeter B]])</f>
        <v>2.0659752077181546E-2</v>
      </c>
      <c r="M202" s="33">
        <f>Table1[[#This Row],[TN120 Venting2]]/100</f>
        <v>0.37109999999999999</v>
      </c>
      <c r="N202" s="31">
        <f>Table1[[#This Row],[TN550 I Venting2]]/100</f>
        <v>0</v>
      </c>
      <c r="O202" s="31">
        <f>(Table1[[#This Row],[TN550 I (O2)]]-Table1[[#This Row],[O2]])/Table1[[#This Row],[TN550 I (O2)]]</f>
        <v>0.14298678975711981</v>
      </c>
      <c r="P202" s="9">
        <f>Table1[[#This Row],[M-N2]]+Table1[[#This Row],[TEN-N2]]</f>
        <v>64177.907288402428</v>
      </c>
      <c r="Q202" s="9">
        <v>1413.9109268770874</v>
      </c>
      <c r="R202" s="9">
        <f>SUM(Table1[[#This Row],[TEN-CDA]:[TEN-CDA WWT]])</f>
        <v>97534.979687518033</v>
      </c>
      <c r="S202" s="9">
        <v>424.54622400774878</v>
      </c>
      <c r="T202" s="9">
        <v>282.04145036812542</v>
      </c>
      <c r="U202" s="9">
        <v>35.450748703034698</v>
      </c>
      <c r="V202" s="42">
        <v>37.11</v>
      </c>
      <c r="W202" s="9">
        <v>0</v>
      </c>
      <c r="X202" s="9">
        <v>78206.360551483347</v>
      </c>
      <c r="Y202" s="9">
        <v>1649.984469030567</v>
      </c>
      <c r="Z202" s="1">
        <v>62005.393699037129</v>
      </c>
      <c r="AA202" s="1">
        <v>2172.5135893652955</v>
      </c>
      <c r="AB202" s="1">
        <v>35335.987931557946</v>
      </c>
      <c r="AC202" s="1">
        <v>52304.22495771166</v>
      </c>
      <c r="AD202" s="1">
        <v>7146.1493066474022</v>
      </c>
      <c r="AE202" s="1">
        <v>2744.3599969571369</v>
      </c>
      <c r="AF202" s="1">
        <v>4.2574946438786387</v>
      </c>
      <c r="AG202" s="1"/>
      <c r="AH202" s="1"/>
      <c r="AI202" s="1"/>
      <c r="AJ202" s="1"/>
      <c r="AK202" s="1"/>
      <c r="AL202" s="1"/>
      <c r="AM202" s="1"/>
      <c r="AN202" s="1"/>
      <c r="AO202" s="1"/>
      <c r="AP202" s="1"/>
      <c r="AQ202" s="1"/>
    </row>
    <row r="203" spans="1:43" x14ac:dyDescent="0.3">
      <c r="A203" s="9">
        <f t="shared" si="22"/>
        <v>2020</v>
      </c>
      <c r="B203" s="9">
        <f t="shared" si="23"/>
        <v>7</v>
      </c>
      <c r="C203" s="10">
        <v>44028</v>
      </c>
      <c r="D203" s="9">
        <v>0.28399999999999997</v>
      </c>
      <c r="E203" s="9">
        <v>0.16300000000000001</v>
      </c>
      <c r="F203" s="9">
        <v>24.189442303013585</v>
      </c>
      <c r="G203" s="9">
        <v>11010.069617182078</v>
      </c>
      <c r="H203" s="9">
        <v>57437.876152886281</v>
      </c>
      <c r="I203" s="9">
        <v>1649.8099433898926</v>
      </c>
      <c r="J203" s="20">
        <v>68.91</v>
      </c>
      <c r="K203" s="9">
        <v>72.040000000000006</v>
      </c>
      <c r="L203" s="31">
        <f>Table1[[#This Row],[TN550 I (O2)]]/(Table1[[#This Row],[Flowmeter A]]+Table1[[#This Row],[Flowmeter B]])</f>
        <v>2.0691587795186137E-2</v>
      </c>
      <c r="M203" s="33">
        <f>Table1[[#This Row],[TN120 Venting2]]/100</f>
        <v>0.20219999999999999</v>
      </c>
      <c r="N203" s="31">
        <f>Table1[[#This Row],[TN550 I Venting2]]/100</f>
        <v>2E-3</v>
      </c>
      <c r="O203" s="31">
        <f>(Table1[[#This Row],[TN550 I (O2)]]-Table1[[#This Row],[O2]])/Table1[[#This Row],[TN550 I (O2)]]</f>
        <v>0.14229781570440458</v>
      </c>
      <c r="P203" s="9">
        <f>Table1[[#This Row],[M-N2]]+Table1[[#This Row],[TEN-N2]]</f>
        <v>65796.415173839647</v>
      </c>
      <c r="Q203" s="9">
        <v>1415.0455921181035</v>
      </c>
      <c r="R203" s="9">
        <f>SUM(Table1[[#This Row],[TEN-CDA]:[TEN-CDA WWT]])</f>
        <v>95441.350725522061</v>
      </c>
      <c r="S203" s="9">
        <v>420.06499000988759</v>
      </c>
      <c r="T203" s="9">
        <v>269.32005136398539</v>
      </c>
      <c r="U203" s="9">
        <v>33.665097476871871</v>
      </c>
      <c r="V203" s="42">
        <v>20.22</v>
      </c>
      <c r="W203" s="9">
        <v>0.2</v>
      </c>
      <c r="X203" s="9">
        <v>78083.142122395817</v>
      </c>
      <c r="Y203" s="9">
        <v>1650.2239063686795</v>
      </c>
      <c r="Z203" s="1">
        <v>63617.373313887925</v>
      </c>
      <c r="AA203" s="1">
        <v>2179.0418599517207</v>
      </c>
      <c r="AB203" s="1">
        <v>34671.260317270993</v>
      </c>
      <c r="AC203" s="1">
        <v>51004.629941772211</v>
      </c>
      <c r="AD203" s="1">
        <v>7089.6643735632806</v>
      </c>
      <c r="AE203" s="1">
        <v>2672.0403965480787</v>
      </c>
      <c r="AF203" s="1">
        <v>3.7556963674956769</v>
      </c>
      <c r="AG203" s="1"/>
      <c r="AH203" s="1"/>
      <c r="AI203" s="1"/>
      <c r="AJ203" s="1"/>
      <c r="AK203" s="1"/>
      <c r="AL203" s="1"/>
      <c r="AM203" s="1"/>
      <c r="AN203" s="1"/>
      <c r="AO203" s="1"/>
      <c r="AP203" s="1"/>
      <c r="AQ203" s="1"/>
    </row>
    <row r="204" spans="1:43" x14ac:dyDescent="0.3">
      <c r="A204" s="9">
        <f t="shared" si="22"/>
        <v>2020</v>
      </c>
      <c r="B204" s="9">
        <f t="shared" si="23"/>
        <v>7</v>
      </c>
      <c r="C204" s="10">
        <v>44029</v>
      </c>
      <c r="D204" s="9">
        <v>0.20200000000000001</v>
      </c>
      <c r="E204" s="9">
        <v>0.159</v>
      </c>
      <c r="F204" s="9">
        <v>24.103462818841979</v>
      </c>
      <c r="G204" s="9">
        <v>11999.585418383502</v>
      </c>
      <c r="H204" s="9">
        <v>57480.173677676095</v>
      </c>
      <c r="I204" s="9">
        <v>1649.9237558654745</v>
      </c>
      <c r="J204" s="20">
        <v>70.59</v>
      </c>
      <c r="K204" s="9">
        <v>72</v>
      </c>
      <c r="L204" s="31">
        <f>Table1[[#This Row],[TN550 I (O2)]]/(Table1[[#This Row],[Flowmeter A]]+Table1[[#This Row],[Flowmeter B]])</f>
        <v>2.0666547957072467E-2</v>
      </c>
      <c r="M204" s="33">
        <f>Table1[[#This Row],[TN120 Venting2]]/100</f>
        <v>0</v>
      </c>
      <c r="N204" s="31">
        <f>Table1[[#This Row],[TN550 I Venting2]]/100</f>
        <v>0</v>
      </c>
      <c r="O204" s="31">
        <f>(Table1[[#This Row],[TN550 I (O2)]]-Table1[[#This Row],[O2]])/Table1[[#This Row],[TN550 I (O2)]]</f>
        <v>0.1423997062736885</v>
      </c>
      <c r="P204" s="9">
        <f>Table1[[#This Row],[M-N2]]+Table1[[#This Row],[TEN-N2]]</f>
        <v>66128.039213203039</v>
      </c>
      <c r="Q204" s="9">
        <v>1414.97509765625</v>
      </c>
      <c r="R204" s="9">
        <f>SUM(Table1[[#This Row],[TEN-CDA]:[TEN-CDA WWT]])</f>
        <v>94755.733483624776</v>
      </c>
      <c r="S204" s="9">
        <v>420.7750244140625</v>
      </c>
      <c r="T204" s="9">
        <v>277.89528554880644</v>
      </c>
      <c r="U204" s="9">
        <v>32.369522094726563</v>
      </c>
      <c r="V204" s="42">
        <v>0</v>
      </c>
      <c r="W204" s="9">
        <v>0</v>
      </c>
      <c r="X204" s="9">
        <v>78186.012973846286</v>
      </c>
      <c r="Y204" s="9">
        <v>1649.4660472565438</v>
      </c>
      <c r="Z204" s="1">
        <v>63963.5</v>
      </c>
      <c r="AA204" s="1">
        <v>2164.5392132030438</v>
      </c>
      <c r="AB204" s="1">
        <v>34347.113831540599</v>
      </c>
      <c r="AC204" s="1">
        <v>50689.625</v>
      </c>
      <c r="AD204" s="1">
        <v>7071.28125</v>
      </c>
      <c r="AE204" s="1">
        <v>2642.3125</v>
      </c>
      <c r="AF204" s="1">
        <v>5.4009020841763844</v>
      </c>
      <c r="AG204" s="1"/>
      <c r="AH204" s="1"/>
      <c r="AI204" s="1"/>
      <c r="AJ204" s="1"/>
      <c r="AK204" s="1"/>
      <c r="AL204" s="1"/>
      <c r="AM204" s="1"/>
      <c r="AN204" s="1"/>
      <c r="AO204" s="1"/>
      <c r="AP204" s="1"/>
      <c r="AQ204" s="1"/>
    </row>
    <row r="205" spans="1:43" x14ac:dyDescent="0.3">
      <c r="A205" s="9">
        <f t="shared" si="22"/>
        <v>2020</v>
      </c>
      <c r="B205" s="9">
        <f t="shared" si="23"/>
        <v>7</v>
      </c>
      <c r="C205" s="10">
        <v>44030</v>
      </c>
      <c r="D205" s="9">
        <v>0.21299999999999999</v>
      </c>
      <c r="E205" s="9">
        <v>0.155</v>
      </c>
      <c r="F205" s="9">
        <v>23.475492403293799</v>
      </c>
      <c r="G205" s="9">
        <v>12017.406809778366</v>
      </c>
      <c r="H205" s="9">
        <v>57490.203580412905</v>
      </c>
      <c r="I205" s="9">
        <v>1650.29640196695</v>
      </c>
      <c r="J205" s="20">
        <v>70.7</v>
      </c>
      <c r="K205" s="9">
        <v>72.13</v>
      </c>
      <c r="L205" s="31">
        <f>Table1[[#This Row],[TN550 I (O2)]]/(Table1[[#This Row],[Flowmeter A]]+Table1[[#This Row],[Flowmeter B]])</f>
        <v>2.0705410803144867E-2</v>
      </c>
      <c r="M205" s="33">
        <f>Table1[[#This Row],[TN120 Venting2]]/100</f>
        <v>0</v>
      </c>
      <c r="N205" s="31">
        <f>Table1[[#This Row],[TN550 I Venting2]]/100</f>
        <v>0</v>
      </c>
      <c r="O205" s="31">
        <f>(Table1[[#This Row],[TN550 I (O2)]]-Table1[[#This Row],[O2]])/Table1[[#This Row],[TN550 I (O2)]]</f>
        <v>0.1425933571873671</v>
      </c>
      <c r="P205" s="9">
        <f>Table1[[#This Row],[M-N2]]+Table1[[#This Row],[TEN-N2]]</f>
        <v>66137.101495492636</v>
      </c>
      <c r="Q205" s="9">
        <v>1414.97509765625</v>
      </c>
      <c r="R205" s="9">
        <f>SUM(Table1[[#This Row],[TEN-CDA]:[TEN-CDA WWT]])</f>
        <v>94955.127075012599</v>
      </c>
      <c r="S205" s="9">
        <v>420.7750244140625</v>
      </c>
      <c r="T205" s="9">
        <v>269.95570101397141</v>
      </c>
      <c r="U205" s="9">
        <v>32.369522094726563</v>
      </c>
      <c r="V205" s="42">
        <v>0</v>
      </c>
      <c r="W205" s="9">
        <v>0</v>
      </c>
      <c r="X205" s="9">
        <v>78053.418047362939</v>
      </c>
      <c r="Y205" s="9">
        <v>1650.2119678547613</v>
      </c>
      <c r="Z205" s="1">
        <v>63963.5</v>
      </c>
      <c r="AA205" s="1">
        <v>2173.6014954926318</v>
      </c>
      <c r="AB205" s="1">
        <v>34547.511206410476</v>
      </c>
      <c r="AC205" s="1">
        <v>50689.625</v>
      </c>
      <c r="AD205" s="1">
        <v>7071.28125</v>
      </c>
      <c r="AE205" s="1">
        <v>2642.3125</v>
      </c>
      <c r="AF205" s="1">
        <v>4.3971186021212318</v>
      </c>
      <c r="AG205" s="1"/>
      <c r="AH205" s="1"/>
      <c r="AI205" s="1"/>
      <c r="AJ205" s="1"/>
      <c r="AK205" s="1"/>
      <c r="AL205" s="1"/>
      <c r="AM205" s="1"/>
      <c r="AN205" s="1"/>
      <c r="AO205" s="1"/>
      <c r="AP205" s="1"/>
      <c r="AQ205" s="1"/>
    </row>
    <row r="206" spans="1:43" x14ac:dyDescent="0.3">
      <c r="A206" s="9">
        <f t="shared" si="22"/>
        <v>2020</v>
      </c>
      <c r="B206" s="9">
        <f t="shared" si="23"/>
        <v>7</v>
      </c>
      <c r="C206" s="10">
        <v>44031</v>
      </c>
      <c r="D206" s="9">
        <v>0.21099999999999999</v>
      </c>
      <c r="E206" s="9">
        <v>0.16</v>
      </c>
      <c r="F206" s="9">
        <v>22.792234647116835</v>
      </c>
      <c r="G206" s="9">
        <v>12083.643617035696</v>
      </c>
      <c r="H206" s="9">
        <v>57470.901405816272</v>
      </c>
      <c r="I206" s="9">
        <v>1649.6334946875272</v>
      </c>
      <c r="J206" s="20">
        <v>71.099999999999994</v>
      </c>
      <c r="K206" s="9">
        <v>72.16</v>
      </c>
      <c r="L206" s="31">
        <f>Table1[[#This Row],[TN550 I (O2)]]/(Table1[[#This Row],[Flowmeter A]]+Table1[[#This Row],[Flowmeter B]])</f>
        <v>2.0712456305104453E-2</v>
      </c>
      <c r="M206" s="33">
        <f>Table1[[#This Row],[TN120 Venting2]]/100</f>
        <v>5.9999999999999995E-4</v>
      </c>
      <c r="N206" s="31">
        <f>Table1[[#This Row],[TN550 I Venting2]]/100</f>
        <v>2.9999999999999997E-4</v>
      </c>
      <c r="O206" s="31">
        <f>(Table1[[#This Row],[TN550 I (O2)]]-Table1[[#This Row],[O2]])/Table1[[#This Row],[TN550 I (O2)]]</f>
        <v>0.14224880725747271</v>
      </c>
      <c r="P206" s="9">
        <f>Table1[[#This Row],[M-N2]]+Table1[[#This Row],[TEN-N2]]</f>
        <v>66135.078255541535</v>
      </c>
      <c r="Q206" s="9">
        <v>1414.97509765625</v>
      </c>
      <c r="R206" s="9">
        <f>SUM(Table1[[#This Row],[TEN-CDA]:[TEN-CDA WWT]])</f>
        <v>95805.119495784777</v>
      </c>
      <c r="S206" s="9">
        <v>420.7750244140625</v>
      </c>
      <c r="T206" s="9">
        <v>284.84200356223369</v>
      </c>
      <c r="U206" s="9">
        <v>32.369522094726563</v>
      </c>
      <c r="V206" s="42">
        <v>0.06</v>
      </c>
      <c r="W206" s="9">
        <v>0.03</v>
      </c>
      <c r="X206" s="9">
        <v>77994.647223065578</v>
      </c>
      <c r="Y206" s="9">
        <v>1649.8657399375434</v>
      </c>
      <c r="Z206" s="1">
        <v>63963.5</v>
      </c>
      <c r="AA206" s="1">
        <v>2171.5782555415349</v>
      </c>
      <c r="AB206" s="1">
        <v>35397.411812543374</v>
      </c>
      <c r="AC206" s="1">
        <v>50689.625</v>
      </c>
      <c r="AD206" s="1">
        <v>7071.28125</v>
      </c>
      <c r="AE206" s="1">
        <v>2642.3125</v>
      </c>
      <c r="AF206" s="1">
        <v>4.4889332414045668</v>
      </c>
      <c r="AG206" s="1"/>
      <c r="AH206" s="1"/>
      <c r="AI206" s="1"/>
      <c r="AJ206" s="1"/>
      <c r="AK206" s="1"/>
      <c r="AL206" s="1"/>
      <c r="AM206" s="1"/>
      <c r="AN206" s="1"/>
      <c r="AO206" s="1"/>
      <c r="AP206" s="1"/>
      <c r="AQ206" s="1"/>
    </row>
    <row r="207" spans="1:43" x14ac:dyDescent="0.3">
      <c r="A207" s="9">
        <f t="shared" si="22"/>
        <v>2020</v>
      </c>
      <c r="B207" s="9">
        <f t="shared" si="23"/>
        <v>7</v>
      </c>
      <c r="C207" s="10">
        <v>44032</v>
      </c>
      <c r="D207" s="9">
        <v>0.21199999999999999</v>
      </c>
      <c r="E207" s="9">
        <v>0.155</v>
      </c>
      <c r="F207" s="9">
        <v>22.866605745347517</v>
      </c>
      <c r="G207" s="9">
        <v>10430.942450880157</v>
      </c>
      <c r="H207" s="9">
        <v>55453.061421105136</v>
      </c>
      <c r="I207" s="9">
        <v>1610.3028262030491</v>
      </c>
      <c r="J207" s="20">
        <v>70.930000000000007</v>
      </c>
      <c r="K207" s="9">
        <v>72.09</v>
      </c>
      <c r="L207" s="31">
        <f>Table1[[#This Row],[TN550 I (O2)]]/(Table1[[#This Row],[Flowmeter A]]+Table1[[#This Row],[Flowmeter B]])</f>
        <v>2.0934524182666378E-2</v>
      </c>
      <c r="M207" s="33">
        <f>Table1[[#This Row],[TN120 Venting2]]/100</f>
        <v>8.8999999999999999E-3</v>
      </c>
      <c r="N207" s="31">
        <f>Table1[[#This Row],[TN550 I Venting2]]/100</f>
        <v>2.0999999999999999E-3</v>
      </c>
      <c r="O207" s="31">
        <f>(Table1[[#This Row],[TN550 I (O2)]]-Table1[[#This Row],[O2]])/Table1[[#This Row],[TN550 I (O2)]]</f>
        <v>0.12456349763623338</v>
      </c>
      <c r="P207" s="9">
        <f>Table1[[#This Row],[M-N2]]+Table1[[#This Row],[TEN-N2]]</f>
        <v>64978.11669735473</v>
      </c>
      <c r="Q207" s="9">
        <v>1409.7178739176857</v>
      </c>
      <c r="R207" s="9">
        <f>SUM(Table1[[#This Row],[TEN-CDA]:[TEN-CDA WWT]])</f>
        <v>97471.51291605366</v>
      </c>
      <c r="S207" s="9">
        <v>421.2965355118115</v>
      </c>
      <c r="T207" s="9">
        <v>273.12836151917776</v>
      </c>
      <c r="U207" s="9">
        <v>34.298233581251566</v>
      </c>
      <c r="V207" s="42">
        <v>0.89</v>
      </c>
      <c r="W207" s="9">
        <v>0.21</v>
      </c>
      <c r="X207" s="9">
        <v>75270.824899158571</v>
      </c>
      <c r="Y207" s="9">
        <v>1650.0934915430093</v>
      </c>
      <c r="Z207" s="1">
        <v>62824.081176249187</v>
      </c>
      <c r="AA207" s="1">
        <v>2154.0355211055421</v>
      </c>
      <c r="AB207" s="1">
        <v>36070.182270883939</v>
      </c>
      <c r="AC207" s="1">
        <v>51635.908253479007</v>
      </c>
      <c r="AD207" s="1">
        <v>7132.2588826285464</v>
      </c>
      <c r="AE207" s="1">
        <v>2627.7189458529156</v>
      </c>
      <c r="AF207" s="1">
        <v>5.444563209245306</v>
      </c>
      <c r="AG207" s="1"/>
      <c r="AH207" s="1"/>
      <c r="AI207" s="1"/>
      <c r="AJ207" s="1"/>
      <c r="AK207" s="1"/>
      <c r="AL207" s="1"/>
      <c r="AM207" s="1"/>
      <c r="AN207" s="1"/>
      <c r="AO207" s="1"/>
      <c r="AP207" s="1"/>
      <c r="AQ207" s="1"/>
    </row>
    <row r="208" spans="1:43" x14ac:dyDescent="0.3">
      <c r="A208" s="9">
        <f t="shared" si="22"/>
        <v>2020</v>
      </c>
      <c r="B208" s="9">
        <f t="shared" si="23"/>
        <v>7</v>
      </c>
      <c r="C208" s="10">
        <v>44033</v>
      </c>
      <c r="D208" s="9">
        <v>0.216</v>
      </c>
      <c r="E208" s="9">
        <v>0.15</v>
      </c>
      <c r="F208" s="9">
        <v>23.96255504017816</v>
      </c>
      <c r="G208" s="9">
        <v>10578.988206025546</v>
      </c>
      <c r="H208" s="9">
        <v>55295.879968880115</v>
      </c>
      <c r="I208" s="9">
        <v>1600.0032186408907</v>
      </c>
      <c r="J208" s="20">
        <v>70.92</v>
      </c>
      <c r="K208" s="9">
        <v>71.97</v>
      </c>
      <c r="L208" s="31">
        <f>Table1[[#This Row],[TN550 I (O2)]]/(Table1[[#This Row],[Flowmeter A]]+Table1[[#This Row],[Flowmeter B]])</f>
        <v>2.082353819419637E-2</v>
      </c>
      <c r="M208" s="33">
        <f>Table1[[#This Row],[TN120 Venting2]]/100</f>
        <v>9.4999999999999998E-3</v>
      </c>
      <c r="N208" s="31">
        <f>Table1[[#This Row],[TN550 I Venting2]]/100</f>
        <v>5.9999999999999995E-4</v>
      </c>
      <c r="O208" s="31">
        <f>(Table1[[#This Row],[TN550 I (O2)]]-Table1[[#This Row],[O2]])/Table1[[#This Row],[TN550 I (O2)]]</f>
        <v>0.11528791083756447</v>
      </c>
      <c r="P208" s="9">
        <f>Table1[[#This Row],[M-N2]]+Table1[[#This Row],[TEN-N2]]</f>
        <v>64084.22341291538</v>
      </c>
      <c r="Q208" s="9">
        <v>1415.5421902304035</v>
      </c>
      <c r="R208" s="9">
        <f>SUM(Table1[[#This Row],[TEN-CDA]:[TEN-CDA WWT]])</f>
        <v>98277.416304820814</v>
      </c>
      <c r="S208" s="9">
        <v>422.83876045354486</v>
      </c>
      <c r="T208" s="9">
        <v>239.29471973205881</v>
      </c>
      <c r="U208" s="9">
        <v>36.140620224010107</v>
      </c>
      <c r="V208" s="42">
        <v>0.95</v>
      </c>
      <c r="W208" s="9">
        <v>0.06</v>
      </c>
      <c r="X208" s="9">
        <v>75186.056834446572</v>
      </c>
      <c r="Y208" s="9">
        <v>1650.2235190439851</v>
      </c>
      <c r="Z208" s="1">
        <v>61938.468931554104</v>
      </c>
      <c r="AA208" s="1">
        <v>2145.7544813612781</v>
      </c>
      <c r="AB208" s="1">
        <v>35498.366455586402</v>
      </c>
      <c r="AC208" s="1">
        <v>53051.455272444626</v>
      </c>
      <c r="AD208" s="1">
        <v>7087.9325579696579</v>
      </c>
      <c r="AE208" s="1">
        <v>2635.9716270297181</v>
      </c>
      <c r="AF208" s="1">
        <v>3.6903917904035817</v>
      </c>
      <c r="AG208" s="1"/>
      <c r="AH208" s="1"/>
      <c r="AI208" s="1"/>
      <c r="AJ208" s="1"/>
      <c r="AK208" s="1"/>
      <c r="AL208" s="1"/>
      <c r="AM208" s="1"/>
      <c r="AN208" s="1"/>
      <c r="AO208" s="1"/>
      <c r="AP208" s="1"/>
      <c r="AQ208" s="1"/>
    </row>
    <row r="209" spans="1:43" x14ac:dyDescent="0.3">
      <c r="A209" s="9">
        <f t="shared" si="22"/>
        <v>2020</v>
      </c>
      <c r="B209" s="9">
        <f t="shared" si="23"/>
        <v>7</v>
      </c>
      <c r="C209" s="10">
        <v>44034</v>
      </c>
      <c r="D209" s="9">
        <v>0.215</v>
      </c>
      <c r="E209" s="9">
        <v>0.153</v>
      </c>
      <c r="F209" s="9">
        <v>23.648211021873372</v>
      </c>
      <c r="G209" s="9">
        <v>10380.603885647988</v>
      </c>
      <c r="H209" s="9">
        <v>55305.378358670197</v>
      </c>
      <c r="I209" s="9">
        <v>1600.2232445763846</v>
      </c>
      <c r="J209" s="20">
        <v>70.98</v>
      </c>
      <c r="K209" s="9">
        <v>71.98</v>
      </c>
      <c r="L209" s="31">
        <f>Table1[[#This Row],[TN550 I (O2)]]/(Table1[[#This Row],[Flowmeter A]]+Table1[[#This Row],[Flowmeter B]])</f>
        <v>2.0826650017207717E-2</v>
      </c>
      <c r="M209" s="33">
        <f>Table1[[#This Row],[TN120 Venting2]]/100</f>
        <v>1.8000000000000002E-2</v>
      </c>
      <c r="N209" s="31">
        <f>Table1[[#This Row],[TN550 I Venting2]]/100</f>
        <v>1.9E-3</v>
      </c>
      <c r="O209" s="31">
        <f>(Table1[[#This Row],[TN550 I (O2)]]-Table1[[#This Row],[O2]])/Table1[[#This Row],[TN550 I (O2)]]</f>
        <v>0.11117858107689838</v>
      </c>
      <c r="P209" s="9">
        <f>Table1[[#This Row],[M-N2]]+Table1[[#This Row],[TEN-N2]]</f>
        <v>63840.93802013305</v>
      </c>
      <c r="Q209" s="9">
        <v>1422.3126948381116</v>
      </c>
      <c r="R209" s="9">
        <f>SUM(Table1[[#This Row],[TEN-CDA]:[TEN-CDA WWT]])</f>
        <v>97998.104924968982</v>
      </c>
      <c r="S209" s="9">
        <v>423.45622362484954</v>
      </c>
      <c r="T209" s="9">
        <v>244.25365626423169</v>
      </c>
      <c r="U209" s="9">
        <v>36.540319665118609</v>
      </c>
      <c r="V209" s="42">
        <v>1.8</v>
      </c>
      <c r="W209" s="9">
        <v>0.19</v>
      </c>
      <c r="X209" s="9">
        <v>75185.231393129783</v>
      </c>
      <c r="Y209" s="9">
        <v>1650.1330679920627</v>
      </c>
      <c r="Z209" s="1">
        <v>61683.934051873701</v>
      </c>
      <c r="AA209" s="1">
        <v>2157.0039682593469</v>
      </c>
      <c r="AB209" s="1">
        <v>35431.025744383238</v>
      </c>
      <c r="AC209" s="1">
        <v>52867.559214521163</v>
      </c>
      <c r="AD209" s="1">
        <v>7068.3777338328418</v>
      </c>
      <c r="AE209" s="1">
        <v>2628.2742222740285</v>
      </c>
      <c r="AF209" s="1">
        <v>2.8680099577198321</v>
      </c>
      <c r="AG209" s="1"/>
      <c r="AH209" s="1"/>
      <c r="AI209" s="1"/>
      <c r="AJ209" s="1"/>
      <c r="AK209" s="1"/>
      <c r="AL209" s="1"/>
      <c r="AM209" s="1"/>
      <c r="AN209" s="1"/>
      <c r="AO209" s="1"/>
      <c r="AP209" s="1"/>
      <c r="AQ209" s="1"/>
    </row>
    <row r="210" spans="1:43" x14ac:dyDescent="0.3">
      <c r="A210" s="9">
        <f t="shared" si="22"/>
        <v>2020</v>
      </c>
      <c r="B210" s="9">
        <f t="shared" si="23"/>
        <v>7</v>
      </c>
      <c r="C210" s="10">
        <v>44035</v>
      </c>
      <c r="D210" s="9">
        <v>0.216</v>
      </c>
      <c r="E210" s="9">
        <v>0.152</v>
      </c>
      <c r="F210" s="9">
        <v>23.73079878617127</v>
      </c>
      <c r="G210" s="9">
        <v>10685.348576563583</v>
      </c>
      <c r="H210" s="9">
        <v>55292.556305842299</v>
      </c>
      <c r="I210" s="9">
        <v>1600.0674914135691</v>
      </c>
      <c r="J210" s="20">
        <v>70.97</v>
      </c>
      <c r="K210" s="9">
        <v>71.95</v>
      </c>
      <c r="L210" s="31">
        <f>Table1[[#This Row],[TN550 I (O2)]]/(Table1[[#This Row],[Flowmeter A]]+Table1[[#This Row],[Flowmeter B]])</f>
        <v>2.0822167144494343E-2</v>
      </c>
      <c r="M210" s="33">
        <f>Table1[[#This Row],[TN120 Venting2]]/100</f>
        <v>8.5000000000000006E-3</v>
      </c>
      <c r="N210" s="31">
        <f>Table1[[#This Row],[TN550 I Venting2]]/100</f>
        <v>2.9999999999999997E-4</v>
      </c>
      <c r="O210" s="31">
        <f>(Table1[[#This Row],[TN550 I (O2)]]-Table1[[#This Row],[O2]])/Table1[[#This Row],[TN550 I (O2)]]</f>
        <v>0.11201459401014831</v>
      </c>
      <c r="P210" s="9">
        <f>Table1[[#This Row],[M-N2]]+Table1[[#This Row],[TEN-N2]]</f>
        <v>64135.307622524357</v>
      </c>
      <c r="Q210" s="9">
        <v>1420.8365809740417</v>
      </c>
      <c r="R210" s="9">
        <f>SUM(Table1[[#This Row],[TEN-CDA]:[TEN-CDA WWT]])</f>
        <v>98035.01929491543</v>
      </c>
      <c r="S210" s="9">
        <v>426.41964429422518</v>
      </c>
      <c r="T210" s="9">
        <v>235.68692861605984</v>
      </c>
      <c r="U210" s="9">
        <v>38.735852566466903</v>
      </c>
      <c r="V210" s="42">
        <v>0.85</v>
      </c>
      <c r="W210" s="9">
        <v>0.03</v>
      </c>
      <c r="X210" s="9">
        <v>75194.654590995837</v>
      </c>
      <c r="Y210" s="9">
        <v>1649.7718469433121</v>
      </c>
      <c r="Z210" s="1">
        <v>61990.863479137741</v>
      </c>
      <c r="AA210" s="1">
        <v>2144.4441433866182</v>
      </c>
      <c r="AB210" s="1">
        <v>35266.19945458883</v>
      </c>
      <c r="AC210" s="1">
        <v>53036.260593771687</v>
      </c>
      <c r="AD210" s="1">
        <v>7104.8903156309634</v>
      </c>
      <c r="AE210" s="1">
        <v>2625.0950281380119</v>
      </c>
      <c r="AF210" s="1">
        <v>2.573902785938329</v>
      </c>
      <c r="AG210" s="1"/>
      <c r="AH210" s="1"/>
      <c r="AI210" s="1"/>
      <c r="AJ210" s="1"/>
      <c r="AK210" s="1"/>
      <c r="AL210" s="1"/>
      <c r="AM210" s="1"/>
      <c r="AN210" s="1"/>
      <c r="AO210" s="1"/>
      <c r="AP210" s="1"/>
      <c r="AQ210" s="1"/>
    </row>
    <row r="211" spans="1:43" x14ac:dyDescent="0.3">
      <c r="A211" s="9">
        <f t="shared" si="22"/>
        <v>2020</v>
      </c>
      <c r="B211" s="9">
        <f t="shared" si="23"/>
        <v>7</v>
      </c>
      <c r="C211" s="10">
        <v>44036</v>
      </c>
      <c r="D211" s="9">
        <v>0.218</v>
      </c>
      <c r="E211" s="9">
        <v>0.15</v>
      </c>
      <c r="F211" s="9">
        <v>23.082806789072581</v>
      </c>
      <c r="G211" s="9">
        <v>10593.266027552479</v>
      </c>
      <c r="H211" s="9">
        <v>55288.603094096979</v>
      </c>
      <c r="I211" s="9">
        <v>1599.9320307247842</v>
      </c>
      <c r="J211" s="20">
        <v>71.010000000000005</v>
      </c>
      <c r="K211" s="9">
        <v>71.94</v>
      </c>
      <c r="L211" s="31">
        <f>Table1[[#This Row],[TN550 I (O2)]]/(Table1[[#This Row],[Flowmeter A]]+Table1[[#This Row],[Flowmeter B]])</f>
        <v>2.081876726174995E-2</v>
      </c>
      <c r="M211" s="33">
        <f>Table1[[#This Row],[TN120 Venting2]]/100</f>
        <v>2.4399999999999998E-2</v>
      </c>
      <c r="N211" s="31">
        <f>Table1[[#This Row],[TN550 I Venting2]]/100</f>
        <v>1E-3</v>
      </c>
      <c r="O211" s="31">
        <f>(Table1[[#This Row],[TN550 I (O2)]]-Table1[[#This Row],[O2]])/Table1[[#This Row],[TN550 I (O2)]]</f>
        <v>0.11095401981057619</v>
      </c>
      <c r="P211" s="9">
        <f>Table1[[#This Row],[M-N2]]+Table1[[#This Row],[TEN-N2]]</f>
        <v>63894.468931030024</v>
      </c>
      <c r="Q211" s="9">
        <v>1422.4131404921711</v>
      </c>
      <c r="R211" s="9">
        <f>SUM(Table1[[#This Row],[TEN-CDA]:[TEN-CDA WWT]])</f>
        <v>97630.87773261714</v>
      </c>
      <c r="S211" s="9">
        <v>420.6165858737964</v>
      </c>
      <c r="T211" s="9">
        <v>247.61855123971256</v>
      </c>
      <c r="U211" s="9">
        <v>37.932047544131258</v>
      </c>
      <c r="V211" s="42">
        <v>2.44</v>
      </c>
      <c r="W211" s="9">
        <v>0.1</v>
      </c>
      <c r="X211" s="9">
        <v>75200.26760387751</v>
      </c>
      <c r="Y211" s="9">
        <v>1650.2015237695721</v>
      </c>
      <c r="Z211" s="1">
        <v>61715.721067726408</v>
      </c>
      <c r="AA211" s="1">
        <v>2178.7478633036139</v>
      </c>
      <c r="AB211" s="1">
        <v>34783.676250216864</v>
      </c>
      <c r="AC211" s="1">
        <v>53086.697963653714</v>
      </c>
      <c r="AD211" s="1">
        <v>7121.8054167028104</v>
      </c>
      <c r="AE211" s="1">
        <v>2634.7555123937368</v>
      </c>
      <c r="AF211" s="1">
        <v>3.9425896500042743</v>
      </c>
      <c r="AG211" s="1"/>
      <c r="AH211" s="1"/>
      <c r="AI211" s="1"/>
      <c r="AJ211" s="1"/>
      <c r="AK211" s="1"/>
      <c r="AL211" s="1"/>
      <c r="AM211" s="1"/>
      <c r="AN211" s="1"/>
      <c r="AO211" s="1"/>
      <c r="AP211" s="1"/>
      <c r="AQ211" s="1"/>
    </row>
    <row r="212" spans="1:43" x14ac:dyDescent="0.3">
      <c r="A212" s="9">
        <f t="shared" si="22"/>
        <v>2020</v>
      </c>
      <c r="B212" s="9">
        <f t="shared" si="23"/>
        <v>7</v>
      </c>
      <c r="C212" s="10">
        <v>44037</v>
      </c>
      <c r="D212" s="9">
        <v>0.216</v>
      </c>
      <c r="E212" s="9">
        <v>0.152</v>
      </c>
      <c r="F212" s="9">
        <v>23.451608664455055</v>
      </c>
      <c r="G212" s="9">
        <v>10682.634347485468</v>
      </c>
      <c r="H212" s="9">
        <v>55299.256749869885</v>
      </c>
      <c r="I212" s="9">
        <v>1599.9402894887719</v>
      </c>
      <c r="J212" s="20">
        <v>70.98</v>
      </c>
      <c r="K212" s="9">
        <v>71.959999999999994</v>
      </c>
      <c r="L212" s="31">
        <f>Table1[[#This Row],[TN550 I (O2)]]/(Table1[[#This Row],[Flowmeter A]]+Table1[[#This Row],[Flowmeter B]])</f>
        <v>2.0819786185348445E-2</v>
      </c>
      <c r="M212" s="33">
        <f>Table1[[#This Row],[TN120 Venting2]]/100</f>
        <v>1.4499999999999999E-2</v>
      </c>
      <c r="N212" s="31">
        <f>Table1[[#This Row],[TN550 I Venting2]]/100</f>
        <v>2.0000000000000001E-4</v>
      </c>
      <c r="O212" s="31">
        <f>(Table1[[#This Row],[TN550 I (O2)]]-Table1[[#This Row],[O2]])/Table1[[#This Row],[TN550 I (O2)]]</f>
        <v>0.10968954294644473</v>
      </c>
      <c r="P212" s="9">
        <f>Table1[[#This Row],[M-N2]]+Table1[[#This Row],[TEN-N2]]</f>
        <v>63926.929652513849</v>
      </c>
      <c r="Q212" s="9">
        <v>1424.443570393146</v>
      </c>
      <c r="R212" s="9">
        <f>SUM(Table1[[#This Row],[TEN-CDA]:[TEN-CDA WWT]])</f>
        <v>97957.180051324787</v>
      </c>
      <c r="S212" s="9">
        <v>416.63148364054501</v>
      </c>
      <c r="T212" s="9">
        <v>252.67780886881059</v>
      </c>
      <c r="U212" s="9">
        <v>37.663286827240945</v>
      </c>
      <c r="V212" s="42">
        <v>1.45</v>
      </c>
      <c r="W212" s="9">
        <v>0.02</v>
      </c>
      <c r="X212" s="9">
        <v>75197.040266091251</v>
      </c>
      <c r="Y212" s="9">
        <v>1650.0644661706822</v>
      </c>
      <c r="Z212" s="1">
        <v>61791.089412734211</v>
      </c>
      <c r="AA212" s="1">
        <v>2135.8402397796399</v>
      </c>
      <c r="AB212" s="1">
        <v>35064.00168069049</v>
      </c>
      <c r="AC212" s="1">
        <v>53104.830155382544</v>
      </c>
      <c r="AD212" s="1">
        <v>7125.8451768926743</v>
      </c>
      <c r="AE212" s="1">
        <v>2659.1238042022683</v>
      </c>
      <c r="AF212" s="1">
        <v>3.379234156798181</v>
      </c>
      <c r="AG212" s="1"/>
      <c r="AH212" s="1"/>
      <c r="AI212" s="1"/>
      <c r="AJ212" s="1"/>
      <c r="AK212" s="1"/>
      <c r="AL212" s="1"/>
      <c r="AM212" s="1"/>
      <c r="AN212" s="1"/>
      <c r="AO212" s="1"/>
      <c r="AP212" s="1"/>
      <c r="AQ212" s="1"/>
    </row>
    <row r="213" spans="1:43" x14ac:dyDescent="0.3">
      <c r="A213" s="9">
        <f t="shared" si="22"/>
        <v>2020</v>
      </c>
      <c r="B213" s="9">
        <f t="shared" si="23"/>
        <v>7</v>
      </c>
      <c r="C213" s="10">
        <v>44038</v>
      </c>
      <c r="D213" s="9">
        <v>0.218</v>
      </c>
      <c r="E213" s="9">
        <v>0.155</v>
      </c>
      <c r="F213" s="9">
        <v>23.73094181349342</v>
      </c>
      <c r="G213" s="9">
        <v>10370.066432002515</v>
      </c>
      <c r="H213" s="9">
        <v>55313.469080716517</v>
      </c>
      <c r="I213" s="9">
        <v>1600.0386984915804</v>
      </c>
      <c r="J213" s="20">
        <v>71</v>
      </c>
      <c r="K213" s="9">
        <v>71.92</v>
      </c>
      <c r="L213" s="31">
        <f>Table1[[#This Row],[TN550 I (O2)]]/(Table1[[#This Row],[Flowmeter A]]+Table1[[#This Row],[Flowmeter B]])</f>
        <v>2.080462753405294E-2</v>
      </c>
      <c r="M213" s="33">
        <f>Table1[[#This Row],[TN120 Venting2]]/100</f>
        <v>3.1200000000000002E-2</v>
      </c>
      <c r="N213" s="31">
        <f>Table1[[#This Row],[TN550 I Venting2]]/100</f>
        <v>1.8E-3</v>
      </c>
      <c r="O213" s="31">
        <f>(Table1[[#This Row],[TN550 I (O2)]]-Table1[[#This Row],[O2]])/Table1[[#This Row],[TN550 I (O2)]]</f>
        <v>0.10659717477531502</v>
      </c>
      <c r="P213" s="9">
        <f>Table1[[#This Row],[M-N2]]+Table1[[#This Row],[TEN-N2]]</f>
        <v>63511.59941690883</v>
      </c>
      <c r="Q213" s="9">
        <v>1429.4790937012058</v>
      </c>
      <c r="R213" s="9">
        <f>SUM(Table1[[#This Row],[TEN-CDA]:[TEN-CDA WWT]])</f>
        <v>98259.04656522478</v>
      </c>
      <c r="S213" s="9">
        <v>422.15381880157281</v>
      </c>
      <c r="T213" s="9">
        <v>246.13312729061849</v>
      </c>
      <c r="U213" s="9">
        <v>37.625902657704088</v>
      </c>
      <c r="V213" s="42">
        <v>3.12</v>
      </c>
      <c r="W213" s="9">
        <v>0.18</v>
      </c>
      <c r="X213" s="9">
        <v>75257.739015874395</v>
      </c>
      <c r="Y213" s="9">
        <v>1650.0881428979983</v>
      </c>
      <c r="Z213" s="1">
        <v>61389.258793806381</v>
      </c>
      <c r="AA213" s="1">
        <v>2122.3406231024464</v>
      </c>
      <c r="AB213" s="1">
        <v>35500.45270753817</v>
      </c>
      <c r="AC213" s="1">
        <v>53037.344818051701</v>
      </c>
      <c r="AD213" s="1">
        <v>7087.6355053321258</v>
      </c>
      <c r="AE213" s="1">
        <v>2628.9205209598367</v>
      </c>
      <c r="AF213" s="1">
        <v>4.6930133429337175</v>
      </c>
      <c r="AG213" s="1"/>
      <c r="AH213" s="1"/>
      <c r="AI213" s="1"/>
      <c r="AJ213" s="1"/>
      <c r="AK213" s="1"/>
      <c r="AL213" s="1"/>
      <c r="AM213" s="1"/>
      <c r="AN213" s="1"/>
      <c r="AO213" s="1"/>
      <c r="AP213" s="1"/>
      <c r="AQ213" s="1"/>
    </row>
    <row r="214" spans="1:43" x14ac:dyDescent="0.3">
      <c r="A214" s="9">
        <f t="shared" si="22"/>
        <v>2020</v>
      </c>
      <c r="B214" s="9">
        <f t="shared" si="23"/>
        <v>7</v>
      </c>
      <c r="C214" s="10">
        <v>44039</v>
      </c>
      <c r="D214" s="9">
        <v>0.218</v>
      </c>
      <c r="E214" s="9">
        <v>0.154</v>
      </c>
      <c r="F214" s="9">
        <v>24.289096060599988</v>
      </c>
      <c r="G214" s="9">
        <v>10490.692730471461</v>
      </c>
      <c r="H214" s="9">
        <v>55098.720894235776</v>
      </c>
      <c r="I214" s="9">
        <v>1602.7989119900999</v>
      </c>
      <c r="J214" s="20">
        <v>71.010000000000005</v>
      </c>
      <c r="K214" s="9">
        <v>71.930000000000007</v>
      </c>
      <c r="L214" s="31">
        <f>Table1[[#This Row],[TN550 I (O2)]]/(Table1[[#This Row],[Flowmeter A]]+Table1[[#This Row],[Flowmeter B]])</f>
        <v>2.0924272022616493E-2</v>
      </c>
      <c r="M214" s="33">
        <f>Table1[[#This Row],[TN120 Venting2]]/100</f>
        <v>3.1200000000000002E-2</v>
      </c>
      <c r="N214" s="31">
        <f>Table1[[#This Row],[TN550 I Venting2]]/100</f>
        <v>1.5E-3</v>
      </c>
      <c r="O214" s="31">
        <f>(Table1[[#This Row],[TN550 I (O2)]]-Table1[[#This Row],[O2]])/Table1[[#This Row],[TN550 I (O2)]]</f>
        <v>0.11261220044358489</v>
      </c>
      <c r="P214" s="9">
        <f>Table1[[#This Row],[M-N2]]+Table1[[#This Row],[TEN-N2]]</f>
        <v>63285.431104227209</v>
      </c>
      <c r="Q214" s="9">
        <v>1422.304199642311</v>
      </c>
      <c r="R214" s="9">
        <f>SUM(Table1[[#This Row],[TEN-CDA]:[TEN-CDA WWT]])</f>
        <v>98407.100262263062</v>
      </c>
      <c r="S214" s="9">
        <v>424.0800927590364</v>
      </c>
      <c r="T214" s="9">
        <v>237.90946328284255</v>
      </c>
      <c r="U214" s="9">
        <v>38.165132244621027</v>
      </c>
      <c r="V214" s="42">
        <v>3.12</v>
      </c>
      <c r="W214" s="9">
        <v>0.15</v>
      </c>
      <c r="X214" s="9">
        <v>74950.309382590218</v>
      </c>
      <c r="Y214" s="9">
        <v>1649.6750879651718</v>
      </c>
      <c r="Z214" s="1">
        <v>61178.814912604095</v>
      </c>
      <c r="AA214" s="1">
        <v>2106.6161916231131</v>
      </c>
      <c r="AB214" s="1">
        <v>35729.557997375952</v>
      </c>
      <c r="AC214" s="1">
        <v>52936.955266524979</v>
      </c>
      <c r="AD214" s="1">
        <v>7068.1147332174924</v>
      </c>
      <c r="AE214" s="1">
        <v>2668.5570818062542</v>
      </c>
      <c r="AF214" s="1">
        <v>3.9151833383864121</v>
      </c>
      <c r="AG214" s="1"/>
      <c r="AH214" s="1"/>
      <c r="AI214" s="1"/>
      <c r="AJ214" s="1"/>
      <c r="AK214" s="1"/>
      <c r="AL214" s="1"/>
      <c r="AM214" s="1"/>
      <c r="AN214" s="1"/>
      <c r="AO214" s="1"/>
      <c r="AP214" s="1"/>
      <c r="AQ214" s="1"/>
    </row>
    <row r="215" spans="1:43" x14ac:dyDescent="0.3">
      <c r="A215" s="9">
        <f t="shared" si="22"/>
        <v>2020</v>
      </c>
      <c r="B215" s="9">
        <f t="shared" si="23"/>
        <v>7</v>
      </c>
      <c r="C215" s="10">
        <v>44040</v>
      </c>
      <c r="D215" s="9">
        <v>0.219</v>
      </c>
      <c r="E215" s="9">
        <v>0.155</v>
      </c>
      <c r="F215" s="9">
        <v>24.822364006333679</v>
      </c>
      <c r="G215" s="9">
        <v>10749.93297704502</v>
      </c>
      <c r="H215" s="9">
        <v>54980.554820328762</v>
      </c>
      <c r="I215" s="9">
        <v>1614.5214798852519</v>
      </c>
      <c r="J215" s="20">
        <v>70.94</v>
      </c>
      <c r="K215" s="9">
        <v>72.13</v>
      </c>
      <c r="L215" s="31">
        <f>Table1[[#This Row],[TN550 I (O2)]]/(Table1[[#This Row],[Flowmeter A]]+Table1[[#This Row],[Flowmeter B]])</f>
        <v>2.1180958496132739E-2</v>
      </c>
      <c r="M215" s="33">
        <f>Table1[[#This Row],[TN120 Venting2]]/100</f>
        <v>1.0700000000000001E-2</v>
      </c>
      <c r="N215" s="31">
        <f>Table1[[#This Row],[TN550 I Venting2]]/100</f>
        <v>1E-4</v>
      </c>
      <c r="O215" s="31">
        <f>(Table1[[#This Row],[TN550 I (O2)]]-Table1[[#This Row],[O2]])/Table1[[#This Row],[TN550 I (O2)]]</f>
        <v>0.11965802690425384</v>
      </c>
      <c r="P215" s="9">
        <f>Table1[[#This Row],[M-N2]]+Table1[[#This Row],[TEN-N2]]</f>
        <v>63459.947139827353</v>
      </c>
      <c r="Q215" s="9">
        <v>1421.3310252076467</v>
      </c>
      <c r="R215" s="9">
        <f>SUM(Table1[[#This Row],[TEN-CDA]:[TEN-CDA WWT]])</f>
        <v>97778.220267832672</v>
      </c>
      <c r="S215" s="9">
        <v>427.08438915117682</v>
      </c>
      <c r="T215" s="9">
        <v>228.26866682530439</v>
      </c>
      <c r="U215" s="9">
        <v>38.285989724290943</v>
      </c>
      <c r="V215" s="42">
        <v>1.07</v>
      </c>
      <c r="W215" s="9">
        <v>0.01</v>
      </c>
      <c r="X215" s="9">
        <v>74575.16215952464</v>
      </c>
      <c r="Y215" s="9">
        <v>1649.9756301572802</v>
      </c>
      <c r="Z215" s="1">
        <v>61379.653235600279</v>
      </c>
      <c r="AA215" s="1">
        <v>2080.2939042270723</v>
      </c>
      <c r="AB215" s="1">
        <v>35217.843484342469</v>
      </c>
      <c r="AC215" s="1">
        <v>52751.644769799619</v>
      </c>
      <c r="AD215" s="1">
        <v>7123.0635758452245</v>
      </c>
      <c r="AE215" s="1">
        <v>2682.6728554592623</v>
      </c>
      <c r="AF215" s="1">
        <v>2.9955823861067699</v>
      </c>
      <c r="AG215" s="1"/>
      <c r="AH215" s="1"/>
      <c r="AI215" s="1"/>
      <c r="AJ215" s="1"/>
      <c r="AK215" s="1"/>
      <c r="AL215" s="1"/>
      <c r="AM215" s="1"/>
      <c r="AN215" s="1"/>
      <c r="AO215" s="1"/>
      <c r="AP215" s="1"/>
      <c r="AQ215" s="1"/>
    </row>
    <row r="216" spans="1:43" x14ac:dyDescent="0.3">
      <c r="A216" s="9">
        <f t="shared" si="22"/>
        <v>2020</v>
      </c>
      <c r="B216" s="9">
        <f t="shared" si="23"/>
        <v>7</v>
      </c>
      <c r="C216" s="10">
        <v>44041</v>
      </c>
      <c r="D216" s="9">
        <v>0.217</v>
      </c>
      <c r="E216" s="9">
        <v>0.153</v>
      </c>
      <c r="F216" s="9">
        <v>25.389068600868367</v>
      </c>
      <c r="G216" s="9">
        <v>10751.930334701379</v>
      </c>
      <c r="H216" s="9">
        <v>55026.545823213048</v>
      </c>
      <c r="I216" s="9">
        <v>1601.7276342790381</v>
      </c>
      <c r="J216" s="20">
        <v>70.62</v>
      </c>
      <c r="K216" s="9">
        <v>72.150000000000006</v>
      </c>
      <c r="L216" s="31">
        <f>Table1[[#This Row],[TN550 I (O2)]]/(Table1[[#This Row],[Flowmeter A]]+Table1[[#This Row],[Flowmeter B]])</f>
        <v>2.1001471579007312E-2</v>
      </c>
      <c r="M216" s="33">
        <f>Table1[[#This Row],[TN120 Venting2]]/100</f>
        <v>1.7100000000000001E-2</v>
      </c>
      <c r="N216" s="31">
        <f>Table1[[#This Row],[TN550 I Venting2]]/100</f>
        <v>0</v>
      </c>
      <c r="O216" s="31">
        <f>(Table1[[#This Row],[TN550 I (O2)]]-Table1[[#This Row],[O2]])/Table1[[#This Row],[TN550 I (O2)]]</f>
        <v>0.11417250560359754</v>
      </c>
      <c r="P216" s="9">
        <f>Table1[[#This Row],[M-N2]]+Table1[[#This Row],[TEN-N2]]</f>
        <v>63425.345445430423</v>
      </c>
      <c r="Q216" s="9">
        <v>1418.8543769788776</v>
      </c>
      <c r="R216" s="9">
        <f>SUM(Table1[[#This Row],[TEN-CDA]:[TEN-CDA WWT]])</f>
        <v>97704.620097547609</v>
      </c>
      <c r="S216" s="9">
        <v>427.94480102877912</v>
      </c>
      <c r="T216" s="9">
        <v>237.93849208601475</v>
      </c>
      <c r="U216" s="9">
        <v>38.652863300649102</v>
      </c>
      <c r="V216" s="42">
        <v>1.71</v>
      </c>
      <c r="W216" s="9">
        <v>0</v>
      </c>
      <c r="X216" s="9">
        <v>74617.269544803945</v>
      </c>
      <c r="Y216" s="9">
        <v>1650.1304920628036</v>
      </c>
      <c r="Z216" s="1">
        <v>61372.169771426095</v>
      </c>
      <c r="AA216" s="1">
        <v>2053.1756740043265</v>
      </c>
      <c r="AB216" s="1">
        <v>35118.192414664292</v>
      </c>
      <c r="AC216" s="1">
        <v>52720.816208362259</v>
      </c>
      <c r="AD216" s="1">
        <v>7165.2544324823257</v>
      </c>
      <c r="AE216" s="1">
        <v>2695.0590042654298</v>
      </c>
      <c r="AF216" s="1">
        <v>5.2980377733045616</v>
      </c>
      <c r="AG216" s="1"/>
      <c r="AH216" s="1"/>
      <c r="AI216" s="1"/>
      <c r="AJ216" s="1"/>
      <c r="AK216" s="1"/>
      <c r="AL216" s="1"/>
      <c r="AM216" s="1"/>
      <c r="AN216" s="1"/>
      <c r="AO216" s="1"/>
      <c r="AP216" s="1"/>
      <c r="AQ216" s="1"/>
    </row>
    <row r="217" spans="1:43" x14ac:dyDescent="0.3">
      <c r="A217" s="9">
        <f t="shared" si="22"/>
        <v>2020</v>
      </c>
      <c r="B217" s="9">
        <f t="shared" si="23"/>
        <v>7</v>
      </c>
      <c r="C217" s="10">
        <v>44042</v>
      </c>
      <c r="D217" s="9">
        <v>0.216</v>
      </c>
      <c r="E217" s="9">
        <v>0.155</v>
      </c>
      <c r="F217" s="9">
        <v>25.202641184672476</v>
      </c>
      <c r="G217" s="9">
        <v>10727.275044999133</v>
      </c>
      <c r="H217" s="9">
        <v>54995.504152931993</v>
      </c>
      <c r="I217" s="9">
        <v>1604.2466868202691</v>
      </c>
      <c r="J217" s="20">
        <v>70.97</v>
      </c>
      <c r="K217" s="9">
        <v>71.739999999999995</v>
      </c>
      <c r="L217" s="31">
        <f>Table1[[#This Row],[TN550 I (O2)]]/(Table1[[#This Row],[Flowmeter A]]+Table1[[#This Row],[Flowmeter B]])</f>
        <v>2.0927321845598711E-2</v>
      </c>
      <c r="M217" s="33">
        <f>Table1[[#This Row],[TN120 Venting2]]/100</f>
        <v>1.38E-2</v>
      </c>
      <c r="N217" s="31">
        <f>Table1[[#This Row],[TN550 I Venting2]]/100</f>
        <v>0</v>
      </c>
      <c r="O217" s="31">
        <f>(Table1[[#This Row],[TN550 I (O2)]]-Table1[[#This Row],[O2]])/Table1[[#This Row],[TN550 I (O2)]]</f>
        <v>0.12120559217814057</v>
      </c>
      <c r="P217" s="9">
        <f>Table1[[#This Row],[M-N2]]+Table1[[#This Row],[TEN-N2]]</f>
        <v>63475.077114637323</v>
      </c>
      <c r="Q217" s="9">
        <v>1409.8030171443984</v>
      </c>
      <c r="R217" s="9">
        <f>SUM(Table1[[#This Row],[TEN-CDA]:[TEN-CDA WWT]])</f>
        <v>98395.393600703304</v>
      </c>
      <c r="S217" s="9">
        <v>424.51843594214222</v>
      </c>
      <c r="T217" s="9">
        <v>238.3632011545937</v>
      </c>
      <c r="U217" s="9">
        <v>38.06298443346202</v>
      </c>
      <c r="V217" s="42">
        <v>1.38</v>
      </c>
      <c r="W217" s="9">
        <v>0</v>
      </c>
      <c r="X217" s="9">
        <v>75007.993564581891</v>
      </c>
      <c r="Y217" s="9">
        <v>1650.0087663596244</v>
      </c>
      <c r="Z217" s="1">
        <v>61407.697941967381</v>
      </c>
      <c r="AA217" s="1">
        <v>2067.3791726699396</v>
      </c>
      <c r="AB217" s="1">
        <v>35802.929565514401</v>
      </c>
      <c r="AC217" s="1">
        <v>52719.022464325986</v>
      </c>
      <c r="AD217" s="1">
        <v>7187.1955334294762</v>
      </c>
      <c r="AE217" s="1">
        <v>2681.3657800911369</v>
      </c>
      <c r="AF217" s="1">
        <v>4.8802573423235467</v>
      </c>
      <c r="AG217" s="1"/>
      <c r="AH217" s="1"/>
      <c r="AI217" s="1"/>
      <c r="AJ217" s="1"/>
      <c r="AK217" s="1"/>
      <c r="AL217" s="1"/>
      <c r="AM217" s="1"/>
      <c r="AN217" s="1"/>
      <c r="AO217" s="1"/>
      <c r="AP217" s="1"/>
      <c r="AQ217" s="1"/>
    </row>
    <row r="218" spans="1:43" x14ac:dyDescent="0.3">
      <c r="A218" s="9">
        <f t="shared" si="22"/>
        <v>2020</v>
      </c>
      <c r="B218" s="9">
        <f t="shared" si="23"/>
        <v>7</v>
      </c>
      <c r="C218" s="10">
        <v>44043</v>
      </c>
      <c r="D218" s="9">
        <v>0.219</v>
      </c>
      <c r="E218" s="9">
        <v>0.157</v>
      </c>
      <c r="F218" s="9">
        <v>26.034270266043816</v>
      </c>
      <c r="G218" s="9">
        <v>11000.440071863071</v>
      </c>
      <c r="H218" s="9">
        <v>55004.352123633762</v>
      </c>
      <c r="I218" s="9">
        <v>1599.8628611620893</v>
      </c>
      <c r="J218" s="20">
        <v>70.87</v>
      </c>
      <c r="K218" s="9">
        <v>71.709999999999994</v>
      </c>
      <c r="L218" s="31">
        <f>Table1[[#This Row],[TN550 I (O2)]]/(Table1[[#This Row],[Flowmeter A]]+Table1[[#This Row],[Flowmeter B]])</f>
        <v>2.0857117027664723E-2</v>
      </c>
      <c r="M218" s="33">
        <f>Table1[[#This Row],[TN120 Venting2]]/100</f>
        <v>2.2000000000000001E-3</v>
      </c>
      <c r="N218" s="31">
        <f>Table1[[#This Row],[TN550 I Venting2]]/100</f>
        <v>0</v>
      </c>
      <c r="O218" s="31">
        <f>(Table1[[#This Row],[TN550 I (O2)]]-Table1[[#This Row],[O2]])/Table1[[#This Row],[TN550 I (O2)]]</f>
        <v>0.11833746302066891</v>
      </c>
      <c r="P218" s="9">
        <f>Table1[[#This Row],[M-N2]]+Table1[[#This Row],[TEN-N2]]</f>
        <v>63585.429200997707</v>
      </c>
      <c r="Q218" s="9">
        <v>1410.539148991179</v>
      </c>
      <c r="R218" s="9">
        <f>SUM(Table1[[#This Row],[TEN-CDA]:[TEN-CDA WWT]])</f>
        <v>98409.954493010868</v>
      </c>
      <c r="S218" s="9">
        <v>430.64987809487633</v>
      </c>
      <c r="T218" s="9">
        <v>229.43350181606061</v>
      </c>
      <c r="U218" s="9">
        <v>38.742583119314965</v>
      </c>
      <c r="V218" s="42">
        <v>0.22</v>
      </c>
      <c r="W218" s="9">
        <v>0</v>
      </c>
      <c r="X218" s="9">
        <v>75055.617496530191</v>
      </c>
      <c r="Y218" s="9">
        <v>1650.2311133253004</v>
      </c>
      <c r="Z218" s="1">
        <v>61512.902330196048</v>
      </c>
      <c r="AA218" s="1">
        <v>2072.5268708016624</v>
      </c>
      <c r="AB218" s="1">
        <v>35840.125867453156</v>
      </c>
      <c r="AC218" s="1">
        <v>52713.304476058285</v>
      </c>
      <c r="AD218" s="1">
        <v>7186.2783701232865</v>
      </c>
      <c r="AE218" s="1">
        <v>2666.0457056324817</v>
      </c>
      <c r="AF218" s="1">
        <v>4.2000737436668976</v>
      </c>
      <c r="AG218" s="1"/>
      <c r="AH218" s="1"/>
      <c r="AI218" s="1"/>
      <c r="AJ218" s="1"/>
      <c r="AK218" s="1"/>
      <c r="AL218" s="1"/>
      <c r="AM218" s="1"/>
      <c r="AN218" s="1"/>
      <c r="AO218" s="1"/>
      <c r="AP218" s="1"/>
      <c r="AQ218" s="1"/>
    </row>
    <row r="219" spans="1:43" x14ac:dyDescent="0.3">
      <c r="A219" s="9">
        <f t="shared" si="22"/>
        <v>2020</v>
      </c>
      <c r="B219" s="9">
        <f t="shared" si="23"/>
        <v>8</v>
      </c>
      <c r="C219" s="10">
        <v>44044</v>
      </c>
      <c r="D219" s="9">
        <v>0.221</v>
      </c>
      <c r="E219" s="9">
        <v>0.157</v>
      </c>
      <c r="F219" s="9">
        <v>26.479071435442524</v>
      </c>
      <c r="G219" s="9">
        <v>10815.900987298492</v>
      </c>
      <c r="H219" s="9">
        <v>54994.658719530707</v>
      </c>
      <c r="I219" s="9">
        <v>1600.1860569272912</v>
      </c>
      <c r="J219" s="20">
        <v>70.95</v>
      </c>
      <c r="K219" s="9">
        <v>71.75</v>
      </c>
      <c r="L219" s="31">
        <f>Table1[[#This Row],[TN550 I (O2)]]/(Table1[[#This Row],[Flowmeter A]]+Table1[[#This Row],[Flowmeter B]])</f>
        <v>2.0877573023932068E-2</v>
      </c>
      <c r="M219" s="33">
        <f>Table1[[#This Row],[TN120 Venting2]]/100</f>
        <v>9.4999999999999998E-3</v>
      </c>
      <c r="N219" s="31">
        <f>Table1[[#This Row],[TN550 I Venting2]]/100</f>
        <v>1E-4</v>
      </c>
      <c r="O219" s="31">
        <f>(Table1[[#This Row],[TN550 I (O2)]]-Table1[[#This Row],[O2]])/Table1[[#This Row],[TN550 I (O2)]]</f>
        <v>0.11673511237153393</v>
      </c>
      <c r="P219" s="9">
        <f>Table1[[#This Row],[M-N2]]+Table1[[#This Row],[TEN-N2]]</f>
        <v>63271.334210133071</v>
      </c>
      <c r="Q219" s="9">
        <v>1413.3881577565221</v>
      </c>
      <c r="R219" s="9">
        <f>SUM(Table1[[#This Row],[TEN-CDA]:[TEN-CDA WWT]])</f>
        <v>99292.571692998943</v>
      </c>
      <c r="S219" s="9">
        <v>431.52446078129066</v>
      </c>
      <c r="T219" s="9">
        <v>234.28329109864299</v>
      </c>
      <c r="U219" s="9">
        <v>39.076631311738275</v>
      </c>
      <c r="V219" s="42">
        <v>0.95</v>
      </c>
      <c r="W219" s="9">
        <v>0.01</v>
      </c>
      <c r="X219" s="9">
        <v>74996.263299141239</v>
      </c>
      <c r="Y219" s="9">
        <v>1649.9088920895049</v>
      </c>
      <c r="Z219" s="1">
        <v>61261.247340713911</v>
      </c>
      <c r="AA219" s="1">
        <v>2010.0868694191588</v>
      </c>
      <c r="AB219" s="1">
        <v>36546.311090388619</v>
      </c>
      <c r="AC219" s="1">
        <v>52882.772624262667</v>
      </c>
      <c r="AD219" s="1">
        <v>7211.807133988983</v>
      </c>
      <c r="AE219" s="1">
        <v>2644.2985670419307</v>
      </c>
      <c r="AF219" s="1">
        <v>7.3822773167298621</v>
      </c>
      <c r="AG219" s="1"/>
      <c r="AH219" s="1"/>
      <c r="AI219" s="1"/>
      <c r="AJ219" s="1"/>
      <c r="AK219" s="1"/>
      <c r="AL219" s="1"/>
      <c r="AM219" s="1"/>
      <c r="AN219" s="1"/>
      <c r="AO219" s="1"/>
      <c r="AP219" s="1"/>
      <c r="AQ219" s="1"/>
    </row>
    <row r="220" spans="1:43" x14ac:dyDescent="0.3">
      <c r="A220" s="9">
        <f t="shared" si="22"/>
        <v>2020</v>
      </c>
      <c r="B220" s="9">
        <f t="shared" si="23"/>
        <v>8</v>
      </c>
      <c r="C220" s="10">
        <v>44045</v>
      </c>
      <c r="D220" s="9">
        <v>0.223</v>
      </c>
      <c r="E220" s="9">
        <v>0.16400000000000001</v>
      </c>
      <c r="F220" s="9">
        <v>26.028489481484534</v>
      </c>
      <c r="G220" s="9">
        <v>10684.748794375651</v>
      </c>
      <c r="H220" s="9">
        <v>54993.172308726578</v>
      </c>
      <c r="I220" s="9">
        <v>1599.8866131985708</v>
      </c>
      <c r="J220" s="20">
        <v>70.959999999999994</v>
      </c>
      <c r="K220" s="9">
        <v>71.77</v>
      </c>
      <c r="L220" s="31">
        <f>Table1[[#This Row],[TN550 I (O2)]]/(Table1[[#This Row],[Flowmeter A]]+Table1[[#This Row],[Flowmeter B]])</f>
        <v>2.0878568415086413E-2</v>
      </c>
      <c r="M220" s="33">
        <f>Table1[[#This Row],[TN120 Venting2]]/100</f>
        <v>1.5700000000000002E-2</v>
      </c>
      <c r="N220" s="31">
        <f>Table1[[#This Row],[TN550 I Venting2]]/100</f>
        <v>7.000000000000001E-4</v>
      </c>
      <c r="O220" s="31">
        <f>(Table1[[#This Row],[TN550 I (O2)]]-Table1[[#This Row],[O2]])/Table1[[#This Row],[TN550 I (O2)]]</f>
        <v>0.11600379183446102</v>
      </c>
      <c r="P220" s="9">
        <f>Table1[[#This Row],[M-N2]]+Table1[[#This Row],[TEN-N2]]</f>
        <v>63530.632880354489</v>
      </c>
      <c r="Q220" s="9">
        <v>1414.2936995623429</v>
      </c>
      <c r="R220" s="9">
        <f>SUM(Table1[[#This Row],[TEN-CDA]:[TEN-CDA WWT]])</f>
        <v>98556.671577618181</v>
      </c>
      <c r="S220" s="9">
        <v>432.22293774871503</v>
      </c>
      <c r="T220" s="9">
        <v>233.71256216394664</v>
      </c>
      <c r="U220" s="9">
        <v>37.41489728733039</v>
      </c>
      <c r="V220" s="42">
        <v>1.57</v>
      </c>
      <c r="W220" s="9">
        <v>7.0000000000000007E-2</v>
      </c>
      <c r="X220" s="9">
        <v>74978.36993624219</v>
      </c>
      <c r="Y220" s="9">
        <v>1649.8059708054573</v>
      </c>
      <c r="Z220" s="1">
        <v>61484.013429259197</v>
      </c>
      <c r="AA220" s="1">
        <v>2046.6194510952953</v>
      </c>
      <c r="AB220" s="1">
        <v>36054.929175160483</v>
      </c>
      <c r="AC220" s="1">
        <v>52782.682110947258</v>
      </c>
      <c r="AD220" s="1">
        <v>7057.0745386233521</v>
      </c>
      <c r="AE220" s="1">
        <v>2657.3495141584626</v>
      </c>
      <c r="AF220" s="1">
        <v>4.636238728636342</v>
      </c>
      <c r="AG220" s="1"/>
      <c r="AH220" s="1"/>
      <c r="AI220" s="1"/>
      <c r="AJ220" s="1"/>
      <c r="AK220" s="1"/>
      <c r="AL220" s="1"/>
      <c r="AM220" s="1"/>
      <c r="AN220" s="1"/>
      <c r="AO220" s="1"/>
      <c r="AP220" s="1"/>
      <c r="AQ220" s="1"/>
    </row>
    <row r="221" spans="1:43" x14ac:dyDescent="0.3">
      <c r="A221" s="9">
        <f t="shared" si="22"/>
        <v>2020</v>
      </c>
      <c r="B221" s="9">
        <f t="shared" si="23"/>
        <v>8</v>
      </c>
      <c r="C221" s="10">
        <v>44046</v>
      </c>
      <c r="D221" s="9">
        <v>0.219</v>
      </c>
      <c r="E221" s="9">
        <v>0.158</v>
      </c>
      <c r="F221" s="9">
        <v>26.916422558691171</v>
      </c>
      <c r="G221" s="9">
        <v>10528.31728522402</v>
      </c>
      <c r="H221" s="9">
        <v>54992.466426852014</v>
      </c>
      <c r="I221" s="9">
        <v>1599.8591774510974</v>
      </c>
      <c r="J221" s="20">
        <v>71.02</v>
      </c>
      <c r="K221" s="9">
        <v>71.75</v>
      </c>
      <c r="L221" s="31">
        <f>Table1[[#This Row],[TN550 I (O2)]]/(Table1[[#This Row],[Flowmeter A]]+Table1[[#This Row],[Flowmeter B]])</f>
        <v>2.0873126605612548E-2</v>
      </c>
      <c r="M221" s="33">
        <f>Table1[[#This Row],[TN120 Venting2]]/100</f>
        <v>3.2199999999999999E-2</v>
      </c>
      <c r="N221" s="31">
        <f>Table1[[#This Row],[TN550 I Venting2]]/100</f>
        <v>1.2999999999999999E-3</v>
      </c>
      <c r="O221" s="31">
        <f>(Table1[[#This Row],[TN550 I (O2)]]-Table1[[#This Row],[O2]])/Table1[[#This Row],[TN550 I (O2)]]</f>
        <v>0.11748945588248026</v>
      </c>
      <c r="P221" s="9">
        <f>Table1[[#This Row],[M-N2]]+Table1[[#This Row],[TEN-N2]]</f>
        <v>63183.874128988929</v>
      </c>
      <c r="Q221" s="9">
        <v>1411.8925932037755</v>
      </c>
      <c r="R221" s="9">
        <f>SUM(Table1[[#This Row],[TEN-CDA]:[TEN-CDA WWT]])</f>
        <v>97674.096490738986</v>
      </c>
      <c r="S221" s="9">
        <v>428.31140606871583</v>
      </c>
      <c r="T221" s="9">
        <v>237.56388269407233</v>
      </c>
      <c r="U221" s="9">
        <v>36.438850153989875</v>
      </c>
      <c r="V221" s="42">
        <v>3.22</v>
      </c>
      <c r="W221" s="9">
        <v>0.13</v>
      </c>
      <c r="X221" s="9">
        <v>74996.757460097157</v>
      </c>
      <c r="Y221" s="9">
        <v>1650.081687657226</v>
      </c>
      <c r="Z221" s="1">
        <v>61136.804950446742</v>
      </c>
      <c r="AA221" s="1">
        <v>2047.0691785421909</v>
      </c>
      <c r="AB221" s="1">
        <v>35135.944577875605</v>
      </c>
      <c r="AC221" s="1">
        <v>52714.632465518735</v>
      </c>
      <c r="AD221" s="1">
        <v>7176.7709727131769</v>
      </c>
      <c r="AE221" s="1">
        <v>2642.768685313747</v>
      </c>
      <c r="AF221" s="1">
        <v>3.9797893177296535</v>
      </c>
      <c r="AG221" s="1"/>
      <c r="AH221" s="1"/>
      <c r="AI221" s="1"/>
      <c r="AJ221" s="1"/>
      <c r="AK221" s="1"/>
      <c r="AL221" s="1"/>
      <c r="AM221" s="1"/>
      <c r="AN221" s="1"/>
      <c r="AO221" s="1"/>
      <c r="AP221" s="1"/>
      <c r="AQ221" s="1"/>
    </row>
    <row r="222" spans="1:43" x14ac:dyDescent="0.3">
      <c r="A222" s="9">
        <f t="shared" si="22"/>
        <v>2020</v>
      </c>
      <c r="B222" s="9">
        <f t="shared" si="23"/>
        <v>8</v>
      </c>
      <c r="C222" s="10">
        <v>44047</v>
      </c>
      <c r="D222" s="9">
        <v>0.221</v>
      </c>
      <c r="E222" s="9">
        <v>0.161</v>
      </c>
      <c r="F222" s="9">
        <v>27.009795016170298</v>
      </c>
      <c r="G222" s="9">
        <v>10644.875841700639</v>
      </c>
      <c r="H222" s="9">
        <v>54997.712940774632</v>
      </c>
      <c r="I222" s="9">
        <v>1599.9883652845249</v>
      </c>
      <c r="J222" s="20">
        <v>70.91</v>
      </c>
      <c r="K222" s="9">
        <v>71.760000000000005</v>
      </c>
      <c r="L222" s="31">
        <f>Table1[[#This Row],[TN550 I (O2)]]/(Table1[[#This Row],[Flowmeter A]]+Table1[[#This Row],[Flowmeter B]])</f>
        <v>2.0874991796174677E-2</v>
      </c>
      <c r="M222" s="33">
        <f>Table1[[#This Row],[TN120 Venting2]]/100</f>
        <v>1.09E-2</v>
      </c>
      <c r="N222" s="31">
        <f>Table1[[#This Row],[TN550 I Venting2]]/100</f>
        <v>4.0000000000000002E-4</v>
      </c>
      <c r="O222" s="31">
        <f>(Table1[[#This Row],[TN550 I (O2)]]-Table1[[#This Row],[O2]])/Table1[[#This Row],[TN550 I (O2)]]</f>
        <v>0.11791848147051028</v>
      </c>
      <c r="P222" s="9">
        <f>Table1[[#This Row],[M-N2]]+Table1[[#This Row],[TEN-N2]]</f>
        <v>63336.276132111081</v>
      </c>
      <c r="Q222" s="9">
        <v>1411.3201668796896</v>
      </c>
      <c r="R222" s="9">
        <f>SUM(Table1[[#This Row],[TEN-CDA]:[TEN-CDA WWT]])</f>
        <v>97139.710491188744</v>
      </c>
      <c r="S222" s="9">
        <v>432.06718464943378</v>
      </c>
      <c r="T222" s="9">
        <v>237.09730951228465</v>
      </c>
      <c r="U222" s="9">
        <v>36.902369588551466</v>
      </c>
      <c r="V222" s="42">
        <v>1.0900000000000001</v>
      </c>
      <c r="W222" s="9">
        <v>0.04</v>
      </c>
      <c r="X222" s="9">
        <v>74996.68741325468</v>
      </c>
      <c r="Y222" s="9">
        <v>1649.4919436982241</v>
      </c>
      <c r="Z222" s="1">
        <v>61305.256023377864</v>
      </c>
      <c r="AA222" s="1">
        <v>2031.02010873322</v>
      </c>
      <c r="AB222" s="1">
        <v>34944.782140494885</v>
      </c>
      <c r="AC222" s="1">
        <v>52412.913769734558</v>
      </c>
      <c r="AD222" s="1">
        <v>7154.6022557848282</v>
      </c>
      <c r="AE222" s="1">
        <v>2624.1749759756135</v>
      </c>
      <c r="AF222" s="1">
        <v>3.2373491988506355</v>
      </c>
      <c r="AG222" s="1"/>
      <c r="AH222" s="1"/>
      <c r="AI222" s="1"/>
      <c r="AJ222" s="1"/>
      <c r="AK222" s="1"/>
      <c r="AL222" s="1"/>
      <c r="AM222" s="1"/>
      <c r="AN222" s="1"/>
      <c r="AO222" s="1"/>
      <c r="AP222" s="1"/>
      <c r="AQ222" s="1"/>
    </row>
    <row r="223" spans="1:43" x14ac:dyDescent="0.3">
      <c r="A223" s="9">
        <f t="shared" si="22"/>
        <v>2020</v>
      </c>
      <c r="B223" s="9">
        <f t="shared" si="23"/>
        <v>8</v>
      </c>
      <c r="C223" s="10">
        <v>44048</v>
      </c>
      <c r="D223" s="9">
        <v>0.224</v>
      </c>
      <c r="E223" s="9">
        <v>0.16600000000000001</v>
      </c>
      <c r="F223" s="9">
        <v>27.720297213150015</v>
      </c>
      <c r="G223" s="9">
        <v>10435.851479143173</v>
      </c>
      <c r="H223" s="9">
        <v>55003.950335595939</v>
      </c>
      <c r="I223" s="9">
        <v>1599.9793044652151</v>
      </c>
      <c r="J223" s="20">
        <v>70.989999999999995</v>
      </c>
      <c r="K223" s="9">
        <v>71.75</v>
      </c>
      <c r="L223" s="31">
        <f>Table1[[#This Row],[TN550 I (O2)]]/(Table1[[#This Row],[Flowmeter A]]+Table1[[#This Row],[Flowmeter B]])</f>
        <v>2.0871473307039791E-2</v>
      </c>
      <c r="M223" s="33">
        <f>Table1[[#This Row],[TN120 Venting2]]/100</f>
        <v>2.3599999999999999E-2</v>
      </c>
      <c r="N223" s="31">
        <f>Table1[[#This Row],[TN550 I Venting2]]/100</f>
        <v>1.8E-3</v>
      </c>
      <c r="O223" s="31">
        <f>(Table1[[#This Row],[TN550 I (O2)]]-Table1[[#This Row],[O2]])/Table1[[#This Row],[TN550 I (O2)]]</f>
        <v>0.11773085664298855</v>
      </c>
      <c r="P223" s="9">
        <f>Table1[[#This Row],[M-N2]]+Table1[[#This Row],[TEN-N2]]</f>
        <v>62974.873316514007</v>
      </c>
      <c r="Q223" s="9">
        <v>1411.6123703394724</v>
      </c>
      <c r="R223" s="9">
        <f>SUM(Table1[[#This Row],[TEN-CDA]:[TEN-CDA WWT]])</f>
        <v>97117.140000405532</v>
      </c>
      <c r="S223" s="9">
        <v>425.74219700894696</v>
      </c>
      <c r="T223" s="9">
        <v>228.81321140265479</v>
      </c>
      <c r="U223" s="9">
        <v>37.001972927805618</v>
      </c>
      <c r="V223" s="42">
        <v>2.36</v>
      </c>
      <c r="W223" s="9">
        <v>0.18</v>
      </c>
      <c r="X223" s="9">
        <v>75008.558005508326</v>
      </c>
      <c r="Y223" s="9">
        <v>1650.1081522637817</v>
      </c>
      <c r="Z223" s="1">
        <v>60962.439321651633</v>
      </c>
      <c r="AA223" s="1">
        <v>2012.4339948623733</v>
      </c>
      <c r="AB223" s="1">
        <v>34777.954682349497</v>
      </c>
      <c r="AC223" s="1">
        <v>52576.077509650415</v>
      </c>
      <c r="AD223" s="1">
        <v>7195.187588778409</v>
      </c>
      <c r="AE223" s="1">
        <v>2563.6882668150374</v>
      </c>
      <c r="AF223" s="1">
        <v>4.2319528121788164</v>
      </c>
      <c r="AG223" s="1"/>
      <c r="AH223" s="1"/>
      <c r="AI223" s="1"/>
      <c r="AJ223" s="1"/>
      <c r="AK223" s="1"/>
      <c r="AL223" s="1"/>
      <c r="AM223" s="1"/>
      <c r="AN223" s="1"/>
      <c r="AO223" s="1"/>
      <c r="AP223" s="1"/>
      <c r="AQ223" s="1"/>
    </row>
    <row r="224" spans="1:43" x14ac:dyDescent="0.3">
      <c r="A224" s="9">
        <f t="shared" si="22"/>
        <v>2020</v>
      </c>
      <c r="B224" s="9">
        <f t="shared" si="23"/>
        <v>8</v>
      </c>
      <c r="C224" s="10">
        <v>44049</v>
      </c>
      <c r="D224" s="9">
        <v>0.218</v>
      </c>
      <c r="E224" s="9">
        <v>0.16800000000000001</v>
      </c>
      <c r="F224" s="9">
        <v>27.899341963133324</v>
      </c>
      <c r="G224" s="9">
        <v>10362.785453081628</v>
      </c>
      <c r="H224" s="9">
        <v>54998.484101210095</v>
      </c>
      <c r="I224" s="9">
        <v>1600.0891942613907</v>
      </c>
      <c r="J224" s="20">
        <v>70.98</v>
      </c>
      <c r="K224" s="9">
        <v>71.739999999999995</v>
      </c>
      <c r="L224" s="31">
        <f>Table1[[#This Row],[TN550 I (O2)]]/(Table1[[#This Row],[Flowmeter A]]+Table1[[#This Row],[Flowmeter B]])</f>
        <v>2.0871769582960772E-2</v>
      </c>
      <c r="M224" s="33">
        <f>Table1[[#This Row],[TN120 Venting2]]/100</f>
        <v>2.58E-2</v>
      </c>
      <c r="N224" s="31">
        <f>Table1[[#This Row],[TN550 I Venting2]]/100</f>
        <v>2.5000000000000001E-3</v>
      </c>
      <c r="O224" s="31">
        <f>(Table1[[#This Row],[TN550 I (O2)]]-Table1[[#This Row],[O2]])/Table1[[#This Row],[TN550 I (O2)]]</f>
        <v>0.11857609794025278</v>
      </c>
      <c r="P224" s="9">
        <f>Table1[[#This Row],[M-N2]]+Table1[[#This Row],[TEN-N2]]</f>
        <v>63024.668188917065</v>
      </c>
      <c r="Q224" s="9">
        <v>1410.3568612495119</v>
      </c>
      <c r="R224" s="9">
        <f>SUM(Table1[[#This Row],[TEN-CDA]:[TEN-CDA WWT]])</f>
        <v>96868.583180396061</v>
      </c>
      <c r="S224" s="9">
        <v>429.63307949174697</v>
      </c>
      <c r="T224" s="9">
        <v>225.43087656310993</v>
      </c>
      <c r="U224" s="9">
        <v>36.873865120945325</v>
      </c>
      <c r="V224" s="42">
        <v>2.58</v>
      </c>
      <c r="W224" s="9">
        <v>0.25</v>
      </c>
      <c r="X224" s="9">
        <v>75012.910023421238</v>
      </c>
      <c r="Y224" s="9">
        <v>1649.9329569682241</v>
      </c>
      <c r="Z224" s="1">
        <v>61013.862676743578</v>
      </c>
      <c r="AA224" s="1">
        <v>2010.8055121734851</v>
      </c>
      <c r="AB224" s="1">
        <v>34496.741694136013</v>
      </c>
      <c r="AC224" s="1">
        <v>52470.010832321306</v>
      </c>
      <c r="AD224" s="1">
        <v>7300.6312232987075</v>
      </c>
      <c r="AE224" s="1">
        <v>2596.9070257945327</v>
      </c>
      <c r="AF224" s="1">
        <v>4.2924048455068835</v>
      </c>
      <c r="AG224" s="1"/>
      <c r="AH224" s="1"/>
      <c r="AI224" s="1"/>
      <c r="AJ224" s="1"/>
      <c r="AK224" s="1"/>
      <c r="AL224" s="1"/>
      <c r="AM224" s="1"/>
      <c r="AN224" s="1"/>
      <c r="AO224" s="1"/>
      <c r="AP224" s="1"/>
      <c r="AQ224" s="1"/>
    </row>
    <row r="225" spans="1:43" x14ac:dyDescent="0.3">
      <c r="A225" s="9">
        <f t="shared" si="22"/>
        <v>2020</v>
      </c>
      <c r="B225" s="9">
        <f t="shared" si="23"/>
        <v>8</v>
      </c>
      <c r="C225" s="10">
        <v>44050</v>
      </c>
      <c r="D225" s="9">
        <v>0.221</v>
      </c>
      <c r="E225" s="9">
        <v>0.17599999999999999</v>
      </c>
      <c r="F225" s="9">
        <v>26.745860726530559</v>
      </c>
      <c r="G225" s="9">
        <v>10831.51001569548</v>
      </c>
      <c r="H225" s="9">
        <v>55001.582779428347</v>
      </c>
      <c r="I225" s="9">
        <v>1600.6849270356686</v>
      </c>
      <c r="J225" s="20">
        <v>70.95</v>
      </c>
      <c r="K225" s="9">
        <v>71.75</v>
      </c>
      <c r="L225" s="31">
        <f>Table1[[#This Row],[TN550 I (O2)]]/(Table1[[#This Row],[Flowmeter A]]+Table1[[#This Row],[Flowmeter B]])</f>
        <v>2.0881170180826657E-2</v>
      </c>
      <c r="M225" s="33">
        <f>Table1[[#This Row],[TN120 Venting2]]/100</f>
        <v>1.1299999999999999E-2</v>
      </c>
      <c r="N225" s="31">
        <f>Table1[[#This Row],[TN550 I Venting2]]/100</f>
        <v>1E-4</v>
      </c>
      <c r="O225" s="31">
        <f>(Table1[[#This Row],[TN550 I (O2)]]-Table1[[#This Row],[O2]])/Table1[[#This Row],[TN550 I (O2)]]</f>
        <v>0.11809485547646506</v>
      </c>
      <c r="P225" s="9">
        <f>Table1[[#This Row],[M-N2]]+Table1[[#This Row],[TEN-N2]]</f>
        <v>63737.983862660476</v>
      </c>
      <c r="Q225" s="9">
        <v>1411.6522719140353</v>
      </c>
      <c r="R225" s="9">
        <f>SUM(Table1[[#This Row],[TEN-CDA]:[TEN-CDA WWT]])</f>
        <v>97576.476104135756</v>
      </c>
      <c r="S225" s="9">
        <v>424.73249678178274</v>
      </c>
      <c r="T225" s="9">
        <v>220.27441810750861</v>
      </c>
      <c r="U225" s="9">
        <v>37.724830238294643</v>
      </c>
      <c r="V225" s="42">
        <v>1.1299999999999999</v>
      </c>
      <c r="W225" s="9">
        <v>0.01</v>
      </c>
      <c r="X225" s="9">
        <v>75006.899267002082</v>
      </c>
      <c r="Y225" s="9">
        <v>1649.960151031727</v>
      </c>
      <c r="Z225" s="1">
        <v>61724.425873416898</v>
      </c>
      <c r="AA225" s="1">
        <v>2013.5579892435808</v>
      </c>
      <c r="AB225" s="1">
        <v>35204.666346341517</v>
      </c>
      <c r="AC225" s="1">
        <v>52593.434832581537</v>
      </c>
      <c r="AD225" s="1">
        <v>7180.1247712769991</v>
      </c>
      <c r="AE225" s="1">
        <v>2593.6869188741543</v>
      </c>
      <c r="AF225" s="1">
        <v>4.5632350615456465</v>
      </c>
      <c r="AG225" s="1"/>
      <c r="AH225" s="1"/>
      <c r="AI225" s="1"/>
      <c r="AJ225" s="1"/>
      <c r="AK225" s="1"/>
      <c r="AL225" s="1"/>
      <c r="AM225" s="1"/>
      <c r="AN225" s="1"/>
      <c r="AO225" s="1"/>
      <c r="AP225" s="1"/>
      <c r="AQ225" s="1"/>
    </row>
    <row r="226" spans="1:43" x14ac:dyDescent="0.3">
      <c r="A226" s="9">
        <f t="shared" si="22"/>
        <v>2020</v>
      </c>
      <c r="B226" s="9">
        <f t="shared" si="23"/>
        <v>8</v>
      </c>
      <c r="C226" s="10">
        <v>44051</v>
      </c>
      <c r="D226" s="9">
        <v>0.22</v>
      </c>
      <c r="E226" s="9">
        <v>0.16900000000000001</v>
      </c>
      <c r="F226" s="9">
        <v>26.602620203572791</v>
      </c>
      <c r="G226" s="9">
        <v>10543.357465247658</v>
      </c>
      <c r="H226" s="9">
        <v>55003.081600234211</v>
      </c>
      <c r="I226" s="9">
        <v>1600.306341252006</v>
      </c>
      <c r="J226" s="20">
        <v>71.03</v>
      </c>
      <c r="K226" s="9">
        <v>71.760000000000005</v>
      </c>
      <c r="L226" s="31">
        <f>Table1[[#This Row],[TN550 I (O2)]]/(Table1[[#This Row],[Flowmeter A]]+Table1[[#This Row],[Flowmeter B]])</f>
        <v>2.0879797266701708E-2</v>
      </c>
      <c r="M226" s="33">
        <f>Table1[[#This Row],[TN120 Venting2]]/100</f>
        <v>2.6000000000000002E-2</v>
      </c>
      <c r="N226" s="31">
        <f>Table1[[#This Row],[TN550 I Venting2]]/100</f>
        <v>1.2999999999999999E-3</v>
      </c>
      <c r="O226" s="31">
        <f>(Table1[[#This Row],[TN550 I (O2)]]-Table1[[#This Row],[O2]])/Table1[[#This Row],[TN550 I (O2)]]</f>
        <v>0.11463921514618913</v>
      </c>
      <c r="P226" s="9">
        <f>Table1[[#This Row],[M-N2]]+Table1[[#This Row],[TEN-N2]]</f>
        <v>63164.529525513288</v>
      </c>
      <c r="Q226" s="9">
        <v>1416.8484782974065</v>
      </c>
      <c r="R226" s="9">
        <f>SUM(Table1[[#This Row],[TEN-CDA]:[TEN-CDA WWT]])</f>
        <v>97942.426626643952</v>
      </c>
      <c r="S226" s="9">
        <v>423.85273091450574</v>
      </c>
      <c r="T226" s="9">
        <v>239.3291071958628</v>
      </c>
      <c r="U226" s="9">
        <v>37.130670180840262</v>
      </c>
      <c r="V226" s="42">
        <v>2.6</v>
      </c>
      <c r="W226" s="9">
        <v>0.13</v>
      </c>
      <c r="X226" s="9">
        <v>74993.78569027585</v>
      </c>
      <c r="Y226" s="9">
        <v>1649.9824848161811</v>
      </c>
      <c r="Z226" s="1">
        <v>61188.374978313674</v>
      </c>
      <c r="AA226" s="1">
        <v>1976.1545471996171</v>
      </c>
      <c r="AB226" s="1">
        <v>35496.812050008673</v>
      </c>
      <c r="AC226" s="1">
        <v>52651.34983843685</v>
      </c>
      <c r="AD226" s="1">
        <v>7184.6241613489983</v>
      </c>
      <c r="AE226" s="1">
        <v>2604.8439194244447</v>
      </c>
      <c r="AF226" s="1">
        <v>4.7966574249914498</v>
      </c>
      <c r="AG226" s="1"/>
      <c r="AH226" s="1"/>
      <c r="AI226" s="1"/>
      <c r="AJ226" s="1"/>
      <c r="AK226" s="1"/>
      <c r="AL226" s="1"/>
      <c r="AM226" s="1"/>
      <c r="AN226" s="1"/>
      <c r="AO226" s="1"/>
      <c r="AP226" s="1"/>
      <c r="AQ226" s="1"/>
    </row>
    <row r="227" spans="1:43" x14ac:dyDescent="0.3">
      <c r="A227" s="9">
        <f t="shared" si="22"/>
        <v>2020</v>
      </c>
      <c r="B227" s="9">
        <f t="shared" si="23"/>
        <v>8</v>
      </c>
      <c r="C227" s="10">
        <v>44052</v>
      </c>
      <c r="D227" s="9">
        <v>0.224</v>
      </c>
      <c r="E227" s="9">
        <v>0.17399999999999999</v>
      </c>
      <c r="F227" s="9">
        <v>26.053039843303143</v>
      </c>
      <c r="G227" s="9">
        <v>10511.607016611728</v>
      </c>
      <c r="H227" s="9">
        <v>55003.723539967905</v>
      </c>
      <c r="I227" s="9">
        <v>1600.149673874886</v>
      </c>
      <c r="J227" s="20">
        <v>71.010000000000005</v>
      </c>
      <c r="K227" s="9">
        <v>71.78</v>
      </c>
      <c r="L227" s="31">
        <f>Table1[[#This Row],[TN550 I (O2)]]/(Table1[[#This Row],[Flowmeter A]]+Table1[[#This Row],[Flowmeter B]])</f>
        <v>2.0881694807708479E-2</v>
      </c>
      <c r="M227" s="33">
        <f>Table1[[#This Row],[TN120 Venting2]]/100</f>
        <v>1.5600000000000001E-2</v>
      </c>
      <c r="N227" s="31">
        <f>Table1[[#This Row],[TN550 I Venting2]]/100</f>
        <v>1E-3</v>
      </c>
      <c r="O227" s="31">
        <f>(Table1[[#This Row],[TN550 I (O2)]]-Table1[[#This Row],[O2]])/Table1[[#This Row],[TN550 I (O2)]]</f>
        <v>0.11740284888151949</v>
      </c>
      <c r="P227" s="9">
        <f>Table1[[#This Row],[M-N2]]+Table1[[#This Row],[TEN-N2]]</f>
        <v>63052.761289343747</v>
      </c>
      <c r="Q227" s="9">
        <v>1412.2875435251401</v>
      </c>
      <c r="R227" s="9">
        <f>SUM(Table1[[#This Row],[TEN-CDA]:[TEN-CDA WWT]])</f>
        <v>97514.703614625119</v>
      </c>
      <c r="S227" s="9">
        <v>427.4242749184391</v>
      </c>
      <c r="T227" s="9">
        <v>235.02206747040495</v>
      </c>
      <c r="U227" s="9">
        <v>36.564056974910017</v>
      </c>
      <c r="V227" s="42">
        <v>1.56</v>
      </c>
      <c r="W227" s="9">
        <v>0.1</v>
      </c>
      <c r="X227" s="9">
        <v>74979.184550659265</v>
      </c>
      <c r="Y227" s="9">
        <v>1650.1163087801167</v>
      </c>
      <c r="Z227" s="1">
        <v>61064.401874783136</v>
      </c>
      <c r="AA227" s="1">
        <v>1988.359414560608</v>
      </c>
      <c r="AB227" s="1">
        <v>35506.40804725451</v>
      </c>
      <c r="AC227" s="1">
        <v>52448.592709056211</v>
      </c>
      <c r="AD227" s="1">
        <v>6961.5154166079328</v>
      </c>
      <c r="AE227" s="1">
        <v>2591.5435647851968</v>
      </c>
      <c r="AF227" s="1">
        <v>6.6438769212666067</v>
      </c>
      <c r="AG227" s="1"/>
      <c r="AH227" s="1"/>
      <c r="AI227" s="1"/>
      <c r="AJ227" s="1"/>
      <c r="AK227" s="1"/>
      <c r="AL227" s="1"/>
      <c r="AM227" s="1"/>
      <c r="AN227" s="1"/>
      <c r="AO227" s="1"/>
      <c r="AP227" s="1"/>
      <c r="AQ227" s="1"/>
    </row>
    <row r="228" spans="1:43" x14ac:dyDescent="0.3">
      <c r="A228" s="9">
        <f t="shared" si="22"/>
        <v>2020</v>
      </c>
      <c r="B228" s="9">
        <f t="shared" si="23"/>
        <v>8</v>
      </c>
      <c r="C228" s="10">
        <v>44053</v>
      </c>
      <c r="D228" s="9">
        <v>0.219</v>
      </c>
      <c r="E228" s="9">
        <v>0.17</v>
      </c>
      <c r="F228" s="9">
        <v>25.972207959537123</v>
      </c>
      <c r="G228" s="9">
        <v>10555.349847924619</v>
      </c>
      <c r="H228" s="9">
        <v>55002.194314928871</v>
      </c>
      <c r="I228" s="9">
        <v>1599.8799217801222</v>
      </c>
      <c r="J228" s="20">
        <v>70.95</v>
      </c>
      <c r="K228" s="9">
        <v>71.760000000000005</v>
      </c>
      <c r="L228" s="31">
        <f>Table1[[#This Row],[TN550 I (O2)]]/(Table1[[#This Row],[Flowmeter A]]+Table1[[#This Row],[Flowmeter B]])</f>
        <v>2.0872629222750912E-2</v>
      </c>
      <c r="M228" s="33">
        <f>Table1[[#This Row],[TN120 Venting2]]/100</f>
        <v>9.300000000000001E-3</v>
      </c>
      <c r="N228" s="31">
        <f>Table1[[#This Row],[TN550 I Venting2]]/100</f>
        <v>5.0000000000000001E-4</v>
      </c>
      <c r="O228" s="31">
        <f>(Table1[[#This Row],[TN550 I (O2)]]-Table1[[#This Row],[O2]])/Table1[[#This Row],[TN550 I (O2)]]</f>
        <v>0.11906168692341827</v>
      </c>
      <c r="P228" s="9">
        <f>Table1[[#This Row],[M-N2]]+Table1[[#This Row],[TEN-N2]]</f>
        <v>63132.581237665901</v>
      </c>
      <c r="Q228" s="9">
        <v>1409.3955194180744</v>
      </c>
      <c r="R228" s="9">
        <f>SUM(Table1[[#This Row],[TEN-CDA]:[TEN-CDA WWT]])</f>
        <v>97500.059573722523</v>
      </c>
      <c r="S228" s="9">
        <v>419.66234756459136</v>
      </c>
      <c r="T228" s="9">
        <v>221.87820708826132</v>
      </c>
      <c r="U228" s="9">
        <v>35.996967907335758</v>
      </c>
      <c r="V228" s="42">
        <v>0.93</v>
      </c>
      <c r="W228" s="9">
        <v>0.05</v>
      </c>
      <c r="X228" s="9">
        <v>74999.654867496531</v>
      </c>
      <c r="Y228" s="9">
        <v>1650.0045839477791</v>
      </c>
      <c r="Z228" s="1">
        <v>61089.098716169327</v>
      </c>
      <c r="AA228" s="1">
        <v>2043.4825214965736</v>
      </c>
      <c r="AB228" s="1">
        <v>35503.311532247571</v>
      </c>
      <c r="AC228" s="1">
        <v>52395.824674162905</v>
      </c>
      <c r="AD228" s="1">
        <v>7011.6511659112593</v>
      </c>
      <c r="AE228" s="1">
        <v>2583.3071429684787</v>
      </c>
      <c r="AF228" s="1">
        <v>5.9650584323064146</v>
      </c>
      <c r="AG228" s="1"/>
      <c r="AH228" s="1"/>
      <c r="AI228" s="1"/>
      <c r="AJ228" s="1"/>
      <c r="AK228" s="1"/>
      <c r="AL228" s="1"/>
      <c r="AM228" s="1"/>
      <c r="AN228" s="1"/>
      <c r="AO228" s="1"/>
      <c r="AP228" s="1"/>
      <c r="AQ228" s="1"/>
    </row>
    <row r="229" spans="1:43" x14ac:dyDescent="0.3">
      <c r="A229" s="9">
        <f t="shared" si="22"/>
        <v>2020</v>
      </c>
      <c r="B229" s="9">
        <f t="shared" si="23"/>
        <v>8</v>
      </c>
      <c r="C229" s="10">
        <v>44054</v>
      </c>
      <c r="D229" s="9">
        <v>0.221</v>
      </c>
      <c r="E229" s="9">
        <v>0.17399999999999999</v>
      </c>
      <c r="F229" s="9">
        <v>25.970651658353997</v>
      </c>
      <c r="G229" s="9">
        <v>10587.385663574558</v>
      </c>
      <c r="H229" s="9">
        <v>54996.054172449687</v>
      </c>
      <c r="I229" s="9">
        <v>1599.9630847854137</v>
      </c>
      <c r="J229" s="20">
        <v>70.97</v>
      </c>
      <c r="K229" s="9">
        <v>71.739999999999995</v>
      </c>
      <c r="L229" s="31">
        <f>Table1[[#This Row],[TN550 I (O2)]]/(Table1[[#This Row],[Flowmeter A]]+Table1[[#This Row],[Flowmeter B]])</f>
        <v>2.0871222394346103E-2</v>
      </c>
      <c r="M229" s="33">
        <f>Table1[[#This Row],[TN120 Venting2]]/100</f>
        <v>8.199999999999999E-3</v>
      </c>
      <c r="N229" s="31">
        <f>Table1[[#This Row],[TN550 I Venting2]]/100</f>
        <v>4.0000000000000002E-4</v>
      </c>
      <c r="O229" s="31">
        <f>(Table1[[#This Row],[TN550 I (O2)]]-Table1[[#This Row],[O2]])/Table1[[#This Row],[TN550 I (O2)]]</f>
        <v>0.11643602044584028</v>
      </c>
      <c r="P229" s="9">
        <f>Table1[[#This Row],[M-N2]]+Table1[[#This Row],[TEN-N2]]</f>
        <v>63398.798294437998</v>
      </c>
      <c r="Q229" s="9">
        <v>1413.6697503327496</v>
      </c>
      <c r="R229" s="9">
        <f>SUM(Table1[[#This Row],[TEN-CDA]:[TEN-CDA WWT]])</f>
        <v>98322.565991817144</v>
      </c>
      <c r="S229" s="9">
        <v>427.19346198267942</v>
      </c>
      <c r="T229" s="9">
        <v>218.31620013457385</v>
      </c>
      <c r="U229" s="9">
        <v>35.83505884629831</v>
      </c>
      <c r="V229" s="42">
        <v>0.82</v>
      </c>
      <c r="W229" s="9">
        <v>0.04</v>
      </c>
      <c r="X229" s="9">
        <v>75008.851307685632</v>
      </c>
      <c r="Y229" s="9">
        <v>1649.9593050954741</v>
      </c>
      <c r="Z229" s="1">
        <v>61384.778604267871</v>
      </c>
      <c r="AA229" s="1">
        <v>2014.0196901701293</v>
      </c>
      <c r="AB229" s="1">
        <v>36026.84551743581</v>
      </c>
      <c r="AC229" s="1">
        <v>52483.750875585531</v>
      </c>
      <c r="AD229" s="1">
        <v>7233.8049585791123</v>
      </c>
      <c r="AE229" s="1">
        <v>2572.8272822828112</v>
      </c>
      <c r="AF229" s="1">
        <v>5.3373579338637596</v>
      </c>
      <c r="AG229" s="1"/>
      <c r="AH229" s="1"/>
      <c r="AI229" s="1"/>
      <c r="AJ229" s="1"/>
      <c r="AK229" s="1"/>
      <c r="AL229" s="1"/>
      <c r="AM229" s="1"/>
      <c r="AN229" s="1"/>
      <c r="AO229" s="1"/>
      <c r="AP229" s="1"/>
      <c r="AQ229" s="1"/>
    </row>
    <row r="230" spans="1:43" x14ac:dyDescent="0.3">
      <c r="A230" s="9">
        <f t="shared" si="22"/>
        <v>2020</v>
      </c>
      <c r="B230" s="9">
        <f t="shared" si="23"/>
        <v>8</v>
      </c>
      <c r="C230" s="10">
        <v>44055</v>
      </c>
      <c r="D230" s="9">
        <v>0.216</v>
      </c>
      <c r="E230" s="9">
        <v>0.17199999999999999</v>
      </c>
      <c r="F230" s="9">
        <v>24.410353817433471</v>
      </c>
      <c r="G230" s="9">
        <v>10794.504795389486</v>
      </c>
      <c r="H230" s="9">
        <v>54995.059163016136</v>
      </c>
      <c r="I230" s="9">
        <v>1599.9245216639647</v>
      </c>
      <c r="J230" s="20">
        <v>70.959999999999994</v>
      </c>
      <c r="K230" s="9">
        <v>71.739999999999995</v>
      </c>
      <c r="L230" s="31">
        <f>Table1[[#This Row],[TN550 I (O2)]]/(Table1[[#This Row],[Flowmeter A]]+Table1[[#This Row],[Flowmeter B]])</f>
        <v>2.0870959549073302E-2</v>
      </c>
      <c r="M230" s="33">
        <f>Table1[[#This Row],[TN120 Venting2]]/100</f>
        <v>1.21E-2</v>
      </c>
      <c r="N230" s="31">
        <f>Table1[[#This Row],[TN550 I Venting2]]/100</f>
        <v>2.0000000000000001E-4</v>
      </c>
      <c r="O230" s="31">
        <f>(Table1[[#This Row],[TN550 I (O2)]]-Table1[[#This Row],[O2]])/Table1[[#This Row],[TN550 I (O2)]]</f>
        <v>0.11698880889478318</v>
      </c>
      <c r="P230" s="9">
        <f>Table1[[#This Row],[M-N2]]+Table1[[#This Row],[TEN-N2]]</f>
        <v>63787.57814329784</v>
      </c>
      <c r="Q230" s="9">
        <v>1412.7512575529418</v>
      </c>
      <c r="R230" s="9">
        <f>SUM(Table1[[#This Row],[TEN-CDA]:[TEN-CDA WWT]])</f>
        <v>97457.038295897975</v>
      </c>
      <c r="S230" s="9">
        <v>421.9527774045734</v>
      </c>
      <c r="T230" s="9">
        <v>213.59357165959375</v>
      </c>
      <c r="U230" s="9">
        <v>36.15488236617248</v>
      </c>
      <c r="V230" s="42">
        <v>1.21</v>
      </c>
      <c r="W230" s="9">
        <v>0.02</v>
      </c>
      <c r="X230" s="9">
        <v>75008.081112291809</v>
      </c>
      <c r="Y230" s="9">
        <v>1649.8472355691035</v>
      </c>
      <c r="Z230" s="1">
        <v>61779.126897553782</v>
      </c>
      <c r="AA230" s="1">
        <v>2008.451245744058</v>
      </c>
      <c r="AB230" s="1">
        <v>35185.630969162041</v>
      </c>
      <c r="AC230" s="1">
        <v>52511.871738918286</v>
      </c>
      <c r="AD230" s="1">
        <v>7146.0349671723197</v>
      </c>
      <c r="AE230" s="1">
        <v>2604.0857458809528</v>
      </c>
      <c r="AF230" s="1">
        <v>9.4148747643726018</v>
      </c>
      <c r="AG230" s="1"/>
      <c r="AH230" s="1"/>
      <c r="AI230" s="1"/>
      <c r="AJ230" s="1"/>
      <c r="AK230" s="1"/>
      <c r="AL230" s="1"/>
      <c r="AM230" s="1"/>
      <c r="AN230" s="1"/>
      <c r="AO230" s="1"/>
      <c r="AP230" s="1"/>
      <c r="AQ230" s="1"/>
    </row>
    <row r="231" spans="1:43" x14ac:dyDescent="0.3">
      <c r="A231" s="9">
        <f t="shared" si="22"/>
        <v>2020</v>
      </c>
      <c r="B231" s="9">
        <f t="shared" si="23"/>
        <v>8</v>
      </c>
      <c r="C231" s="10">
        <v>44056</v>
      </c>
      <c r="D231" s="9">
        <v>0.24099999999999999</v>
      </c>
      <c r="E231" s="9">
        <v>0.17</v>
      </c>
      <c r="F231" s="9">
        <v>23.592537108930262</v>
      </c>
      <c r="G231" s="9">
        <v>11573.695784177657</v>
      </c>
      <c r="H231" s="9">
        <v>55899.230162430606</v>
      </c>
      <c r="I231" s="9">
        <v>1626.5405358996843</v>
      </c>
      <c r="J231" s="20">
        <v>71.87</v>
      </c>
      <c r="K231" s="9">
        <v>71.760000000000005</v>
      </c>
      <c r="L231" s="31">
        <f>Table1[[#This Row],[TN550 I (O2)]]/(Table1[[#This Row],[Flowmeter A]]+Table1[[#This Row],[Flowmeter B]])</f>
        <v>2.0881194893458122E-2</v>
      </c>
      <c r="M231" s="33">
        <f>Table1[[#This Row],[TN120 Venting2]]/100</f>
        <v>2.9100000000000001E-2</v>
      </c>
      <c r="N231" s="31">
        <f>Table1[[#This Row],[TN550 I Venting2]]/100</f>
        <v>3.2000000000000002E-3</v>
      </c>
      <c r="O231" s="31">
        <f>(Table1[[#This Row],[TN550 I (O2)]]-Table1[[#This Row],[O2]])/Table1[[#This Row],[TN550 I (O2)]]</f>
        <v>0.12971886879455272</v>
      </c>
      <c r="P231" s="9">
        <f>Table1[[#This Row],[M-N2]]+Table1[[#This Row],[TEN-N2]]</f>
        <v>63750.273730265442</v>
      </c>
      <c r="Q231" s="9">
        <v>1415.5475375342917</v>
      </c>
      <c r="R231" s="9">
        <f>SUM(Table1[[#This Row],[TEN-CDA]:[TEN-CDA WWT]])</f>
        <v>97539.656523308528</v>
      </c>
      <c r="S231" s="9">
        <v>424.62884131808153</v>
      </c>
      <c r="T231" s="9">
        <v>218.90288598234665</v>
      </c>
      <c r="U231" s="9">
        <v>36.7595936221269</v>
      </c>
      <c r="V231" s="42">
        <v>2.91</v>
      </c>
      <c r="W231" s="9">
        <v>0.32</v>
      </c>
      <c r="X231" s="9">
        <v>76218.611250867456</v>
      </c>
      <c r="Y231" s="9">
        <v>1676.3820289119426</v>
      </c>
      <c r="Z231" s="1">
        <v>61621.358664772728</v>
      </c>
      <c r="AA231" s="1">
        <v>2128.9150654927134</v>
      </c>
      <c r="AB231" s="1">
        <v>35401.638090410306</v>
      </c>
      <c r="AC231" s="1">
        <v>52337.292581106871</v>
      </c>
      <c r="AD231" s="1">
        <v>7189.3968011987117</v>
      </c>
      <c r="AE231" s="1">
        <v>2602.7767233176828</v>
      </c>
      <c r="AF231" s="1">
        <v>8.5523272749349353</v>
      </c>
      <c r="AG231" s="1"/>
      <c r="AH231" s="1"/>
      <c r="AI231" s="1"/>
      <c r="AJ231" s="1"/>
      <c r="AK231" s="1"/>
      <c r="AL231" s="1"/>
      <c r="AM231" s="1"/>
      <c r="AN231" s="1"/>
      <c r="AO231" s="1"/>
      <c r="AP231" s="1"/>
      <c r="AQ231" s="1"/>
    </row>
    <row r="232" spans="1:43" x14ac:dyDescent="0.3">
      <c r="A232" s="9">
        <f t="shared" si="22"/>
        <v>2020</v>
      </c>
      <c r="B232" s="9">
        <f t="shared" si="23"/>
        <v>8</v>
      </c>
      <c r="C232" s="10">
        <v>44057</v>
      </c>
      <c r="D232" s="9">
        <v>0.219</v>
      </c>
      <c r="E232" s="9">
        <v>0.17599999999999999</v>
      </c>
      <c r="F232" s="9">
        <v>24.545469625553764</v>
      </c>
      <c r="G232" s="9">
        <v>12441.301052329112</v>
      </c>
      <c r="H232" s="9">
        <v>56883.026663341429</v>
      </c>
      <c r="I232" s="9">
        <v>1700.1639039187196</v>
      </c>
      <c r="J232" s="20">
        <v>71.95</v>
      </c>
      <c r="K232" s="9">
        <v>71.790000000000006</v>
      </c>
      <c r="L232" s="31">
        <f>Table1[[#This Row],[TN550 I (O2)]]/(Table1[[#This Row],[Flowmeter A]]+Table1[[#This Row],[Flowmeter B]])</f>
        <v>2.1456620316219671E-2</v>
      </c>
      <c r="M232" s="33">
        <f>Table1[[#This Row],[TN120 Venting2]]/100</f>
        <v>0</v>
      </c>
      <c r="N232" s="31">
        <f>Table1[[#This Row],[TN550 I Venting2]]/100</f>
        <v>0</v>
      </c>
      <c r="O232" s="31">
        <f>(Table1[[#This Row],[TN550 I (O2)]]-Table1[[#This Row],[O2]])/Table1[[#This Row],[TN550 I (O2)]]</f>
        <v>0.16929297960939318</v>
      </c>
      <c r="P232" s="9">
        <f>Table1[[#This Row],[M-N2]]+Table1[[#This Row],[TEN-N2]]</f>
        <v>63868.111779387007</v>
      </c>
      <c r="Q232" s="9">
        <v>1412.3380907999815</v>
      </c>
      <c r="R232" s="9">
        <f>SUM(Table1[[#This Row],[TEN-CDA]:[TEN-CDA WWT]])</f>
        <v>97643.725593331328</v>
      </c>
      <c r="S232" s="9">
        <v>423.52110893043022</v>
      </c>
      <c r="T232" s="9">
        <v>221.97749062828683</v>
      </c>
      <c r="U232" s="9">
        <v>38.433568276770004</v>
      </c>
      <c r="V232" s="42">
        <v>0</v>
      </c>
      <c r="W232" s="9">
        <v>0</v>
      </c>
      <c r="X232" s="9">
        <v>77487.680316403537</v>
      </c>
      <c r="Y232" s="9">
        <v>1749.5844001425876</v>
      </c>
      <c r="Z232" s="1">
        <v>61801.128247527755</v>
      </c>
      <c r="AA232" s="1">
        <v>2066.9835318592504</v>
      </c>
      <c r="AB232" s="1">
        <v>35351.704206605653</v>
      </c>
      <c r="AC232" s="1">
        <v>52597.79220972849</v>
      </c>
      <c r="AD232" s="1">
        <v>7063.5593924168334</v>
      </c>
      <c r="AE232" s="1">
        <v>2618.9064531399094</v>
      </c>
      <c r="AF232" s="1">
        <v>11.763331440434447</v>
      </c>
      <c r="AG232" s="1"/>
      <c r="AH232" s="1"/>
      <c r="AI232" s="1"/>
      <c r="AJ232" s="1"/>
      <c r="AK232" s="1"/>
      <c r="AL232" s="1"/>
      <c r="AM232" s="1"/>
      <c r="AN232" s="1"/>
      <c r="AO232" s="1"/>
      <c r="AP232" s="1"/>
      <c r="AQ232" s="1"/>
    </row>
    <row r="233" spans="1:43" x14ac:dyDescent="0.3">
      <c r="A233" s="9">
        <f t="shared" si="22"/>
        <v>2020</v>
      </c>
      <c r="B233" s="9">
        <f t="shared" si="23"/>
        <v>8</v>
      </c>
      <c r="C233" s="10">
        <v>44058</v>
      </c>
      <c r="D233" s="9">
        <v>0.219</v>
      </c>
      <c r="E233" s="9">
        <v>0.17299999999999999</v>
      </c>
      <c r="F233" s="9">
        <v>23.518917696580218</v>
      </c>
      <c r="G233" s="9">
        <v>12450.309916616065</v>
      </c>
      <c r="H233" s="9">
        <v>56949.319935700034</v>
      </c>
      <c r="I233" s="9">
        <v>1699.7433677106826</v>
      </c>
      <c r="J233" s="20">
        <v>71.98</v>
      </c>
      <c r="K233" s="9">
        <v>71.849999999999994</v>
      </c>
      <c r="L233" s="31">
        <f>Table1[[#This Row],[TN550 I (O2)]]/(Table1[[#This Row],[Flowmeter A]]+Table1[[#This Row],[Flowmeter B]])</f>
        <v>2.1444524665022214E-2</v>
      </c>
      <c r="M233" s="33">
        <f>Table1[[#This Row],[TN120 Venting2]]/100</f>
        <v>0</v>
      </c>
      <c r="N233" s="31">
        <f>Table1[[#This Row],[TN550 I Venting2]]/100</f>
        <v>0</v>
      </c>
      <c r="O233" s="31">
        <f>(Table1[[#This Row],[TN550 I (O2)]]-Table1[[#This Row],[O2]])/Table1[[#This Row],[TN550 I (O2)]]</f>
        <v>0.16641036066214795</v>
      </c>
      <c r="P233" s="9">
        <f>Table1[[#This Row],[M-N2]]+Table1[[#This Row],[TEN-N2]]</f>
        <v>64115.507330911016</v>
      </c>
      <c r="Q233" s="9">
        <v>1416.888460856854</v>
      </c>
      <c r="R233" s="9">
        <f>SUM(Table1[[#This Row],[TEN-CDA]:[TEN-CDA WWT]])</f>
        <v>98494.308460286906</v>
      </c>
      <c r="S233" s="9">
        <v>425.21763872388834</v>
      </c>
      <c r="T233" s="9">
        <v>213.21570518858977</v>
      </c>
      <c r="U233" s="9">
        <v>38.471251248816991</v>
      </c>
      <c r="V233" s="42">
        <v>0</v>
      </c>
      <c r="W233" s="9">
        <v>0</v>
      </c>
      <c r="X233" s="9">
        <v>77512.450528062109</v>
      </c>
      <c r="Y233" s="9">
        <v>1749.897053048149</v>
      </c>
      <c r="Z233" s="1">
        <v>62061.776823278109</v>
      </c>
      <c r="AA233" s="1">
        <v>2053.7305076329103</v>
      </c>
      <c r="AB233" s="1">
        <v>36173.939145450211</v>
      </c>
      <c r="AC233" s="1">
        <v>52701.130961029667</v>
      </c>
      <c r="AD233" s="1">
        <v>6986.1611521268869</v>
      </c>
      <c r="AE233" s="1">
        <v>2622.7537188665642</v>
      </c>
      <c r="AF233" s="1">
        <v>10.323482813578588</v>
      </c>
      <c r="AG233" s="1"/>
      <c r="AH233" s="1"/>
      <c r="AI233" s="1"/>
      <c r="AJ233" s="1"/>
      <c r="AK233" s="1"/>
      <c r="AL233" s="1"/>
      <c r="AM233" s="1"/>
      <c r="AN233" s="1"/>
      <c r="AO233" s="1"/>
      <c r="AP233" s="1"/>
      <c r="AQ233" s="1"/>
    </row>
    <row r="234" spans="1:43" x14ac:dyDescent="0.3">
      <c r="A234" s="9">
        <f t="shared" si="22"/>
        <v>2020</v>
      </c>
      <c r="B234" s="9">
        <f t="shared" si="23"/>
        <v>8</v>
      </c>
      <c r="C234" s="10">
        <v>44059</v>
      </c>
      <c r="D234" s="9">
        <v>0.217</v>
      </c>
      <c r="E234" s="9">
        <v>0.16800000000000001</v>
      </c>
      <c r="F234" s="9">
        <v>24.090160519443064</v>
      </c>
      <c r="G234" s="9">
        <v>12441.359770775503</v>
      </c>
      <c r="H234" s="9">
        <v>57003.199674162905</v>
      </c>
      <c r="I234" s="9">
        <v>1699.8601579103597</v>
      </c>
      <c r="J234" s="20">
        <v>71.959999999999994</v>
      </c>
      <c r="K234" s="9">
        <v>71.95</v>
      </c>
      <c r="L234" s="31">
        <f>Table1[[#This Row],[TN550 I (O2)]]/(Table1[[#This Row],[Flowmeter A]]+Table1[[#This Row],[Flowmeter B]])</f>
        <v>2.1454625505867259E-2</v>
      </c>
      <c r="M234" s="33">
        <f>Table1[[#This Row],[TN120 Venting2]]/100</f>
        <v>0</v>
      </c>
      <c r="N234" s="31">
        <f>Table1[[#This Row],[TN550 I Venting2]]/100</f>
        <v>0</v>
      </c>
      <c r="O234" s="31">
        <f>(Table1[[#This Row],[TN550 I (O2)]]-Table1[[#This Row],[O2]])/Table1[[#This Row],[TN550 I (O2)]]</f>
        <v>0.16644594471733601</v>
      </c>
      <c r="P234" s="9">
        <f>Table1[[#This Row],[M-N2]]+Table1[[#This Row],[TEN-N2]]</f>
        <v>63957.947696132513</v>
      </c>
      <c r="Q234" s="9">
        <v>1416.9253280396099</v>
      </c>
      <c r="R234" s="9">
        <f>SUM(Table1[[#This Row],[TEN-CDA]:[TEN-CDA WWT]])</f>
        <v>98315.779173937553</v>
      </c>
      <c r="S234" s="9">
        <v>426.96250205003577</v>
      </c>
      <c r="T234" s="9">
        <v>215.10724189329449</v>
      </c>
      <c r="U234" s="9">
        <v>36.190135241051173</v>
      </c>
      <c r="V234" s="42">
        <v>0</v>
      </c>
      <c r="W234" s="9">
        <v>0</v>
      </c>
      <c r="X234" s="9">
        <v>77480.518216516313</v>
      </c>
      <c r="Y234" s="9">
        <v>1749.9562303806492</v>
      </c>
      <c r="Z234" s="1">
        <v>61898.841556969986</v>
      </c>
      <c r="AA234" s="1">
        <v>2059.1061391625281</v>
      </c>
      <c r="AB234" s="1">
        <v>35842.49260496183</v>
      </c>
      <c r="AC234" s="1">
        <v>52827.017251474674</v>
      </c>
      <c r="AD234" s="1">
        <v>7019.687400378426</v>
      </c>
      <c r="AE234" s="1">
        <v>2618.5523877325859</v>
      </c>
      <c r="AF234" s="1">
        <v>8.0295293900203077</v>
      </c>
      <c r="AG234" s="1"/>
      <c r="AH234" s="1"/>
      <c r="AI234" s="1"/>
      <c r="AJ234" s="1"/>
      <c r="AK234" s="1"/>
      <c r="AL234" s="1"/>
      <c r="AM234" s="1"/>
      <c r="AN234" s="1"/>
      <c r="AO234" s="1"/>
      <c r="AP234" s="1"/>
      <c r="AQ234" s="1"/>
    </row>
    <row r="235" spans="1:43" x14ac:dyDescent="0.3">
      <c r="A235" s="9">
        <f t="shared" si="22"/>
        <v>2020</v>
      </c>
      <c r="B235" s="9">
        <f t="shared" si="23"/>
        <v>8</v>
      </c>
      <c r="C235" s="10">
        <v>44060</v>
      </c>
      <c r="D235" s="9">
        <v>0.218</v>
      </c>
      <c r="E235" s="9">
        <v>0.16700000000000001</v>
      </c>
      <c r="F235" s="9">
        <v>23.601298973512353</v>
      </c>
      <c r="G235" s="9">
        <v>12446.857026777194</v>
      </c>
      <c r="H235" s="9">
        <v>57005.967459663429</v>
      </c>
      <c r="I235" s="9">
        <v>1699.9524351036607</v>
      </c>
      <c r="J235" s="20">
        <v>72</v>
      </c>
      <c r="K235" s="9">
        <v>71.959999999999994</v>
      </c>
      <c r="L235" s="31">
        <f>Table1[[#This Row],[TN550 I (O2)]]/(Table1[[#This Row],[Flowmeter A]]+Table1[[#This Row],[Flowmeter B]])</f>
        <v>2.1459934549908872E-2</v>
      </c>
      <c r="M235" s="33">
        <f>Table1[[#This Row],[TN120 Venting2]]/100</f>
        <v>0</v>
      </c>
      <c r="N235" s="31">
        <f>Table1[[#This Row],[TN550 I Venting2]]/100</f>
        <v>0</v>
      </c>
      <c r="O235" s="31">
        <f>(Table1[[#This Row],[TN550 I (O2)]]-Table1[[#This Row],[O2]])/Table1[[#This Row],[TN550 I (O2)]]</f>
        <v>0.17074261050933101</v>
      </c>
      <c r="P235" s="9">
        <f>Table1[[#This Row],[M-N2]]+Table1[[#This Row],[TEN-N2]]</f>
        <v>63952.78090496712</v>
      </c>
      <c r="Q235" s="9">
        <v>1409.6981185923676</v>
      </c>
      <c r="R235" s="9">
        <f>SUM(Table1[[#This Row],[TEN-CDA]:[TEN-CDA WWT]])</f>
        <v>97866.756207641491</v>
      </c>
      <c r="S235" s="9">
        <v>425.91021336721599</v>
      </c>
      <c r="T235" s="9">
        <v>207.73530468487391</v>
      </c>
      <c r="U235" s="9">
        <v>37.03557804406806</v>
      </c>
      <c r="V235" s="42">
        <v>0</v>
      </c>
      <c r="W235" s="9">
        <v>0</v>
      </c>
      <c r="X235" s="9">
        <v>77465.049526153714</v>
      </c>
      <c r="Y235" s="9">
        <v>1750.1238076754696</v>
      </c>
      <c r="Z235" s="1">
        <v>61932.297821066102</v>
      </c>
      <c r="AA235" s="1">
        <v>2020.4830839010181</v>
      </c>
      <c r="AB235" s="1">
        <v>35319.901651142871</v>
      </c>
      <c r="AC235" s="1">
        <v>52776.014537972762</v>
      </c>
      <c r="AD235" s="1">
        <v>7137.8463418551573</v>
      </c>
      <c r="AE235" s="1">
        <v>2621.4636554069439</v>
      </c>
      <c r="AF235" s="1">
        <v>11.530021263747932</v>
      </c>
      <c r="AG235" s="1"/>
      <c r="AH235" s="1"/>
      <c r="AI235" s="1"/>
      <c r="AJ235" s="1"/>
      <c r="AK235" s="1"/>
      <c r="AL235" s="1"/>
      <c r="AM235" s="1"/>
      <c r="AN235" s="1"/>
      <c r="AO235" s="1"/>
      <c r="AP235" s="1"/>
      <c r="AQ235" s="1"/>
    </row>
    <row r="236" spans="1:43" x14ac:dyDescent="0.3">
      <c r="A236" s="9">
        <f t="shared" si="22"/>
        <v>2020</v>
      </c>
      <c r="B236" s="9">
        <f t="shared" si="23"/>
        <v>8</v>
      </c>
      <c r="C236" s="10">
        <v>44061</v>
      </c>
      <c r="D236" s="9">
        <v>0.217</v>
      </c>
      <c r="E236" s="9">
        <v>0.16800000000000001</v>
      </c>
      <c r="F236" s="9">
        <v>22.212403055862119</v>
      </c>
      <c r="G236" s="9">
        <v>12456.272825538905</v>
      </c>
      <c r="H236" s="9">
        <v>57001.505820068531</v>
      </c>
      <c r="I236" s="9">
        <v>1699.9966232013901</v>
      </c>
      <c r="J236" s="20">
        <v>72.02</v>
      </c>
      <c r="K236" s="9">
        <v>71.92</v>
      </c>
      <c r="L236" s="31">
        <f>Table1[[#This Row],[TN550 I (O2)]]/(Table1[[#This Row],[Flowmeter A]]+Table1[[#This Row],[Flowmeter B]])</f>
        <v>2.1448840896925055E-2</v>
      </c>
      <c r="M236" s="33">
        <f>Table1[[#This Row],[TN120 Venting2]]/100</f>
        <v>0</v>
      </c>
      <c r="N236" s="31">
        <f>Table1[[#This Row],[TN550 I Venting2]]/100</f>
        <v>0</v>
      </c>
      <c r="O236" s="31">
        <f>(Table1[[#This Row],[TN550 I (O2)]]-Table1[[#This Row],[O2]])/Table1[[#This Row],[TN550 I (O2)]]</f>
        <v>0.17075387726800823</v>
      </c>
      <c r="P236" s="9">
        <f>Table1[[#This Row],[M-N2]]+Table1[[#This Row],[TEN-N2]]</f>
        <v>64068.837435805079</v>
      </c>
      <c r="Q236" s="9">
        <v>1409.7156084472315</v>
      </c>
      <c r="R236" s="9">
        <f>SUM(Table1[[#This Row],[TEN-CDA]:[TEN-CDA WWT]])</f>
        <v>97573.424691086169</v>
      </c>
      <c r="S236" s="9">
        <v>425.67559399363233</v>
      </c>
      <c r="T236" s="9">
        <v>219.71140707043787</v>
      </c>
      <c r="U236" s="9">
        <v>36.771296166943479</v>
      </c>
      <c r="V236" s="42">
        <v>0</v>
      </c>
      <c r="W236" s="9">
        <v>0</v>
      </c>
      <c r="X236" s="9">
        <v>77507.761504597496</v>
      </c>
      <c r="Y236" s="9">
        <v>1750.4432334079252</v>
      </c>
      <c r="Z236" s="1">
        <v>62041.012399158571</v>
      </c>
      <c r="AA236" s="1">
        <v>2027.8250366465072</v>
      </c>
      <c r="AB236" s="1">
        <v>35167.018907768041</v>
      </c>
      <c r="AC236" s="1">
        <v>52689.046067184245</v>
      </c>
      <c r="AD236" s="1">
        <v>7065.7732131820349</v>
      </c>
      <c r="AE236" s="1">
        <v>2640.3899340871139</v>
      </c>
      <c r="AF236" s="1">
        <v>11.196568864726673</v>
      </c>
      <c r="AG236" s="1"/>
      <c r="AH236" s="1"/>
      <c r="AI236" s="1"/>
      <c r="AJ236" s="1"/>
      <c r="AK236" s="1"/>
      <c r="AL236" s="1"/>
      <c r="AM236" s="1"/>
      <c r="AN236" s="1"/>
      <c r="AO236" s="1"/>
      <c r="AP236" s="1"/>
      <c r="AQ236" s="1"/>
    </row>
    <row r="237" spans="1:43" x14ac:dyDescent="0.3">
      <c r="A237" s="9">
        <f t="shared" si="22"/>
        <v>2020</v>
      </c>
      <c r="B237" s="9">
        <f t="shared" si="23"/>
        <v>8</v>
      </c>
      <c r="C237" s="10">
        <v>44062</v>
      </c>
      <c r="D237" s="9">
        <v>0.21199999999999999</v>
      </c>
      <c r="E237" s="9">
        <v>0.16400000000000001</v>
      </c>
      <c r="F237" s="9">
        <v>22.252941359255896</v>
      </c>
      <c r="G237" s="9">
        <v>11523.101726502862</v>
      </c>
      <c r="H237" s="9">
        <v>56193.994459142959</v>
      </c>
      <c r="I237" s="9">
        <v>1700.0428746347209</v>
      </c>
      <c r="J237" s="20">
        <v>71.56</v>
      </c>
      <c r="K237" s="9">
        <v>71.87</v>
      </c>
      <c r="L237" s="31">
        <f>Table1[[#This Row],[TN550 I (O2)]]/(Table1[[#This Row],[Flowmeter A]]+Table1[[#This Row],[Flowmeter B]])</f>
        <v>2.1742209682836255E-2</v>
      </c>
      <c r="M237" s="33">
        <f>Table1[[#This Row],[TN120 Venting2]]/100</f>
        <v>4.5999999999999999E-3</v>
      </c>
      <c r="N237" s="31">
        <f>Table1[[#This Row],[TN550 I Venting2]]/100</f>
        <v>1.6000000000000001E-3</v>
      </c>
      <c r="O237" s="31">
        <f>(Table1[[#This Row],[TN550 I (O2)]]-Table1[[#This Row],[O2]])/Table1[[#This Row],[TN550 I (O2)]]</f>
        <v>0.17238793942540473</v>
      </c>
      <c r="P237" s="9">
        <f>Table1[[#This Row],[M-N2]]+Table1[[#This Row],[TEN-N2]]</f>
        <v>64191.574410369052</v>
      </c>
      <c r="Q237" s="9">
        <v>1406.9759865415997</v>
      </c>
      <c r="R237" s="9">
        <f>SUM(Table1[[#This Row],[TEN-CDA]:[TEN-CDA WWT]])</f>
        <v>98423.78847418011</v>
      </c>
      <c r="S237" s="9">
        <v>427.43912581815061</v>
      </c>
      <c r="T237" s="9">
        <v>213.16477030238536</v>
      </c>
      <c r="U237" s="9">
        <v>36.558449454641774</v>
      </c>
      <c r="V237" s="42">
        <v>0.46</v>
      </c>
      <c r="W237" s="9">
        <v>0.16</v>
      </c>
      <c r="X237" s="9">
        <v>76440.80646577898</v>
      </c>
      <c r="Y237" s="9">
        <v>1750.0903857387991</v>
      </c>
      <c r="Z237" s="1">
        <v>62221.707958340565</v>
      </c>
      <c r="AA237" s="1">
        <v>1969.8664520284849</v>
      </c>
      <c r="AB237" s="1">
        <v>35740.033784589694</v>
      </c>
      <c r="AC237" s="1">
        <v>52779.29948820264</v>
      </c>
      <c r="AD237" s="1">
        <v>7256.7981280631939</v>
      </c>
      <c r="AE237" s="1">
        <v>2638.8200215982283</v>
      </c>
      <c r="AF237" s="1">
        <v>8.837051726355476</v>
      </c>
      <c r="AG237" s="1"/>
      <c r="AH237" s="1"/>
      <c r="AI237" s="1"/>
      <c r="AJ237" s="1"/>
      <c r="AK237" s="1"/>
      <c r="AL237" s="1"/>
      <c r="AM237" s="1"/>
      <c r="AN237" s="1"/>
      <c r="AO237" s="1"/>
      <c r="AP237" s="1"/>
      <c r="AQ237" s="1"/>
    </row>
    <row r="238" spans="1:43" x14ac:dyDescent="0.3">
      <c r="A238" s="9">
        <f t="shared" si="22"/>
        <v>2020</v>
      </c>
      <c r="B238" s="9">
        <f t="shared" si="23"/>
        <v>8</v>
      </c>
      <c r="C238" s="10">
        <v>44063</v>
      </c>
      <c r="D238" s="9">
        <v>0.216</v>
      </c>
      <c r="E238" s="9">
        <v>0.16700000000000001</v>
      </c>
      <c r="F238" s="9">
        <v>23.085929654854027</v>
      </c>
      <c r="G238" s="9">
        <v>10694.777202788862</v>
      </c>
      <c r="H238" s="9">
        <v>55498.243851925741</v>
      </c>
      <c r="I238" s="9">
        <v>1697.7422332445999</v>
      </c>
      <c r="J238" s="20">
        <v>70.94</v>
      </c>
      <c r="K238" s="9">
        <v>71.849999999999994</v>
      </c>
      <c r="L238" s="31">
        <f>Table1[[#This Row],[TN550 I (O2)]]/(Table1[[#This Row],[Flowmeter A]]+Table1[[#This Row],[Flowmeter B]])</f>
        <v>2.1978729465526474E-2</v>
      </c>
      <c r="M238" s="33">
        <f>Table1[[#This Row],[TN120 Venting2]]/100</f>
        <v>4.7999999999999996E-3</v>
      </c>
      <c r="N238" s="31">
        <f>Table1[[#This Row],[TN550 I Venting2]]/100</f>
        <v>0</v>
      </c>
      <c r="O238" s="31">
        <f>(Table1[[#This Row],[TN550 I (O2)]]-Table1[[#This Row],[O2]])/Table1[[#This Row],[TN550 I (O2)]]</f>
        <v>0.17105698011976161</v>
      </c>
      <c r="P238" s="9">
        <f>Table1[[#This Row],[M-N2]]+Table1[[#This Row],[TEN-N2]]</f>
        <v>64020.504863921677</v>
      </c>
      <c r="Q238" s="9">
        <v>1407.3315738039987</v>
      </c>
      <c r="R238" s="9">
        <f>SUM(Table1[[#This Row],[TEN-CDA]:[TEN-CDA WWT]])</f>
        <v>97974.001895125082</v>
      </c>
      <c r="S238" s="9">
        <v>429.73914071903056</v>
      </c>
      <c r="T238" s="9">
        <v>211.08969487885813</v>
      </c>
      <c r="U238" s="9">
        <v>38.864994403804694</v>
      </c>
      <c r="V238" s="42">
        <v>0.48</v>
      </c>
      <c r="W238" s="9">
        <v>0</v>
      </c>
      <c r="X238" s="9">
        <v>75497.01301179736</v>
      </c>
      <c r="Y238" s="9">
        <v>1747.7720385623593</v>
      </c>
      <c r="Z238" s="1">
        <v>62061.869941663776</v>
      </c>
      <c r="AA238" s="1">
        <v>1958.6349222578992</v>
      </c>
      <c r="AB238" s="1">
        <v>35549.965388619014</v>
      </c>
      <c r="AC238" s="1">
        <v>52642.527026587442</v>
      </c>
      <c r="AD238" s="1">
        <v>7150.2111851985383</v>
      </c>
      <c r="AE238" s="1">
        <v>2620.4627296717772</v>
      </c>
      <c r="AF238" s="1">
        <v>10.835565048319692</v>
      </c>
      <c r="AG238" s="1"/>
      <c r="AH238" s="1"/>
      <c r="AI238" s="1"/>
      <c r="AJ238" s="1"/>
      <c r="AK238" s="1"/>
      <c r="AL238" s="1"/>
      <c r="AM238" s="1"/>
      <c r="AN238" s="1"/>
      <c r="AO238" s="1"/>
      <c r="AP238" s="1"/>
      <c r="AQ238" s="1"/>
    </row>
    <row r="239" spans="1:43" x14ac:dyDescent="0.3">
      <c r="A239" s="9">
        <f t="shared" si="22"/>
        <v>2020</v>
      </c>
      <c r="B239" s="9">
        <f t="shared" si="23"/>
        <v>8</v>
      </c>
      <c r="C239" s="10">
        <v>44064</v>
      </c>
      <c r="D239" s="9">
        <v>0.216</v>
      </c>
      <c r="E239" s="9">
        <v>0.16500000000000001</v>
      </c>
      <c r="F239" s="9">
        <v>23.188962193845793</v>
      </c>
      <c r="G239" s="9">
        <v>10599.928281277109</v>
      </c>
      <c r="H239" s="9">
        <v>55503.93103747398</v>
      </c>
      <c r="I239" s="9">
        <v>1649.8420649891841</v>
      </c>
      <c r="J239" s="20">
        <v>70.959999999999994</v>
      </c>
      <c r="K239" s="9">
        <v>71.83</v>
      </c>
      <c r="L239" s="31">
        <f>Table1[[#This Row],[TN550 I (O2)]]/(Table1[[#This Row],[Flowmeter A]]+Table1[[#This Row],[Flowmeter B]])</f>
        <v>2.135235073640775E-2</v>
      </c>
      <c r="M239" s="33">
        <f>Table1[[#This Row],[TN120 Venting2]]/100</f>
        <v>1.3300000000000001E-2</v>
      </c>
      <c r="N239" s="31">
        <f>Table1[[#This Row],[TN550 I Venting2]]/100</f>
        <v>2.0000000000000001E-4</v>
      </c>
      <c r="O239" s="31">
        <f>(Table1[[#This Row],[TN550 I (O2)]]-Table1[[#This Row],[O2]])/Table1[[#This Row],[TN550 I (O2)]]</f>
        <v>0.14660436123367643</v>
      </c>
      <c r="P239" s="9">
        <f>Table1[[#This Row],[M-N2]]+Table1[[#This Row],[TEN-N2]]</f>
        <v>63992.613933534114</v>
      </c>
      <c r="Q239" s="9">
        <v>1407.9680229149951</v>
      </c>
      <c r="R239" s="9">
        <f>SUM(Table1[[#This Row],[TEN-CDA]:[TEN-CDA WWT]])</f>
        <v>98370.452308852604</v>
      </c>
      <c r="S239" s="9">
        <v>423.47100345100654</v>
      </c>
      <c r="T239" s="9">
        <v>211.12010272288799</v>
      </c>
      <c r="U239" s="9">
        <v>38.098357546751402</v>
      </c>
      <c r="V239" s="42">
        <v>1.33</v>
      </c>
      <c r="W239" s="9">
        <v>0.02</v>
      </c>
      <c r="X239" s="9">
        <v>75567.804286302911</v>
      </c>
      <c r="Y239" s="9">
        <v>1699.6631394756246</v>
      </c>
      <c r="Z239" s="1">
        <v>61975.818073386537</v>
      </c>
      <c r="AA239" s="1">
        <v>2016.7958601475757</v>
      </c>
      <c r="AB239" s="1">
        <v>35923.967001539728</v>
      </c>
      <c r="AC239" s="1">
        <v>52690.146501995143</v>
      </c>
      <c r="AD239" s="1">
        <v>7112.295884205847</v>
      </c>
      <c r="AE239" s="1">
        <v>2624.3628695485991</v>
      </c>
      <c r="AF239" s="1">
        <v>19.680051563288252</v>
      </c>
      <c r="AG239" s="1"/>
      <c r="AH239" s="1"/>
      <c r="AI239" s="1"/>
      <c r="AJ239" s="1"/>
      <c r="AK239" s="1"/>
      <c r="AL239" s="1"/>
      <c r="AM239" s="1"/>
      <c r="AN239" s="1"/>
      <c r="AO239" s="1"/>
      <c r="AP239" s="1"/>
      <c r="AQ239" s="1"/>
    </row>
    <row r="240" spans="1:43" x14ac:dyDescent="0.3">
      <c r="A240" s="9">
        <f t="shared" si="22"/>
        <v>2020</v>
      </c>
      <c r="B240" s="9">
        <f t="shared" si="23"/>
        <v>8</v>
      </c>
      <c r="C240" s="10">
        <v>44065</v>
      </c>
      <c r="D240" s="9">
        <v>0.21199999999999999</v>
      </c>
      <c r="E240" s="9">
        <v>0.16600000000000001</v>
      </c>
      <c r="F240" s="9">
        <v>22.549749194376176</v>
      </c>
      <c r="G240" s="9">
        <v>10640.522580890009</v>
      </c>
      <c r="H240" s="9">
        <v>55494.588154927136</v>
      </c>
      <c r="I240" s="9">
        <v>1649.9657437326507</v>
      </c>
      <c r="J240" s="20">
        <v>70.97</v>
      </c>
      <c r="K240" s="9">
        <v>71.849999999999994</v>
      </c>
      <c r="L240" s="31">
        <f>Table1[[#This Row],[TN550 I (O2)]]/(Table1[[#This Row],[Flowmeter A]]+Table1[[#This Row],[Flowmeter B]])</f>
        <v>2.136348092407803E-2</v>
      </c>
      <c r="M240" s="33">
        <f>Table1[[#This Row],[TN120 Venting2]]/100</f>
        <v>1.04E-2</v>
      </c>
      <c r="N240" s="31">
        <f>Table1[[#This Row],[TN550 I Venting2]]/100</f>
        <v>1E-4</v>
      </c>
      <c r="O240" s="31">
        <f>(Table1[[#This Row],[TN550 I (O2)]]-Table1[[#This Row],[O2]])/Table1[[#This Row],[TN550 I (O2)]]</f>
        <v>0.14560638117204225</v>
      </c>
      <c r="P240" s="9">
        <f>Table1[[#This Row],[M-N2]]+Table1[[#This Row],[TEN-N2]]</f>
        <v>64295.136895468931</v>
      </c>
      <c r="Q240" s="9">
        <v>1409.7202027299022</v>
      </c>
      <c r="R240" s="9">
        <f>SUM(Table1[[#This Row],[TEN-CDA]:[TEN-CDA WWT]])</f>
        <v>98843.686513146371</v>
      </c>
      <c r="S240" s="9">
        <v>425.43371783222779</v>
      </c>
      <c r="T240" s="9">
        <v>214.91571166695695</v>
      </c>
      <c r="U240" s="9">
        <v>36.516520393631005</v>
      </c>
      <c r="V240" s="42">
        <v>1.04</v>
      </c>
      <c r="W240" s="9">
        <v>0.01</v>
      </c>
      <c r="X240" s="9">
        <v>75533.5113202637</v>
      </c>
      <c r="Y240" s="9">
        <v>1699.4896872187555</v>
      </c>
      <c r="Z240" s="1">
        <v>62238.444377277061</v>
      </c>
      <c r="AA240" s="1">
        <v>2056.6925181918673</v>
      </c>
      <c r="AB240" s="1">
        <v>36099.407191297745</v>
      </c>
      <c r="AC240" s="1">
        <v>52747.762610600279</v>
      </c>
      <c r="AD240" s="1">
        <v>7306.311304879966</v>
      </c>
      <c r="AE240" s="1">
        <v>2665.3012248031964</v>
      </c>
      <c r="AF240" s="1">
        <v>24.904181565168415</v>
      </c>
      <c r="AG240" s="1"/>
      <c r="AH240" s="1"/>
      <c r="AI240" s="1"/>
      <c r="AJ240" s="1"/>
      <c r="AK240" s="1"/>
      <c r="AL240" s="1"/>
      <c r="AM240" s="1"/>
      <c r="AN240" s="1"/>
      <c r="AO240" s="1"/>
      <c r="AP240" s="1"/>
      <c r="AQ240" s="1"/>
    </row>
    <row r="241" spans="1:43" x14ac:dyDescent="0.3">
      <c r="A241" s="9">
        <f t="shared" si="22"/>
        <v>2020</v>
      </c>
      <c r="B241" s="9">
        <f t="shared" si="23"/>
        <v>8</v>
      </c>
      <c r="C241" s="10">
        <v>44066</v>
      </c>
      <c r="D241" s="9">
        <v>0.218</v>
      </c>
      <c r="E241" s="9">
        <v>0.16300000000000001</v>
      </c>
      <c r="F241" s="9">
        <v>23.35170010176903</v>
      </c>
      <c r="G241" s="9">
        <v>10425.945070561893</v>
      </c>
      <c r="H241" s="9">
        <v>55507.051716472939</v>
      </c>
      <c r="I241" s="9">
        <v>1649.9380863780036</v>
      </c>
      <c r="J241" s="20">
        <v>70.98</v>
      </c>
      <c r="K241" s="9">
        <v>71.89</v>
      </c>
      <c r="L241" s="31">
        <f>Table1[[#This Row],[TN550 I (O2)]]/(Table1[[#This Row],[Flowmeter A]]+Table1[[#This Row],[Flowmeter B]])</f>
        <v>2.1368870096558468E-2</v>
      </c>
      <c r="M241" s="33">
        <f>Table1[[#This Row],[TN120 Venting2]]/100</f>
        <v>2.41E-2</v>
      </c>
      <c r="N241" s="31">
        <f>Table1[[#This Row],[TN550 I Venting2]]/100</f>
        <v>8.0000000000000004E-4</v>
      </c>
      <c r="O241" s="31">
        <f>(Table1[[#This Row],[TN550 I (O2)]]-Table1[[#This Row],[O2]])/Table1[[#This Row],[TN550 I (O2)]]</f>
        <v>0.14536649269592314</v>
      </c>
      <c r="P241" s="9">
        <f>Table1[[#This Row],[M-N2]]+Table1[[#This Row],[TEN-N2]]</f>
        <v>64118.462676726638</v>
      </c>
      <c r="Q241" s="9">
        <v>1410.0923735958102</v>
      </c>
      <c r="R241" s="9">
        <f>SUM(Table1[[#This Row],[TEN-CDA]:[TEN-CDA WWT]])</f>
        <v>98402.336293228829</v>
      </c>
      <c r="S241" s="9">
        <v>429.77355001900946</v>
      </c>
      <c r="T241" s="9">
        <v>224.3110253931664</v>
      </c>
      <c r="U241" s="9">
        <v>37.223280688940363</v>
      </c>
      <c r="V241" s="42">
        <v>2.41</v>
      </c>
      <c r="W241" s="9">
        <v>0.08</v>
      </c>
      <c r="X241" s="9">
        <v>75511.793524462177</v>
      </c>
      <c r="Y241" s="9">
        <v>1700.4352420804237</v>
      </c>
      <c r="Z241" s="1">
        <v>62046.018235491843</v>
      </c>
      <c r="AA241" s="1">
        <v>2072.4444412347925</v>
      </c>
      <c r="AB241" s="1">
        <v>35817.344359928</v>
      </c>
      <c r="AC241" s="1">
        <v>52688.342684659088</v>
      </c>
      <c r="AD241" s="1">
        <v>7231.8292770862236</v>
      </c>
      <c r="AE241" s="1">
        <v>2647.9341811445502</v>
      </c>
      <c r="AF241" s="1">
        <v>16.885790410970895</v>
      </c>
      <c r="AG241" s="1"/>
      <c r="AH241" s="1"/>
      <c r="AI241" s="1"/>
      <c r="AJ241" s="1"/>
      <c r="AK241" s="1"/>
      <c r="AL241" s="1"/>
      <c r="AM241" s="1"/>
      <c r="AN241" s="1"/>
      <c r="AO241" s="1"/>
      <c r="AP241" s="1"/>
      <c r="AQ241" s="1"/>
    </row>
    <row r="242" spans="1:43" x14ac:dyDescent="0.3">
      <c r="A242" s="9">
        <f t="shared" si="22"/>
        <v>2020</v>
      </c>
      <c r="B242" s="9">
        <f t="shared" si="23"/>
        <v>8</v>
      </c>
      <c r="C242" s="10">
        <v>44067</v>
      </c>
      <c r="D242" s="9">
        <v>0.46100000000000002</v>
      </c>
      <c r="E242" s="9">
        <v>0.16700000000000001</v>
      </c>
      <c r="F242" s="9">
        <v>22.607537548216079</v>
      </c>
      <c r="G242" s="9">
        <v>10220.042686150025</v>
      </c>
      <c r="H242" s="9">
        <v>55569.013334381503</v>
      </c>
      <c r="I242" s="9">
        <v>1649.9016997676852</v>
      </c>
      <c r="J242" s="20">
        <v>71.010000000000005</v>
      </c>
      <c r="K242" s="9">
        <v>71.819999999999993</v>
      </c>
      <c r="L242" s="31">
        <f>Table1[[#This Row],[TN550 I (O2)]]/(Table1[[#This Row],[Flowmeter A]]+Table1[[#This Row],[Flowmeter B]])</f>
        <v>2.1323864188495301E-2</v>
      </c>
      <c r="M242" s="33">
        <f>Table1[[#This Row],[TN120 Venting2]]/100</f>
        <v>3.6299999999999999E-2</v>
      </c>
      <c r="N242" s="31">
        <f>Table1[[#This Row],[TN550 I Venting2]]/100</f>
        <v>3.0999999999999999E-3</v>
      </c>
      <c r="O242" s="31">
        <f>(Table1[[#This Row],[TN550 I (O2)]]-Table1[[#This Row],[O2]])/Table1[[#This Row],[TN550 I (O2)]]</f>
        <v>0.14595785674693335</v>
      </c>
      <c r="P242" s="9">
        <f>Table1[[#This Row],[M-N2]]+Table1[[#This Row],[TEN-N2]]</f>
        <v>64181.207537236107</v>
      </c>
      <c r="Q242" s="9">
        <v>1409.0855838264715</v>
      </c>
      <c r="R242" s="9">
        <f>SUM(Table1[[#This Row],[TEN-CDA]:[TEN-CDA WWT]])</f>
        <v>98016.734472478332</v>
      </c>
      <c r="S242" s="9">
        <v>428.8442750251765</v>
      </c>
      <c r="T242" s="9">
        <v>216.62596938313916</v>
      </c>
      <c r="U242" s="9">
        <v>36.797830291790405</v>
      </c>
      <c r="V242" s="42">
        <v>3.63</v>
      </c>
      <c r="W242" s="9">
        <v>0.31</v>
      </c>
      <c r="X242" s="9">
        <v>75673.682593468082</v>
      </c>
      <c r="Y242" s="9">
        <v>1699.8030554343227</v>
      </c>
      <c r="Z242" s="1">
        <v>62098.229078114156</v>
      </c>
      <c r="AA242" s="1">
        <v>2082.9784591219477</v>
      </c>
      <c r="AB242" s="1">
        <v>35482.626368949517</v>
      </c>
      <c r="AC242" s="1">
        <v>52658.677738441183</v>
      </c>
      <c r="AD242" s="1">
        <v>7230.3895840562109</v>
      </c>
      <c r="AE242" s="1">
        <v>2625.1439690996922</v>
      </c>
      <c r="AF242" s="1">
        <v>19.896811931735936</v>
      </c>
      <c r="AG242" s="1"/>
      <c r="AH242" s="1"/>
      <c r="AI242" s="1"/>
      <c r="AJ242" s="1"/>
      <c r="AK242" s="1"/>
      <c r="AL242" s="1"/>
      <c r="AM242" s="1"/>
      <c r="AN242" s="1"/>
      <c r="AO242" s="1"/>
      <c r="AP242" s="1"/>
      <c r="AQ242" s="1"/>
    </row>
    <row r="243" spans="1:43" x14ac:dyDescent="0.3">
      <c r="A243" s="9">
        <f t="shared" si="22"/>
        <v>2020</v>
      </c>
      <c r="B243" s="9">
        <f t="shared" si="23"/>
        <v>8</v>
      </c>
      <c r="C243" s="10">
        <v>44068</v>
      </c>
      <c r="D243" s="9">
        <v>0.73099999999999998</v>
      </c>
      <c r="E243" s="9">
        <v>0.16400000000000001</v>
      </c>
      <c r="F243" s="9">
        <v>22.505431555775122</v>
      </c>
      <c r="G243" s="9">
        <v>10298.995552947172</v>
      </c>
      <c r="H243" s="9">
        <v>55199.788704675571</v>
      </c>
      <c r="I243" s="9">
        <v>1650.062281357754</v>
      </c>
      <c r="J243" s="20">
        <v>70.97</v>
      </c>
      <c r="K243" s="9">
        <v>71.86</v>
      </c>
      <c r="L243" s="31">
        <f>Table1[[#This Row],[TN550 I (O2)]]/(Table1[[#This Row],[Flowmeter A]]+Table1[[#This Row],[Flowmeter B]])</f>
        <v>2.1480062058173901E-2</v>
      </c>
      <c r="M243" s="33">
        <f>Table1[[#This Row],[TN120 Venting2]]/100</f>
        <v>1.46E-2</v>
      </c>
      <c r="N243" s="31">
        <f>Table1[[#This Row],[TN550 I Venting2]]/100</f>
        <v>7.000000000000001E-4</v>
      </c>
      <c r="O243" s="31">
        <f>(Table1[[#This Row],[TN550 I (O2)]]-Table1[[#This Row],[O2]])/Table1[[#This Row],[TN550 I (O2)]]</f>
        <v>0.14431448864254981</v>
      </c>
      <c r="P243" s="9">
        <f>Table1[[#This Row],[M-N2]]+Table1[[#This Row],[TEN-N2]]</f>
        <v>64057.542540445007</v>
      </c>
      <c r="Q243" s="9">
        <v>1411.9343869952506</v>
      </c>
      <c r="R243" s="9">
        <f>SUM(Table1[[#This Row],[TEN-CDA]:[TEN-CDA WWT]])</f>
        <v>97704.983181878109</v>
      </c>
      <c r="S243" s="9">
        <v>425.75621747474219</v>
      </c>
      <c r="T243" s="9">
        <v>214.54940688949256</v>
      </c>
      <c r="U243" s="9">
        <v>37.042815880176512</v>
      </c>
      <c r="V243" s="42">
        <v>1.46</v>
      </c>
      <c r="W243" s="9">
        <v>7.0000000000000007E-2</v>
      </c>
      <c r="X243" s="9">
        <v>75118.4410077637</v>
      </c>
      <c r="Y243" s="9">
        <v>1699.8790179854211</v>
      </c>
      <c r="Z243" s="1">
        <v>61980.732393411694</v>
      </c>
      <c r="AA243" s="1">
        <v>2076.8101470333104</v>
      </c>
      <c r="AB243" s="1">
        <v>35396.208478812456</v>
      </c>
      <c r="AC243" s="1">
        <v>52491.315910175224</v>
      </c>
      <c r="AD243" s="1">
        <v>7187.6339916941361</v>
      </c>
      <c r="AE243" s="1">
        <v>2611.5486942796888</v>
      </c>
      <c r="AF243" s="1">
        <v>18.276106916595506</v>
      </c>
      <c r="AG243" s="1"/>
      <c r="AH243" s="1"/>
      <c r="AI243" s="1"/>
      <c r="AJ243" s="1"/>
      <c r="AK243" s="1"/>
      <c r="AL243" s="1"/>
      <c r="AM243" s="1"/>
      <c r="AN243" s="1"/>
      <c r="AO243" s="1"/>
      <c r="AP243" s="1"/>
      <c r="AQ243" s="1"/>
    </row>
    <row r="244" spans="1:43" x14ac:dyDescent="0.3">
      <c r="A244" s="9">
        <f t="shared" si="22"/>
        <v>2020</v>
      </c>
      <c r="B244" s="9">
        <f t="shared" si="23"/>
        <v>8</v>
      </c>
      <c r="C244" s="10">
        <v>44069</v>
      </c>
      <c r="D244" s="9">
        <v>0.49299999999999999</v>
      </c>
      <c r="E244" s="9">
        <v>0.16200000000000001</v>
      </c>
      <c r="F244" s="9">
        <v>22.17690693248402</v>
      </c>
      <c r="G244" s="9">
        <v>10937.310463518173</v>
      </c>
      <c r="H244" s="9">
        <v>55978.230460617626</v>
      </c>
      <c r="I244" s="9">
        <v>1650.0474458756669</v>
      </c>
      <c r="J244" s="20">
        <v>71.099999999999994</v>
      </c>
      <c r="K244" s="9">
        <v>71.97</v>
      </c>
      <c r="L244" s="31">
        <f>Table1[[#This Row],[TN550 I (O2)]]/(Table1[[#This Row],[Flowmeter A]]+Table1[[#This Row],[Flowmeter B]])</f>
        <v>2.1214812744192801E-2</v>
      </c>
      <c r="M244" s="33">
        <f>Table1[[#This Row],[TN120 Venting2]]/100</f>
        <v>2.6600000000000002E-2</v>
      </c>
      <c r="N244" s="31">
        <f>Table1[[#This Row],[TN550 I Venting2]]/100</f>
        <v>3.7000000000000002E-3</v>
      </c>
      <c r="O244" s="31">
        <f>(Table1[[#This Row],[TN550 I (O2)]]-Table1[[#This Row],[O2]])/Table1[[#This Row],[TN550 I (O2)]]</f>
        <v>0.14744465169112433</v>
      </c>
      <c r="P244" s="9">
        <f>Table1[[#This Row],[M-N2]]+Table1[[#This Row],[TEN-N2]]</f>
        <v>63897.964534126826</v>
      </c>
      <c r="Q244" s="9">
        <v>1406.7567749446998</v>
      </c>
      <c r="R244" s="9">
        <f>SUM(Table1[[#This Row],[TEN-CDA]:[TEN-CDA WWT]])</f>
        <v>97453.926436620299</v>
      </c>
      <c r="S244" s="9">
        <v>426.84839292866417</v>
      </c>
      <c r="T244" s="9">
        <v>215.71588945885151</v>
      </c>
      <c r="U244" s="9">
        <v>37.085599961502531</v>
      </c>
      <c r="V244" s="42">
        <v>2.66</v>
      </c>
      <c r="W244" s="9">
        <v>0.37</v>
      </c>
      <c r="X244" s="9">
        <v>76077.661433032612</v>
      </c>
      <c r="Y244" s="9">
        <v>1700.4205972855491</v>
      </c>
      <c r="Z244" s="1">
        <v>61821.251154797013</v>
      </c>
      <c r="AA244" s="1">
        <v>2076.7133793298112</v>
      </c>
      <c r="AB244" s="1">
        <v>35234.271743255551</v>
      </c>
      <c r="AC244" s="1">
        <v>52617.087474518565</v>
      </c>
      <c r="AD244" s="1">
        <v>7020.2060821342602</v>
      </c>
      <c r="AE244" s="1">
        <v>2564.0869350711309</v>
      </c>
      <c r="AF244" s="1">
        <v>18.274201640780397</v>
      </c>
      <c r="AG244" s="1"/>
      <c r="AH244" s="1"/>
      <c r="AI244" s="1"/>
      <c r="AJ244" s="1"/>
      <c r="AK244" s="1"/>
      <c r="AL244" s="1"/>
      <c r="AM244" s="1"/>
      <c r="AN244" s="1"/>
      <c r="AO244" s="1"/>
      <c r="AP244" s="1"/>
      <c r="AQ244" s="1"/>
    </row>
    <row r="245" spans="1:43" x14ac:dyDescent="0.3">
      <c r="A245" s="9">
        <f t="shared" si="22"/>
        <v>2020</v>
      </c>
      <c r="B245" s="9">
        <f t="shared" si="23"/>
        <v>8</v>
      </c>
      <c r="C245" s="10">
        <v>44070</v>
      </c>
      <c r="D245" s="9">
        <v>0.214</v>
      </c>
      <c r="E245" s="9">
        <v>0.16400000000000001</v>
      </c>
      <c r="F245" s="9">
        <v>23.75958075336904</v>
      </c>
      <c r="G245" s="9">
        <v>12534.522303033917</v>
      </c>
      <c r="H245" s="9">
        <v>57132.237364059227</v>
      </c>
      <c r="I245" s="9">
        <v>1732.6882536626213</v>
      </c>
      <c r="J245" s="20">
        <v>72.02</v>
      </c>
      <c r="K245" s="9">
        <v>71.91</v>
      </c>
      <c r="L245" s="31">
        <f>Table1[[#This Row],[TN550 I (O2)]]/(Table1[[#This Row],[Flowmeter A]]+Table1[[#This Row],[Flowmeter B]])</f>
        <v>2.1807133791141957E-2</v>
      </c>
      <c r="M245" s="33">
        <f>Table1[[#This Row],[TN120 Venting2]]/100</f>
        <v>0</v>
      </c>
      <c r="N245" s="31">
        <f>Table1[[#This Row],[TN550 I Venting2]]/100</f>
        <v>0</v>
      </c>
      <c r="O245" s="31">
        <f>(Table1[[#This Row],[TN550 I (O2)]]-Table1[[#This Row],[O2]])/Table1[[#This Row],[TN550 I (O2)]]</f>
        <v>0.18783006806319399</v>
      </c>
      <c r="P245" s="9">
        <f>Table1[[#This Row],[M-N2]]+Table1[[#This Row],[TEN-N2]]</f>
        <v>63826.969207107148</v>
      </c>
      <c r="Q245" s="9">
        <v>1407.2373010448744</v>
      </c>
      <c r="R245" s="9">
        <f>SUM(Table1[[#This Row],[TEN-CDA]:[TEN-CDA WWT]])</f>
        <v>97763.414857911892</v>
      </c>
      <c r="S245" s="9">
        <v>423.83776309074909</v>
      </c>
      <c r="T245" s="9">
        <v>212.00347000323265</v>
      </c>
      <c r="U245" s="9">
        <v>37.019040918449491</v>
      </c>
      <c r="V245" s="42">
        <v>0</v>
      </c>
      <c r="W245" s="9">
        <v>0</v>
      </c>
      <c r="X245" s="9">
        <v>77619.560572807473</v>
      </c>
      <c r="Y245" s="9">
        <v>1835.5512386511291</v>
      </c>
      <c r="Z245" s="1">
        <v>61775.774039295626</v>
      </c>
      <c r="AA245" s="1">
        <v>2051.1951678115238</v>
      </c>
      <c r="AB245" s="1">
        <v>35472.583313454197</v>
      </c>
      <c r="AC245" s="1">
        <v>52643.57310461485</v>
      </c>
      <c r="AD245" s="1">
        <v>7140.5999258598631</v>
      </c>
      <c r="AE245" s="1">
        <v>2490.4836008997117</v>
      </c>
      <c r="AF245" s="1">
        <v>16.17491308327229</v>
      </c>
      <c r="AG245" s="1"/>
      <c r="AH245" s="1"/>
      <c r="AI245" s="1"/>
      <c r="AJ245" s="1"/>
      <c r="AK245" s="1"/>
      <c r="AL245" s="1"/>
      <c r="AM245" s="1"/>
      <c r="AN245" s="1"/>
      <c r="AO245" s="1"/>
      <c r="AP245" s="1"/>
      <c r="AQ245" s="1"/>
    </row>
    <row r="246" spans="1:43" x14ac:dyDescent="0.3">
      <c r="A246" s="9">
        <f t="shared" si="22"/>
        <v>2020</v>
      </c>
      <c r="B246" s="9">
        <f t="shared" si="23"/>
        <v>8</v>
      </c>
      <c r="C246" s="10">
        <v>44071</v>
      </c>
      <c r="D246" s="9">
        <v>0.215</v>
      </c>
      <c r="E246" s="9">
        <v>0.16700000000000001</v>
      </c>
      <c r="F246" s="9">
        <v>25.39144358214697</v>
      </c>
      <c r="G246" s="9">
        <v>12595.61484402108</v>
      </c>
      <c r="H246" s="9">
        <v>57192.297745163945</v>
      </c>
      <c r="I246" s="9">
        <v>1750.2185039957062</v>
      </c>
      <c r="J246" s="20">
        <v>72.45</v>
      </c>
      <c r="K246" s="9">
        <v>71.959999999999994</v>
      </c>
      <c r="L246" s="31">
        <f>Table1[[#This Row],[TN550 I (O2)]]/(Table1[[#This Row],[Flowmeter A]]+Table1[[#This Row],[Flowmeter B]])</f>
        <v>2.2022486362289952E-2</v>
      </c>
      <c r="M246" s="33">
        <f>Table1[[#This Row],[TN120 Venting2]]/100</f>
        <v>0</v>
      </c>
      <c r="N246" s="31">
        <f>Table1[[#This Row],[TN550 I Venting2]]/100</f>
        <v>0</v>
      </c>
      <c r="O246" s="31">
        <f>(Table1[[#This Row],[TN550 I (O2)]]-Table1[[#This Row],[O2]])/Table1[[#This Row],[TN550 I (O2)]]</f>
        <v>0.1968823289152456</v>
      </c>
      <c r="P246" s="9">
        <f>Table1[[#This Row],[M-N2]]+Table1[[#This Row],[TEN-N2]]</f>
        <v>63544.664823385181</v>
      </c>
      <c r="Q246" s="9">
        <v>1405.6314088184745</v>
      </c>
      <c r="R246" s="9">
        <f>SUM(Table1[[#This Row],[TEN-CDA]:[TEN-CDA WWT]])</f>
        <v>97485.312476245046</v>
      </c>
      <c r="S246" s="9">
        <v>430.69239259676169</v>
      </c>
      <c r="T246" s="9">
        <v>221.13991401031728</v>
      </c>
      <c r="U246" s="9">
        <v>37.392538867503056</v>
      </c>
      <c r="V246" s="42">
        <v>0</v>
      </c>
      <c r="W246" s="9">
        <v>0</v>
      </c>
      <c r="X246" s="9">
        <v>77574.023979658217</v>
      </c>
      <c r="Y246" s="9">
        <v>1900.1314450753057</v>
      </c>
      <c r="Z246" s="1">
        <v>61523.290260669673</v>
      </c>
      <c r="AA246" s="1">
        <v>2021.3745627155081</v>
      </c>
      <c r="AB246" s="1">
        <v>35210.531773182687</v>
      </c>
      <c r="AC246" s="1">
        <v>52608.832356544925</v>
      </c>
      <c r="AD246" s="1">
        <v>7138.1605391492449</v>
      </c>
      <c r="AE246" s="1">
        <v>2510.5304098241786</v>
      </c>
      <c r="AF246" s="1">
        <v>17.25739754400346</v>
      </c>
      <c r="AG246" s="1"/>
      <c r="AH246" s="1"/>
      <c r="AI246" s="1"/>
      <c r="AJ246" s="1"/>
      <c r="AK246" s="1"/>
      <c r="AL246" s="1"/>
      <c r="AM246" s="1"/>
      <c r="AN246" s="1"/>
      <c r="AO246" s="1"/>
      <c r="AP246" s="1"/>
      <c r="AQ246" s="1"/>
    </row>
    <row r="247" spans="1:43" x14ac:dyDescent="0.3">
      <c r="A247" s="9">
        <f t="shared" si="22"/>
        <v>2020</v>
      </c>
      <c r="B247" s="9">
        <f t="shared" si="23"/>
        <v>8</v>
      </c>
      <c r="C247" s="10">
        <v>44072</v>
      </c>
      <c r="D247" s="9">
        <v>0.21199999999999999</v>
      </c>
      <c r="E247" s="9">
        <v>0.17299999999999999</v>
      </c>
      <c r="F247" s="9">
        <v>25.352432432313663</v>
      </c>
      <c r="G247" s="9">
        <v>12588.753571467298</v>
      </c>
      <c r="H247" s="9">
        <v>57078.865504098714</v>
      </c>
      <c r="I247" s="9">
        <v>1707.6324489998535</v>
      </c>
      <c r="J247" s="20">
        <v>72.459999999999994</v>
      </c>
      <c r="K247" s="9">
        <v>72.150000000000006</v>
      </c>
      <c r="L247" s="31">
        <f>Table1[[#This Row],[TN550 I (O2)]]/(Table1[[#This Row],[Flowmeter A]]+Table1[[#This Row],[Flowmeter B]])</f>
        <v>2.1584644816968503E-2</v>
      </c>
      <c r="M247" s="33">
        <f>Table1[[#This Row],[TN120 Venting2]]/100</f>
        <v>0</v>
      </c>
      <c r="N247" s="31">
        <f>Table1[[#This Row],[TN550 I Venting2]]/100</f>
        <v>0</v>
      </c>
      <c r="O247" s="31">
        <f>(Table1[[#This Row],[TN550 I (O2)]]-Table1[[#This Row],[O2]])/Table1[[#This Row],[TN550 I (O2)]]</f>
        <v>0.17445314445493415</v>
      </c>
      <c r="P247" s="9">
        <f>Table1[[#This Row],[M-N2]]+Table1[[#This Row],[TEN-N2]]</f>
        <v>63490.399526136775</v>
      </c>
      <c r="Q247" s="9">
        <v>1409.7305986985491</v>
      </c>
      <c r="R247" s="9">
        <f>SUM(Table1[[#This Row],[TEN-CDA]:[TEN-CDA WWT]])</f>
        <v>97271.554714819169</v>
      </c>
      <c r="S247" s="9">
        <v>431.2480617631731</v>
      </c>
      <c r="T247" s="9">
        <v>219.25682379188513</v>
      </c>
      <c r="U247" s="9">
        <v>38.434688055871014</v>
      </c>
      <c r="V247" s="42">
        <v>0</v>
      </c>
      <c r="W247" s="9">
        <v>0</v>
      </c>
      <c r="X247" s="9">
        <v>77255.135994968761</v>
      </c>
      <c r="Y247" s="9">
        <v>1858.1625318348531</v>
      </c>
      <c r="Z247" s="1">
        <v>61460.002962894694</v>
      </c>
      <c r="AA247" s="1">
        <v>2030.3965632420793</v>
      </c>
      <c r="AB247" s="1">
        <v>35007.600090540422</v>
      </c>
      <c r="AC247" s="1">
        <v>52560.757416724497</v>
      </c>
      <c r="AD247" s="1">
        <v>7150.036430999523</v>
      </c>
      <c r="AE247" s="1">
        <v>2536.1311692523095</v>
      </c>
      <c r="AF247" s="1">
        <v>17.029607302421997</v>
      </c>
      <c r="AG247" s="1"/>
      <c r="AH247" s="1"/>
      <c r="AI247" s="1"/>
      <c r="AJ247" s="1"/>
      <c r="AK247" s="1"/>
      <c r="AL247" s="1"/>
      <c r="AM247" s="1"/>
      <c r="AN247" s="1"/>
      <c r="AO247" s="1"/>
      <c r="AP247" s="1"/>
      <c r="AQ247" s="1"/>
    </row>
    <row r="248" spans="1:43" x14ac:dyDescent="0.3">
      <c r="A248" s="9">
        <f t="shared" si="22"/>
        <v>2020</v>
      </c>
      <c r="B248" s="9">
        <f t="shared" si="23"/>
        <v>8</v>
      </c>
      <c r="C248" s="10">
        <v>44073</v>
      </c>
      <c r="D248" s="9">
        <v>0.21299999999999999</v>
      </c>
      <c r="E248" s="9">
        <v>0.17799999999999999</v>
      </c>
      <c r="F248" s="9">
        <v>21.825194867760832</v>
      </c>
      <c r="G248" s="9">
        <v>12628.489169711787</v>
      </c>
      <c r="H248" s="9">
        <v>57195.429695632374</v>
      </c>
      <c r="I248" s="9">
        <v>1699.9985047445621</v>
      </c>
      <c r="J248" s="20">
        <v>72.569999999999993</v>
      </c>
      <c r="K248" s="9">
        <v>72.25</v>
      </c>
      <c r="L248" s="31">
        <f>Table1[[#This Row],[TN550 I (O2)]]/(Table1[[#This Row],[Flowmeter A]]+Table1[[#This Row],[Flowmeter B]])</f>
        <v>2.1473553104535418E-2</v>
      </c>
      <c r="M248" s="33">
        <f>Table1[[#This Row],[TN120 Venting2]]/100</f>
        <v>0</v>
      </c>
      <c r="N248" s="31">
        <f>Table1[[#This Row],[TN550 I Venting2]]/100</f>
        <v>0</v>
      </c>
      <c r="O248" s="31">
        <f>(Table1[[#This Row],[TN550 I (O2)]]-Table1[[#This Row],[O2]])/Table1[[#This Row],[TN550 I (O2)]]</f>
        <v>0.17181193955652091</v>
      </c>
      <c r="P248" s="9">
        <f>Table1[[#This Row],[M-N2]]+Table1[[#This Row],[TEN-N2]]</f>
        <v>64311.000179589908</v>
      </c>
      <c r="Q248" s="9">
        <v>1407.9184644012134</v>
      </c>
      <c r="R248" s="9">
        <f>SUM(Table1[[#This Row],[TEN-CDA]:[TEN-CDA WWT]])</f>
        <v>98028.875081510516</v>
      </c>
      <c r="S248" s="9">
        <v>424.46725921313191</v>
      </c>
      <c r="T248" s="9">
        <v>214.17509835300805</v>
      </c>
      <c r="U248" s="9">
        <v>36.581884464896611</v>
      </c>
      <c r="V248" s="42">
        <v>0</v>
      </c>
      <c r="W248" s="9">
        <v>0</v>
      </c>
      <c r="X248" s="9">
        <v>77317.742941099932</v>
      </c>
      <c r="Y248" s="9">
        <v>1849.337442327919</v>
      </c>
      <c r="Z248" s="1">
        <v>62236.61695166117</v>
      </c>
      <c r="AA248" s="1">
        <v>2074.3832279287385</v>
      </c>
      <c r="AB248" s="1">
        <v>35600.107897618844</v>
      </c>
      <c r="AC248" s="1">
        <v>52796.930050746007</v>
      </c>
      <c r="AD248" s="1">
        <v>7048.9236546343682</v>
      </c>
      <c r="AE248" s="1">
        <v>2563.1685686819592</v>
      </c>
      <c r="AF248" s="1">
        <v>19.744909829331469</v>
      </c>
      <c r="AG248" s="1"/>
      <c r="AH248" s="1"/>
      <c r="AI248" s="1"/>
      <c r="AJ248" s="1"/>
      <c r="AK248" s="1"/>
      <c r="AL248" s="1"/>
      <c r="AM248" s="1"/>
      <c r="AN248" s="1"/>
      <c r="AO248" s="1"/>
      <c r="AP248" s="1"/>
      <c r="AQ248" s="1"/>
    </row>
    <row r="249" spans="1:43" x14ac:dyDescent="0.3">
      <c r="A249" s="9">
        <f t="shared" si="22"/>
        <v>2020</v>
      </c>
      <c r="B249" s="9">
        <f t="shared" si="23"/>
        <v>8</v>
      </c>
      <c r="C249" s="10">
        <v>44074</v>
      </c>
      <c r="D249" s="9">
        <v>0.21199999999999999</v>
      </c>
      <c r="E249" s="9">
        <v>0.16800000000000001</v>
      </c>
      <c r="F249" s="9">
        <v>20.989928528139114</v>
      </c>
      <c r="G249" s="9">
        <v>12636.597025313367</v>
      </c>
      <c r="H249" s="9">
        <v>57192.970471352361</v>
      </c>
      <c r="I249" s="9">
        <v>1708.1149246671148</v>
      </c>
      <c r="J249" s="20">
        <v>72.650000000000006</v>
      </c>
      <c r="K249" s="9">
        <v>72.27</v>
      </c>
      <c r="L249" s="31">
        <f>Table1[[#This Row],[TN550 I (O2)]]/(Table1[[#This Row],[Flowmeter A]]+Table1[[#This Row],[Flowmeter B]])</f>
        <v>2.1582695915656435E-2</v>
      </c>
      <c r="M249" s="33">
        <f>Table1[[#This Row],[TN120 Venting2]]/100</f>
        <v>0</v>
      </c>
      <c r="N249" s="31">
        <f>Table1[[#This Row],[TN550 I Venting2]]/100</f>
        <v>0</v>
      </c>
      <c r="O249" s="31">
        <f>(Table1[[#This Row],[TN550 I (O2)]]-Table1[[#This Row],[O2]])/Table1[[#This Row],[TN550 I (O2)]]</f>
        <v>0.17738225162191795</v>
      </c>
      <c r="P249" s="9">
        <f>Table1[[#This Row],[M-N2]]+Table1[[#This Row],[TEN-N2]]</f>
        <v>64131.978334001993</v>
      </c>
      <c r="Q249" s="9">
        <v>1405.1256533006592</v>
      </c>
      <c r="R249" s="9">
        <f>SUM(Table1[[#This Row],[TEN-CDA]:[TEN-CDA WWT]])</f>
        <v>97558.95588827251</v>
      </c>
      <c r="S249" s="9">
        <v>424.24450141435528</v>
      </c>
      <c r="T249" s="9">
        <v>210.06271126169369</v>
      </c>
      <c r="U249" s="9">
        <v>37.647811961124376</v>
      </c>
      <c r="V249" s="42">
        <v>0</v>
      </c>
      <c r="W249" s="9">
        <v>0</v>
      </c>
      <c r="X249" s="9">
        <v>77289.179107390708</v>
      </c>
      <c r="Y249" s="9">
        <v>1853.6180363164683</v>
      </c>
      <c r="Z249" s="1">
        <v>62066.548395753816</v>
      </c>
      <c r="AA249" s="1">
        <v>2065.4299382481781</v>
      </c>
      <c r="AB249" s="1">
        <v>35263.909107173837</v>
      </c>
      <c r="AC249" s="1">
        <v>52700.977237486986</v>
      </c>
      <c r="AD249" s="1">
        <v>7009.5175930343512</v>
      </c>
      <c r="AE249" s="1">
        <v>2557.1704387889813</v>
      </c>
      <c r="AF249" s="1">
        <v>27.381511788352508</v>
      </c>
      <c r="AG249" s="1"/>
      <c r="AH249" s="1"/>
      <c r="AI249" s="1"/>
      <c r="AJ249" s="1"/>
      <c r="AK249" s="1"/>
      <c r="AL249" s="1"/>
      <c r="AM249" s="1"/>
      <c r="AN249" s="1"/>
      <c r="AO249" s="1"/>
      <c r="AP249" s="1"/>
      <c r="AQ249" s="1"/>
    </row>
    <row r="250" spans="1:43" x14ac:dyDescent="0.3">
      <c r="A250" s="9">
        <f t="shared" si="22"/>
        <v>2020</v>
      </c>
      <c r="B250" s="9">
        <f t="shared" si="23"/>
        <v>9</v>
      </c>
      <c r="C250" s="10">
        <v>44075</v>
      </c>
      <c r="D250" s="9">
        <v>0.219</v>
      </c>
      <c r="E250" s="9">
        <v>0.16500000000000001</v>
      </c>
      <c r="F250" s="9">
        <v>21.247590993527815</v>
      </c>
      <c r="G250" s="9">
        <v>12640.273592015094</v>
      </c>
      <c r="H250" s="9">
        <v>57070.576409069225</v>
      </c>
      <c r="I250" s="9">
        <v>1699.9390709881648</v>
      </c>
      <c r="J250" s="20">
        <v>72.66</v>
      </c>
      <c r="K250" s="9">
        <v>72.11</v>
      </c>
      <c r="L250" s="31">
        <f>Table1[[#This Row],[TN550 I (O2)]]/(Table1[[#This Row],[Flowmeter A]]+Table1[[#This Row],[Flowmeter B]])</f>
        <v>2.1478888210083806E-2</v>
      </c>
      <c r="M250" s="33">
        <f>Table1[[#This Row],[TN120 Venting2]]/100</f>
        <v>0</v>
      </c>
      <c r="N250" s="31">
        <f>Table1[[#This Row],[TN550 I Venting2]]/100</f>
        <v>0</v>
      </c>
      <c r="O250" s="31">
        <f>(Table1[[#This Row],[TN550 I (O2)]]-Table1[[#This Row],[O2]])/Table1[[#This Row],[TN550 I (O2)]]</f>
        <v>0.17563389738221449</v>
      </c>
      <c r="P250" s="9">
        <f>Table1[[#This Row],[M-N2]]+Table1[[#This Row],[TEN-N2]]</f>
        <v>64204.598090738989</v>
      </c>
      <c r="Q250" s="9">
        <v>1401.3721466382124</v>
      </c>
      <c r="R250" s="9">
        <f>SUM(Table1[[#This Row],[TEN-CDA]:[TEN-CDA WWT]])</f>
        <v>97077.897000850964</v>
      </c>
      <c r="S250" s="9">
        <v>422.42849869102673</v>
      </c>
      <c r="T250" s="9">
        <v>206.97583360427129</v>
      </c>
      <c r="U250" s="9">
        <v>36.411657697371851</v>
      </c>
      <c r="V250" s="42">
        <v>0</v>
      </c>
      <c r="W250" s="9">
        <v>0</v>
      </c>
      <c r="X250" s="9">
        <v>77294.304129077034</v>
      </c>
      <c r="Y250" s="9">
        <v>1850.344996201504</v>
      </c>
      <c r="Z250" s="1">
        <v>62132.413788710095</v>
      </c>
      <c r="AA250" s="1">
        <v>2072.1843020288916</v>
      </c>
      <c r="AB250" s="1">
        <v>34728.654051548401</v>
      </c>
      <c r="AC250" s="1">
        <v>52694.059613007463</v>
      </c>
      <c r="AD250" s="1">
        <v>7128.2508230639532</v>
      </c>
      <c r="AE250" s="1">
        <v>2503.6991179424554</v>
      </c>
      <c r="AF250" s="1">
        <v>23.233395288701608</v>
      </c>
      <c r="AG250" s="1"/>
      <c r="AH250" s="1"/>
      <c r="AI250" s="1"/>
      <c r="AJ250" s="1"/>
      <c r="AK250" s="1"/>
      <c r="AL250" s="1"/>
      <c r="AM250" s="1"/>
      <c r="AN250" s="1"/>
      <c r="AO250" s="1"/>
      <c r="AP250" s="1"/>
      <c r="AQ250" s="1"/>
    </row>
    <row r="251" spans="1:43" x14ac:dyDescent="0.3">
      <c r="A251" s="9">
        <f t="shared" si="22"/>
        <v>2020</v>
      </c>
      <c r="B251" s="9">
        <f t="shared" si="23"/>
        <v>9</v>
      </c>
      <c r="C251" s="10">
        <v>44076</v>
      </c>
      <c r="D251" s="9">
        <v>0.218</v>
      </c>
      <c r="E251" s="9">
        <v>0.16</v>
      </c>
      <c r="F251" s="9">
        <v>20.936373863511413</v>
      </c>
      <c r="G251" s="9">
        <v>12642.642014280447</v>
      </c>
      <c r="H251" s="9">
        <v>57092.453122289211</v>
      </c>
      <c r="I251" s="9">
        <v>1700.0972693692802</v>
      </c>
      <c r="J251" s="20">
        <v>72.7</v>
      </c>
      <c r="K251" s="9">
        <v>72.23</v>
      </c>
      <c r="L251" s="31">
        <f>Table1[[#This Row],[TN550 I (O2)]]/(Table1[[#This Row],[Flowmeter A]]+Table1[[#This Row],[Flowmeter B]])</f>
        <v>2.1509209404334987E-2</v>
      </c>
      <c r="M251" s="33">
        <f>Table1[[#This Row],[TN120 Venting2]]/100</f>
        <v>0</v>
      </c>
      <c r="N251" s="31">
        <f>Table1[[#This Row],[TN550 I Venting2]]/100</f>
        <v>0</v>
      </c>
      <c r="O251" s="31">
        <f>(Table1[[#This Row],[TN550 I (O2)]]-Table1[[#This Row],[O2]])/Table1[[#This Row],[TN550 I (O2)]]</f>
        <v>0.17374616153590822</v>
      </c>
      <c r="P251" s="9">
        <f>Table1[[#This Row],[M-N2]]+Table1[[#This Row],[TEN-N2]]</f>
        <v>64041.492254761506</v>
      </c>
      <c r="Q251" s="9">
        <v>1404.7118945786888</v>
      </c>
      <c r="R251" s="9">
        <f>SUM(Table1[[#This Row],[TEN-CDA]:[TEN-CDA WWT]])</f>
        <v>97207.178568242685</v>
      </c>
      <c r="S251" s="9">
        <v>430.85870327443234</v>
      </c>
      <c r="T251" s="9">
        <v>219.18366395525433</v>
      </c>
      <c r="U251" s="9">
        <v>36.540725652415418</v>
      </c>
      <c r="V251" s="42">
        <v>0</v>
      </c>
      <c r="W251" s="9">
        <v>0</v>
      </c>
      <c r="X251" s="9">
        <v>77190.107379857742</v>
      </c>
      <c r="Y251" s="9">
        <v>1850.3276919511193</v>
      </c>
      <c r="Z251" s="1">
        <v>61984.025166984735</v>
      </c>
      <c r="AA251" s="1">
        <v>2057.4670877767717</v>
      </c>
      <c r="AB251" s="1">
        <v>34886.969598477619</v>
      </c>
      <c r="AC251" s="1">
        <v>52663.202601817313</v>
      </c>
      <c r="AD251" s="1">
        <v>7137.9134383403452</v>
      </c>
      <c r="AE251" s="1">
        <v>2499.3385256278193</v>
      </c>
      <c r="AF251" s="1">
        <v>19.754403979595718</v>
      </c>
      <c r="AG251" s="1"/>
      <c r="AH251" s="1"/>
      <c r="AI251" s="1"/>
      <c r="AJ251" s="1"/>
      <c r="AK251" s="1"/>
      <c r="AL251" s="1"/>
      <c r="AM251" s="1"/>
      <c r="AN251" s="1"/>
      <c r="AO251" s="1"/>
      <c r="AP251" s="1"/>
      <c r="AQ251" s="1"/>
    </row>
    <row r="252" spans="1:43" x14ac:dyDescent="0.3">
      <c r="A252" s="9">
        <f t="shared" si="22"/>
        <v>2020</v>
      </c>
      <c r="B252" s="9">
        <f t="shared" si="23"/>
        <v>9</v>
      </c>
      <c r="C252" s="10">
        <v>44077</v>
      </c>
      <c r="D252" s="9">
        <v>0.21299999999999999</v>
      </c>
      <c r="E252" s="9">
        <v>0.159</v>
      </c>
      <c r="F252" s="9">
        <v>20.304215061259221</v>
      </c>
      <c r="G252" s="9">
        <v>12647.906453309331</v>
      </c>
      <c r="H252" s="9">
        <v>57094.248387079286</v>
      </c>
      <c r="I252" s="9">
        <v>1699.9538453927394</v>
      </c>
      <c r="J252" s="20">
        <v>72.73</v>
      </c>
      <c r="K252" s="9">
        <v>72.11</v>
      </c>
      <c r="L252" s="31">
        <f>Table1[[#This Row],[TN550 I (O2)]]/(Table1[[#This Row],[Flowmeter A]]+Table1[[#This Row],[Flowmeter B]])</f>
        <v>2.1470119220503237E-2</v>
      </c>
      <c r="M252" s="33">
        <f>Table1[[#This Row],[TN120 Venting2]]/100</f>
        <v>0</v>
      </c>
      <c r="N252" s="31">
        <f>Table1[[#This Row],[TN550 I Venting2]]/100</f>
        <v>0</v>
      </c>
      <c r="O252" s="31">
        <f>(Table1[[#This Row],[TN550 I (O2)]]-Table1[[#This Row],[O2]])/Table1[[#This Row],[TN550 I (O2)]]</f>
        <v>0.17324183310792987</v>
      </c>
      <c r="P252" s="9">
        <f>Table1[[#This Row],[M-N2]]+Table1[[#This Row],[TEN-N2]]</f>
        <v>63945.80071669929</v>
      </c>
      <c r="Q252" s="9">
        <v>1405.4507250180268</v>
      </c>
      <c r="R252" s="9">
        <f>SUM(Table1[[#This Row],[TEN-CDA]:[TEN-CDA WWT]])</f>
        <v>96370.739964329885</v>
      </c>
      <c r="S252" s="9">
        <v>428.56305274725128</v>
      </c>
      <c r="T252" s="9">
        <v>213.80168485409845</v>
      </c>
      <c r="U252" s="9">
        <v>36.320476023709091</v>
      </c>
      <c r="V252" s="42">
        <v>0</v>
      </c>
      <c r="W252" s="9">
        <v>0</v>
      </c>
      <c r="X252" s="9">
        <v>77327.484136450381</v>
      </c>
      <c r="Y252" s="9">
        <v>1850.1779870715595</v>
      </c>
      <c r="Z252" s="1">
        <v>61857.414162799272</v>
      </c>
      <c r="AA252" s="1">
        <v>2088.3865539000153</v>
      </c>
      <c r="AB252" s="1">
        <v>33957.624365674877</v>
      </c>
      <c r="AC252" s="1">
        <v>52643.870874175918</v>
      </c>
      <c r="AD252" s="1">
        <v>7238.9594997641616</v>
      </c>
      <c r="AE252" s="1">
        <v>2512.4177583248397</v>
      </c>
      <c r="AF252" s="1">
        <v>17.867466390081201</v>
      </c>
      <c r="AG252" s="1"/>
      <c r="AH252" s="1"/>
      <c r="AI252" s="1"/>
      <c r="AJ252" s="1"/>
      <c r="AK252" s="1"/>
      <c r="AL252" s="1"/>
      <c r="AM252" s="1"/>
      <c r="AN252" s="1"/>
      <c r="AO252" s="1"/>
      <c r="AP252" s="1"/>
      <c r="AQ252" s="1"/>
    </row>
    <row r="253" spans="1:43" x14ac:dyDescent="0.3">
      <c r="A253" s="9">
        <f t="shared" si="22"/>
        <v>2020</v>
      </c>
      <c r="B253" s="9">
        <f t="shared" si="23"/>
        <v>9</v>
      </c>
      <c r="C253" s="10">
        <v>44078</v>
      </c>
      <c r="D253" s="9">
        <v>0.20799999999999999</v>
      </c>
      <c r="E253" s="9">
        <v>0.157</v>
      </c>
      <c r="F253" s="9">
        <v>20.474760721327115</v>
      </c>
      <c r="G253" s="9">
        <v>12648.875167391352</v>
      </c>
      <c r="H253" s="9">
        <v>57082.058759108259</v>
      </c>
      <c r="I253" s="9">
        <v>1794.1039290206454</v>
      </c>
      <c r="J253" s="20">
        <v>72.75</v>
      </c>
      <c r="K253" s="9">
        <v>71.78</v>
      </c>
      <c r="L253" s="31">
        <f>Table1[[#This Row],[TN550 I (O2)]]/(Table1[[#This Row],[Flowmeter A]]+Table1[[#This Row],[Flowmeter B]])</f>
        <v>2.255999997424632E-2</v>
      </c>
      <c r="M253" s="33">
        <f>Table1[[#This Row],[TN120 Venting2]]/100</f>
        <v>0</v>
      </c>
      <c r="N253" s="31">
        <f>Table1[[#This Row],[TN550 I Venting2]]/100</f>
        <v>0</v>
      </c>
      <c r="O253" s="31">
        <f>(Table1[[#This Row],[TN550 I (O2)]]-Table1[[#This Row],[O2]])/Table1[[#This Row],[TN550 I (O2)]]</f>
        <v>0.21593712933089318</v>
      </c>
      <c r="P253" s="9">
        <f>Table1[[#This Row],[M-N2]]+Table1[[#This Row],[TEN-N2]]</f>
        <v>64083.810871322807</v>
      </c>
      <c r="Q253" s="9">
        <v>1406.6902768666507</v>
      </c>
      <c r="R253" s="9">
        <f>SUM(Table1[[#This Row],[TEN-CDA]:[TEN-CDA WWT]])</f>
        <v>96738.296697972488</v>
      </c>
      <c r="S253" s="9">
        <v>427.60917995010794</v>
      </c>
      <c r="T253" s="9">
        <v>217.24169020748735</v>
      </c>
      <c r="U253" s="9">
        <v>36.951475999820239</v>
      </c>
      <c r="V253" s="42">
        <v>0</v>
      </c>
      <c r="W253" s="9">
        <v>0</v>
      </c>
      <c r="X253" s="9">
        <v>77675.632254077034</v>
      </c>
      <c r="Y253" s="9">
        <v>1850.2512152815427</v>
      </c>
      <c r="Z253" s="1">
        <v>62018.08616249566</v>
      </c>
      <c r="AA253" s="1">
        <v>2065.7247088271492</v>
      </c>
      <c r="AB253" s="1">
        <v>34442.254920085878</v>
      </c>
      <c r="AC253" s="1">
        <v>52427.119684138619</v>
      </c>
      <c r="AD253" s="1">
        <v>7290.9627571185374</v>
      </c>
      <c r="AE253" s="1">
        <v>2560.1269468562955</v>
      </c>
      <c r="AF253" s="1">
        <v>17.832389773158543</v>
      </c>
      <c r="AG253" s="1"/>
      <c r="AH253" s="1"/>
      <c r="AI253" s="1"/>
      <c r="AJ253" s="1"/>
      <c r="AK253" s="1"/>
      <c r="AL253" s="1"/>
      <c r="AM253" s="1"/>
      <c r="AN253" s="1"/>
      <c r="AO253" s="1"/>
      <c r="AP253" s="1"/>
      <c r="AQ253" s="1"/>
    </row>
    <row r="254" spans="1:43" x14ac:dyDescent="0.3">
      <c r="A254" s="9">
        <f t="shared" si="22"/>
        <v>2020</v>
      </c>
      <c r="B254" s="9">
        <f t="shared" si="23"/>
        <v>9</v>
      </c>
      <c r="C254" s="10">
        <v>44079</v>
      </c>
      <c r="D254" s="9">
        <v>0.21299999999999999</v>
      </c>
      <c r="E254" s="9">
        <v>0.158</v>
      </c>
      <c r="F254" s="9">
        <v>21.809306269742788</v>
      </c>
      <c r="G254" s="9">
        <v>12645.979707373905</v>
      </c>
      <c r="H254" s="9">
        <v>57100.425561675918</v>
      </c>
      <c r="I254" s="9">
        <v>1839.422006049808</v>
      </c>
      <c r="J254" s="20">
        <v>72.709999999999994</v>
      </c>
      <c r="K254" s="9">
        <v>71.77</v>
      </c>
      <c r="L254" s="31">
        <f>Table1[[#This Row],[TN550 I (O2)]]/(Table1[[#This Row],[Flowmeter A]]+Table1[[#This Row],[Flowmeter B]])</f>
        <v>2.3120682956141048E-2</v>
      </c>
      <c r="M254" s="33">
        <f>Table1[[#This Row],[TN120 Venting2]]/100</f>
        <v>0</v>
      </c>
      <c r="N254" s="31">
        <f>Table1[[#This Row],[TN550 I Venting2]]/100</f>
        <v>0</v>
      </c>
      <c r="O254" s="31">
        <f>(Table1[[#This Row],[TN550 I (O2)]]-Table1[[#This Row],[O2]])/Table1[[#This Row],[TN550 I (O2)]]</f>
        <v>0.23716272722569268</v>
      </c>
      <c r="P254" s="9">
        <f>Table1[[#This Row],[M-N2]]+Table1[[#This Row],[TEN-N2]]</f>
        <v>64152.949734223876</v>
      </c>
      <c r="Q254" s="9">
        <v>1403.179666576081</v>
      </c>
      <c r="R254" s="9">
        <f>SUM(Table1[[#This Row],[TEN-CDA]:[TEN-CDA WWT]])</f>
        <v>97089.302734404162</v>
      </c>
      <c r="S254" s="9">
        <v>432.91316967553183</v>
      </c>
      <c r="T254" s="9">
        <v>214.23964287190699</v>
      </c>
      <c r="U254" s="9">
        <v>35.736414450725526</v>
      </c>
      <c r="V254" s="42">
        <v>0</v>
      </c>
      <c r="W254" s="9">
        <v>0</v>
      </c>
      <c r="X254" s="9">
        <v>77698.66152519951</v>
      </c>
      <c r="Y254" s="9">
        <v>1858.7637264296711</v>
      </c>
      <c r="Z254" s="1">
        <v>62076.379079740633</v>
      </c>
      <c r="AA254" s="1">
        <v>2076.5706544832419</v>
      </c>
      <c r="AB254" s="1">
        <v>34732.346149050136</v>
      </c>
      <c r="AC254" s="1">
        <v>52478.70871194049</v>
      </c>
      <c r="AD254" s="1">
        <v>7275.6224918405187</v>
      </c>
      <c r="AE254" s="1">
        <v>2584.4099034687283</v>
      </c>
      <c r="AF254" s="1">
        <v>18.215478104287804</v>
      </c>
      <c r="AG254" s="1"/>
      <c r="AH254" s="1"/>
      <c r="AI254" s="1"/>
      <c r="AJ254" s="1"/>
      <c r="AK254" s="1"/>
      <c r="AL254" s="1"/>
      <c r="AM254" s="1"/>
      <c r="AN254" s="1"/>
      <c r="AO254" s="1"/>
      <c r="AP254" s="1"/>
      <c r="AQ254" s="1"/>
    </row>
    <row r="255" spans="1:43" x14ac:dyDescent="0.3">
      <c r="A255" s="9">
        <f t="shared" si="22"/>
        <v>2020</v>
      </c>
      <c r="B255" s="9">
        <f t="shared" si="23"/>
        <v>9</v>
      </c>
      <c r="C255" s="10">
        <v>44080</v>
      </c>
      <c r="D255" s="9">
        <v>0.21299999999999999</v>
      </c>
      <c r="E255" s="9">
        <v>0.157</v>
      </c>
      <c r="F255" s="9">
        <v>22.954478609983827</v>
      </c>
      <c r="G255" s="9">
        <v>12624.980304747138</v>
      </c>
      <c r="H255" s="9">
        <v>57101.39568875781</v>
      </c>
      <c r="I255" s="9">
        <v>1923.5455712788971</v>
      </c>
      <c r="J255" s="20">
        <v>72.64</v>
      </c>
      <c r="K255" s="9">
        <v>71.66</v>
      </c>
      <c r="L255" s="31">
        <f>Table1[[#This Row],[TN550 I (O2)]]/(Table1[[#This Row],[Flowmeter A]]+Table1[[#This Row],[Flowmeter B]])</f>
        <v>2.4138684592899074E-2</v>
      </c>
      <c r="M255" s="33">
        <f>Table1[[#This Row],[TN120 Venting2]]/100</f>
        <v>0</v>
      </c>
      <c r="N255" s="31">
        <f>Table1[[#This Row],[TN550 I Venting2]]/100</f>
        <v>0</v>
      </c>
      <c r="O255" s="31">
        <f>(Table1[[#This Row],[TN550 I (O2)]]-Table1[[#This Row],[O2]])/Table1[[#This Row],[TN550 I (O2)]]</f>
        <v>0.26688084464313716</v>
      </c>
      <c r="P255" s="9">
        <f>Table1[[#This Row],[M-N2]]+Table1[[#This Row],[TEN-N2]]</f>
        <v>64180.267814726241</v>
      </c>
      <c r="Q255" s="9">
        <v>1410.1881045064192</v>
      </c>
      <c r="R255" s="9">
        <f>SUM(Table1[[#This Row],[TEN-CDA]:[TEN-CDA WWT]])</f>
        <v>96512.29832204619</v>
      </c>
      <c r="S255" s="9">
        <v>431.83267792192783</v>
      </c>
      <c r="T255" s="9">
        <v>208.89246109506473</v>
      </c>
      <c r="U255" s="9">
        <v>36.47718307923973</v>
      </c>
      <c r="V255" s="42">
        <v>0</v>
      </c>
      <c r="W255" s="9">
        <v>0</v>
      </c>
      <c r="X255" s="9">
        <v>77786.996232000354</v>
      </c>
      <c r="Y255" s="9">
        <v>1900.2611194110264</v>
      </c>
      <c r="Z255" s="1">
        <v>62052.196315492714</v>
      </c>
      <c r="AA255" s="1">
        <v>2128.0714992335238</v>
      </c>
      <c r="AB255" s="1">
        <v>34304.943292960619</v>
      </c>
      <c r="AC255" s="1">
        <v>52569.054093836749</v>
      </c>
      <c r="AD255" s="1">
        <v>7054.8222686746403</v>
      </c>
      <c r="AE255" s="1">
        <v>2565.6762671593078</v>
      </c>
      <c r="AF255" s="1">
        <v>17.802399414879098</v>
      </c>
      <c r="AG255" s="1"/>
      <c r="AH255" s="1"/>
      <c r="AI255" s="1"/>
      <c r="AJ255" s="1"/>
      <c r="AK255" s="1"/>
      <c r="AL255" s="1"/>
      <c r="AM255" s="1"/>
      <c r="AN255" s="1"/>
      <c r="AO255" s="1"/>
      <c r="AP255" s="1"/>
      <c r="AQ255" s="1"/>
    </row>
    <row r="256" spans="1:43" x14ac:dyDescent="0.3">
      <c r="A256" s="9">
        <f t="shared" si="22"/>
        <v>2020</v>
      </c>
      <c r="B256" s="9">
        <f t="shared" si="23"/>
        <v>9</v>
      </c>
      <c r="C256" s="10">
        <v>44081</v>
      </c>
      <c r="D256" s="9">
        <v>0.21099999999999999</v>
      </c>
      <c r="E256" s="9">
        <v>0.14899999999999999</v>
      </c>
      <c r="F256" s="9">
        <v>22.170850326252182</v>
      </c>
      <c r="G256" s="9">
        <v>12632.721098900503</v>
      </c>
      <c r="H256" s="9">
        <v>57100.833538449864</v>
      </c>
      <c r="I256" s="9">
        <v>1912.051395159476</v>
      </c>
      <c r="J256" s="20">
        <v>72.69</v>
      </c>
      <c r="K256" s="9">
        <v>71.62</v>
      </c>
      <c r="L256" s="31">
        <f>Table1[[#This Row],[TN550 I (O2)]]/(Table1[[#This Row],[Flowmeter A]]+Table1[[#This Row],[Flowmeter B]])</f>
        <v>2.3983451068663602E-2</v>
      </c>
      <c r="M256" s="33">
        <f>Table1[[#This Row],[TN120 Venting2]]/100</f>
        <v>0</v>
      </c>
      <c r="N256" s="31">
        <f>Table1[[#This Row],[TN550 I Venting2]]/100</f>
        <v>0</v>
      </c>
      <c r="O256" s="31">
        <f>(Table1[[#This Row],[TN550 I (O2)]]-Table1[[#This Row],[O2]])/Table1[[#This Row],[TN550 I (O2)]]</f>
        <v>0.26762840148451073</v>
      </c>
      <c r="P256" s="9">
        <f>Table1[[#This Row],[M-N2]]+Table1[[#This Row],[TEN-N2]]</f>
        <v>64005.753313857429</v>
      </c>
      <c r="Q256" s="9">
        <v>1400.3321367167168</v>
      </c>
      <c r="R256" s="9">
        <f>SUM(Table1[[#This Row],[TEN-CDA]:[TEN-CDA WWT]])</f>
        <v>96314.192740913466</v>
      </c>
      <c r="S256" s="9">
        <v>427.80969594072582</v>
      </c>
      <c r="T256" s="9">
        <v>215.96742129938045</v>
      </c>
      <c r="U256" s="9">
        <v>36.586794733422074</v>
      </c>
      <c r="V256" s="42">
        <v>0</v>
      </c>
      <c r="W256" s="9">
        <v>0</v>
      </c>
      <c r="X256" s="9">
        <v>77823.512366629075</v>
      </c>
      <c r="Y256" s="9">
        <v>1900.2684055939883</v>
      </c>
      <c r="Z256" s="1">
        <v>61867.772445350449</v>
      </c>
      <c r="AA256" s="1">
        <v>2137.9808685069775</v>
      </c>
      <c r="AB256" s="1">
        <v>34212.724889941877</v>
      </c>
      <c r="AC256" s="1">
        <v>52449.114501106</v>
      </c>
      <c r="AD256" s="1">
        <v>7138.3833163682993</v>
      </c>
      <c r="AE256" s="1">
        <v>2498.6542025055842</v>
      </c>
      <c r="AF256" s="1">
        <v>15.315830991710721</v>
      </c>
      <c r="AG256" s="1"/>
      <c r="AH256" s="1"/>
      <c r="AI256" s="1"/>
      <c r="AJ256" s="1"/>
      <c r="AK256" s="1"/>
      <c r="AL256" s="1"/>
      <c r="AM256" s="1"/>
      <c r="AN256" s="1"/>
      <c r="AO256" s="1"/>
      <c r="AP256" s="1"/>
      <c r="AQ256" s="1"/>
    </row>
    <row r="257" spans="1:43" x14ac:dyDescent="0.3">
      <c r="A257" s="9">
        <f t="shared" si="22"/>
        <v>2020</v>
      </c>
      <c r="B257" s="9">
        <f t="shared" si="23"/>
        <v>9</v>
      </c>
      <c r="C257" s="10">
        <v>44082</v>
      </c>
      <c r="D257" s="9">
        <v>0.22900000000000001</v>
      </c>
      <c r="E257" s="9">
        <v>0.152</v>
      </c>
      <c r="F257" s="9">
        <v>22.071480112386855</v>
      </c>
      <c r="G257" s="9">
        <v>12628.632292705805</v>
      </c>
      <c r="H257" s="9">
        <v>57065.040610361728</v>
      </c>
      <c r="I257" s="9">
        <v>1930.9403788601664</v>
      </c>
      <c r="J257" s="20">
        <v>72.69</v>
      </c>
      <c r="K257" s="9">
        <v>71.86</v>
      </c>
      <c r="L257" s="31">
        <f>Table1[[#This Row],[TN550 I (O2)]]/(Table1[[#This Row],[Flowmeter A]]+Table1[[#This Row],[Flowmeter B]])</f>
        <v>2.4315255945106768E-2</v>
      </c>
      <c r="M257" s="33">
        <f>Table1[[#This Row],[TN120 Venting2]]/100</f>
        <v>1.1000000000000001E-3</v>
      </c>
      <c r="N257" s="31">
        <f>Table1[[#This Row],[TN550 I Venting2]]/100</f>
        <v>1.9599999999999999E-2</v>
      </c>
      <c r="O257" s="31">
        <f>(Table1[[#This Row],[TN550 I (O2)]]-Table1[[#This Row],[O2]])/Table1[[#This Row],[TN550 I (O2)]]</f>
        <v>0.27545781352367193</v>
      </c>
      <c r="P257" s="9">
        <f>Table1[[#This Row],[M-N2]]+Table1[[#This Row],[TEN-N2]]</f>
        <v>64034.916572777285</v>
      </c>
      <c r="Q257" s="9">
        <v>1399.0477640547742</v>
      </c>
      <c r="R257" s="9">
        <f>SUM(Table1[[#This Row],[TEN-CDA]:[TEN-CDA WWT]])</f>
        <v>96937.707497816693</v>
      </c>
      <c r="S257" s="9">
        <v>432.07764703246306</v>
      </c>
      <c r="T257" s="9">
        <v>215.67832129304401</v>
      </c>
      <c r="U257" s="9">
        <v>37.306500745266362</v>
      </c>
      <c r="V257" s="42">
        <v>0.11</v>
      </c>
      <c r="W257" s="9">
        <v>1.96</v>
      </c>
      <c r="X257" s="9">
        <v>77478.538547449687</v>
      </c>
      <c r="Y257" s="9">
        <v>1934.1718603447855</v>
      </c>
      <c r="Z257" s="1">
        <v>61871.980791334143</v>
      </c>
      <c r="AA257" s="1">
        <v>2162.9357814431437</v>
      </c>
      <c r="AB257" s="1">
        <v>34708.223950652755</v>
      </c>
      <c r="AC257" s="1">
        <v>52558.920234971374</v>
      </c>
      <c r="AD257" s="1">
        <v>7161.6619562153019</v>
      </c>
      <c r="AE257" s="1">
        <v>2494.8746887672942</v>
      </c>
      <c r="AF257" s="1">
        <v>14.02666720997162</v>
      </c>
      <c r="AG257" s="1"/>
      <c r="AH257" s="1"/>
      <c r="AI257" s="1"/>
      <c r="AJ257" s="1"/>
      <c r="AK257" s="1"/>
      <c r="AL257" s="1"/>
      <c r="AM257" s="1"/>
      <c r="AN257" s="1"/>
      <c r="AO257" s="1"/>
      <c r="AP257" s="1"/>
      <c r="AQ257" s="1"/>
    </row>
    <row r="258" spans="1:43" x14ac:dyDescent="0.3">
      <c r="A258" s="9">
        <f t="shared" si="22"/>
        <v>2020</v>
      </c>
      <c r="B258" s="9">
        <f t="shared" si="23"/>
        <v>9</v>
      </c>
      <c r="C258" s="10">
        <v>44083</v>
      </c>
      <c r="D258" s="9">
        <v>0.216</v>
      </c>
      <c r="E258" s="9">
        <v>0.154</v>
      </c>
      <c r="F258" s="9">
        <v>22.936887526345419</v>
      </c>
      <c r="G258" s="9">
        <v>12638.194447757634</v>
      </c>
      <c r="H258" s="9">
        <v>57101.631563265393</v>
      </c>
      <c r="I258" s="9">
        <v>1900.0190800425887</v>
      </c>
      <c r="J258" s="20">
        <v>72.650000000000006</v>
      </c>
      <c r="K258" s="9">
        <v>71.89</v>
      </c>
      <c r="L258" s="31">
        <f>Table1[[#This Row],[TN550 I (O2)]]/(Table1[[#This Row],[Flowmeter A]]+Table1[[#This Row],[Flowmeter B]])</f>
        <v>2.3920740555232363E-2</v>
      </c>
      <c r="M258" s="33">
        <f>Table1[[#This Row],[TN120 Venting2]]/100</f>
        <v>0</v>
      </c>
      <c r="N258" s="31">
        <f>Table1[[#This Row],[TN550 I Venting2]]/100</f>
        <v>0</v>
      </c>
      <c r="O258" s="31">
        <f>(Table1[[#This Row],[TN550 I (O2)]]-Table1[[#This Row],[O2]])/Table1[[#This Row],[TN550 I (O2)]]</f>
        <v>0.26248907342643113</v>
      </c>
      <c r="P258" s="9">
        <f>Table1[[#This Row],[M-N2]]+Table1[[#This Row],[TEN-N2]]</f>
        <v>64264.946800473132</v>
      </c>
      <c r="Q258" s="9">
        <v>1401.2848322296695</v>
      </c>
      <c r="R258" s="9">
        <f>SUM(Table1[[#This Row],[TEN-CDA]:[TEN-CDA WWT]])</f>
        <v>96847.078296949549</v>
      </c>
      <c r="S258" s="9">
        <v>427.49150076622738</v>
      </c>
      <c r="T258" s="9">
        <v>215.84406879063715</v>
      </c>
      <c r="U258" s="9">
        <v>37.048606867042039</v>
      </c>
      <c r="V258" s="42">
        <v>0</v>
      </c>
      <c r="W258" s="9">
        <v>0</v>
      </c>
      <c r="X258" s="9">
        <v>77479.360550428624</v>
      </c>
      <c r="Y258" s="9">
        <v>1950.4161178770391</v>
      </c>
      <c r="Z258" s="1">
        <v>62081.597993068739</v>
      </c>
      <c r="AA258" s="1">
        <v>2183.3488074043903</v>
      </c>
      <c r="AB258" s="1">
        <v>34606.700892663517</v>
      </c>
      <c r="AC258" s="1">
        <v>52546.401931376538</v>
      </c>
      <c r="AD258" s="1">
        <v>7183.5549274039113</v>
      </c>
      <c r="AE258" s="1">
        <v>2495.0598534661967</v>
      </c>
      <c r="AF258" s="1">
        <v>15.36069203940098</v>
      </c>
      <c r="AG258" s="1"/>
      <c r="AH258" s="1"/>
      <c r="AI258" s="1"/>
      <c r="AJ258" s="1"/>
      <c r="AK258" s="1"/>
      <c r="AL258" s="1"/>
      <c r="AM258" s="1"/>
      <c r="AN258" s="1"/>
      <c r="AO258" s="1"/>
      <c r="AP258" s="1"/>
      <c r="AQ258" s="1"/>
    </row>
    <row r="259" spans="1:43" x14ac:dyDescent="0.3">
      <c r="A259" s="9">
        <f t="shared" si="22"/>
        <v>2020</v>
      </c>
      <c r="B259" s="9">
        <f t="shared" si="23"/>
        <v>9</v>
      </c>
      <c r="C259" s="10">
        <v>44084</v>
      </c>
      <c r="D259" s="9">
        <v>0.21099999999999999</v>
      </c>
      <c r="E259" s="9">
        <v>0.15</v>
      </c>
      <c r="F259" s="9">
        <v>22.083239190699238</v>
      </c>
      <c r="G259" s="9">
        <v>12645.380717736163</v>
      </c>
      <c r="H259" s="9">
        <v>57099.801862855653</v>
      </c>
      <c r="I259" s="9">
        <v>1899.9922621314679</v>
      </c>
      <c r="J259" s="20">
        <v>72.760000000000005</v>
      </c>
      <c r="K259" s="9">
        <v>71.959999999999994</v>
      </c>
      <c r="L259" s="31">
        <f>Table1[[#This Row],[TN550 I (O2)]]/(Table1[[#This Row],[Flowmeter A]]+Table1[[#This Row],[Flowmeter B]])</f>
        <v>2.3946149924322657E-2</v>
      </c>
      <c r="M259" s="33">
        <f>Table1[[#This Row],[TN120 Venting2]]/100</f>
        <v>0</v>
      </c>
      <c r="N259" s="31">
        <f>Table1[[#This Row],[TN550 I Venting2]]/100</f>
        <v>0</v>
      </c>
      <c r="O259" s="31">
        <f>(Table1[[#This Row],[TN550 I (O2)]]-Table1[[#This Row],[O2]])/Table1[[#This Row],[TN550 I (O2)]]</f>
        <v>0.26166900366726348</v>
      </c>
      <c r="P259" s="9">
        <f>Table1[[#This Row],[M-N2]]+Table1[[#This Row],[TEN-N2]]</f>
        <v>64154.698485904562</v>
      </c>
      <c r="Q259" s="9">
        <v>1402.8231799240166</v>
      </c>
      <c r="R259" s="9">
        <f>SUM(Table1[[#This Row],[TEN-CDA]:[TEN-CDA WWT]])</f>
        <v>95902.649709551333</v>
      </c>
      <c r="S259" s="9">
        <v>422.2831238343598</v>
      </c>
      <c r="T259" s="9">
        <v>215.87704980282385</v>
      </c>
      <c r="U259" s="9">
        <v>36.512352546993682</v>
      </c>
      <c r="V259" s="42">
        <v>0</v>
      </c>
      <c r="W259" s="9">
        <v>0</v>
      </c>
      <c r="X259" s="9">
        <v>77394.055164599238</v>
      </c>
      <c r="Y259" s="9">
        <v>1950.318278983101</v>
      </c>
      <c r="Z259" s="1">
        <v>61942.581752038517</v>
      </c>
      <c r="AA259" s="1">
        <v>2212.1167338660489</v>
      </c>
      <c r="AB259" s="1">
        <v>34109.294362096633</v>
      </c>
      <c r="AC259" s="1">
        <v>52170.80399082668</v>
      </c>
      <c r="AD259" s="1">
        <v>7112.7877647087525</v>
      </c>
      <c r="AE259" s="1">
        <v>2485.4451479888639</v>
      </c>
      <c r="AF259" s="1">
        <v>24.318443930394416</v>
      </c>
      <c r="AG259" s="1"/>
      <c r="AH259" s="1"/>
      <c r="AI259" s="1"/>
      <c r="AJ259" s="1"/>
      <c r="AK259" s="1"/>
      <c r="AL259" s="1"/>
      <c r="AM259" s="1"/>
      <c r="AN259" s="1"/>
      <c r="AO259" s="1"/>
      <c r="AP259" s="1"/>
      <c r="AQ259" s="1"/>
    </row>
    <row r="260" spans="1:43" x14ac:dyDescent="0.3">
      <c r="A260" s="9">
        <f t="shared" si="22"/>
        <v>2020</v>
      </c>
      <c r="B260" s="9">
        <f t="shared" si="23"/>
        <v>9</v>
      </c>
      <c r="C260" s="10">
        <v>44085</v>
      </c>
      <c r="D260" s="9">
        <v>0.20599999999999999</v>
      </c>
      <c r="E260" s="9">
        <v>0.151</v>
      </c>
      <c r="F260" s="9">
        <v>22.056053774461077</v>
      </c>
      <c r="G260" s="9">
        <v>11649.736974648682</v>
      </c>
      <c r="H260" s="9">
        <v>56043.804953157531</v>
      </c>
      <c r="I260" s="9">
        <v>1899.8544213680821</v>
      </c>
      <c r="J260" s="20">
        <v>71.7</v>
      </c>
      <c r="K260" s="9">
        <v>71.84</v>
      </c>
      <c r="L260" s="31">
        <f>Table1[[#This Row],[TN550 I (O2)]]/(Table1[[#This Row],[Flowmeter A]]+Table1[[#This Row],[Flowmeter B]])</f>
        <v>2.4354452415933148E-2</v>
      </c>
      <c r="M260" s="33">
        <f>Table1[[#This Row],[TN120 Venting2]]/100</f>
        <v>3.4000000000000002E-3</v>
      </c>
      <c r="N260" s="31">
        <f>Table1[[#This Row],[TN550 I Venting2]]/100</f>
        <v>1.8E-3</v>
      </c>
      <c r="O260" s="31">
        <f>(Table1[[#This Row],[TN550 I (O2)]]-Table1[[#This Row],[O2]])/Table1[[#This Row],[TN550 I (O2)]]</f>
        <v>0.25816010363940239</v>
      </c>
      <c r="P260" s="9">
        <f>Table1[[#This Row],[M-N2]]+Table1[[#This Row],[TEN-N2]]</f>
        <v>64137.041950339662</v>
      </c>
      <c r="Q260" s="9">
        <v>1409.3878070479211</v>
      </c>
      <c r="R260" s="9">
        <f>SUM(Table1[[#This Row],[TEN-CDA]:[TEN-CDA WWT]])</f>
        <v>95949.207606394499</v>
      </c>
      <c r="S260" s="9">
        <v>427.23099775665094</v>
      </c>
      <c r="T260" s="9">
        <v>210.23169152857449</v>
      </c>
      <c r="U260" s="9">
        <v>36.727538272293799</v>
      </c>
      <c r="V260" s="42">
        <v>0.34</v>
      </c>
      <c r="W260" s="9">
        <v>0.18</v>
      </c>
      <c r="X260" s="9">
        <v>76058.608729831714</v>
      </c>
      <c r="Y260" s="9">
        <v>1949.8962006737672</v>
      </c>
      <c r="Z260" s="1">
        <v>61983.03956670715</v>
      </c>
      <c r="AA260" s="1">
        <v>2154.0023836325145</v>
      </c>
      <c r="AB260" s="1">
        <v>34158.362172536436</v>
      </c>
      <c r="AC260" s="1">
        <v>52347.593950598544</v>
      </c>
      <c r="AD260" s="1">
        <v>6972.9253048284609</v>
      </c>
      <c r="AE260" s="1">
        <v>2446.7037132416726</v>
      </c>
      <c r="AF260" s="1">
        <v>23.62246518938348</v>
      </c>
      <c r="AG260" s="1"/>
      <c r="AH260" s="1"/>
      <c r="AI260" s="1"/>
      <c r="AJ260" s="1"/>
      <c r="AK260" s="1"/>
      <c r="AL260" s="1"/>
      <c r="AM260" s="1"/>
      <c r="AN260" s="1"/>
      <c r="AO260" s="1"/>
      <c r="AP260" s="1"/>
      <c r="AQ260" s="1"/>
    </row>
    <row r="261" spans="1:43" x14ac:dyDescent="0.3">
      <c r="A261" s="9">
        <f t="shared" si="22"/>
        <v>2020</v>
      </c>
      <c r="B261" s="9">
        <f t="shared" si="23"/>
        <v>9</v>
      </c>
      <c r="C261" s="10">
        <v>44086</v>
      </c>
      <c r="D261" s="9">
        <v>0.21</v>
      </c>
      <c r="E261" s="9">
        <v>0.14799999999999999</v>
      </c>
      <c r="F261" s="9">
        <v>22.76379818224725</v>
      </c>
      <c r="G261" s="9">
        <v>10531.522912961918</v>
      </c>
      <c r="H261" s="9">
        <v>55056.485128599939</v>
      </c>
      <c r="I261" s="9">
        <v>1870.330937445784</v>
      </c>
      <c r="J261" s="20">
        <v>70.59</v>
      </c>
      <c r="K261" s="9">
        <v>71.209999999999994</v>
      </c>
      <c r="L261" s="31">
        <f>Table1[[#This Row],[TN550 I (O2)]]/(Table1[[#This Row],[Flowmeter A]]+Table1[[#This Row],[Flowmeter B]])</f>
        <v>2.41905283337332E-2</v>
      </c>
      <c r="M261" s="33">
        <f>Table1[[#This Row],[TN120 Venting2]]/100</f>
        <v>3.5999999999999999E-3</v>
      </c>
      <c r="N261" s="31">
        <f>Table1[[#This Row],[TN550 I Venting2]]/100</f>
        <v>0</v>
      </c>
      <c r="O261" s="31">
        <f>(Table1[[#This Row],[TN550 I (O2)]]-Table1[[#This Row],[O2]])/Table1[[#This Row],[TN550 I (O2)]]</f>
        <v>0.24607312555277347</v>
      </c>
      <c r="P261" s="9">
        <f>Table1[[#This Row],[M-N2]]+Table1[[#This Row],[TEN-N2]]</f>
        <v>64176.691557630744</v>
      </c>
      <c r="Q261" s="9">
        <v>1410.0927578504511</v>
      </c>
      <c r="R261" s="9">
        <f>SUM(Table1[[#This Row],[TEN-CDA]:[TEN-CDA WWT]])</f>
        <v>95881.254662862309</v>
      </c>
      <c r="S261" s="9">
        <v>428.62734519434338</v>
      </c>
      <c r="T261" s="9">
        <v>221.06495793572239</v>
      </c>
      <c r="U261" s="9">
        <v>37.472215881453543</v>
      </c>
      <c r="V261" s="42">
        <v>0.36</v>
      </c>
      <c r="W261" s="9">
        <v>0</v>
      </c>
      <c r="X261" s="9">
        <v>75367.638716603047</v>
      </c>
      <c r="Y261" s="9">
        <v>1949.0247164004215</v>
      </c>
      <c r="Z261" s="1">
        <v>62042.402961810374</v>
      </c>
      <c r="AA261" s="1">
        <v>2134.2885958203669</v>
      </c>
      <c r="AB261" s="1">
        <v>33780.786067075816</v>
      </c>
      <c r="AC261" s="1">
        <v>52566.055939885497</v>
      </c>
      <c r="AD261" s="1">
        <v>6998.212013684074</v>
      </c>
      <c r="AE261" s="1">
        <v>2511.1794330244838</v>
      </c>
      <c r="AF261" s="1">
        <v>25.021209192433183</v>
      </c>
      <c r="AG261" s="1"/>
      <c r="AH261" s="1"/>
      <c r="AI261" s="1"/>
      <c r="AJ261" s="1"/>
      <c r="AK261" s="1"/>
      <c r="AL261" s="1"/>
      <c r="AM261" s="1"/>
      <c r="AN261" s="1"/>
      <c r="AO261" s="1"/>
      <c r="AP261" s="1"/>
      <c r="AQ261" s="1"/>
    </row>
    <row r="262" spans="1:43" x14ac:dyDescent="0.3">
      <c r="A262" s="9">
        <f t="shared" si="22"/>
        <v>2020</v>
      </c>
      <c r="B262" s="9">
        <f t="shared" si="23"/>
        <v>9</v>
      </c>
      <c r="C262" s="10">
        <v>44087</v>
      </c>
      <c r="D262" s="9">
        <v>0.22</v>
      </c>
      <c r="E262" s="9">
        <v>0.16</v>
      </c>
      <c r="F262" s="9">
        <v>22.907953066432089</v>
      </c>
      <c r="G262" s="9">
        <v>10654.363736662908</v>
      </c>
      <c r="H262" s="9">
        <v>55299.713943767347</v>
      </c>
      <c r="I262" s="9">
        <v>1849.9158341714196</v>
      </c>
      <c r="J262" s="20">
        <v>70.88</v>
      </c>
      <c r="K262" s="9">
        <v>71.239999999999995</v>
      </c>
      <c r="L262" s="31">
        <f>Table1[[#This Row],[TN550 I (O2)]]/(Table1[[#This Row],[Flowmeter A]]+Table1[[#This Row],[Flowmeter B]])</f>
        <v>2.3832045736326725E-2</v>
      </c>
      <c r="M262" s="33">
        <f>Table1[[#This Row],[TN120 Venting2]]/100</f>
        <v>2.2000000000000001E-3</v>
      </c>
      <c r="N262" s="31">
        <f>Table1[[#This Row],[TN550 I Venting2]]/100</f>
        <v>0</v>
      </c>
      <c r="O262" s="31">
        <f>(Table1[[#This Row],[TN550 I (O2)]]-Table1[[#This Row],[O2]])/Table1[[#This Row],[TN550 I (O2)]]</f>
        <v>0.23919715137475886</v>
      </c>
      <c r="P262" s="9">
        <f>Table1[[#This Row],[M-N2]]+Table1[[#This Row],[TEN-N2]]</f>
        <v>64239.639226740059</v>
      </c>
      <c r="Q262" s="9">
        <v>1407.4212363545553</v>
      </c>
      <c r="R262" s="9">
        <f>SUM(Table1[[#This Row],[TEN-CDA]:[TEN-CDA WWT]])</f>
        <v>96622.738197616112</v>
      </c>
      <c r="S262" s="9">
        <v>427.65593497642288</v>
      </c>
      <c r="T262" s="9">
        <v>221.2668859308416</v>
      </c>
      <c r="U262" s="9">
        <v>37.068574596990075</v>
      </c>
      <c r="V262" s="42">
        <v>0.22</v>
      </c>
      <c r="W262" s="9">
        <v>0</v>
      </c>
      <c r="X262" s="9">
        <v>75673.555338089849</v>
      </c>
      <c r="Y262" s="9">
        <v>1949.4844394660013</v>
      </c>
      <c r="Z262" s="1">
        <v>62119.776847675224</v>
      </c>
      <c r="AA262" s="1">
        <v>2119.8623790648312</v>
      </c>
      <c r="AB262" s="1">
        <v>34506.216245229007</v>
      </c>
      <c r="AC262" s="1">
        <v>52604.035481544925</v>
      </c>
      <c r="AD262" s="1">
        <v>7014.7370447904013</v>
      </c>
      <c r="AE262" s="1">
        <v>2482.2869924721331</v>
      </c>
      <c r="AF262" s="1">
        <v>15.462433579655096</v>
      </c>
      <c r="AG262" s="1"/>
      <c r="AH262" s="1"/>
      <c r="AI262" s="1"/>
      <c r="AJ262" s="1"/>
      <c r="AK262" s="1"/>
      <c r="AL262" s="1"/>
      <c r="AM262" s="1"/>
      <c r="AN262" s="1"/>
      <c r="AO262" s="1"/>
      <c r="AP262" s="1"/>
      <c r="AQ262" s="1"/>
    </row>
    <row r="263" spans="1:43" x14ac:dyDescent="0.3">
      <c r="A263" s="9">
        <f t="shared" ref="A263:A326" si="24">YEAR(C263)</f>
        <v>2020</v>
      </c>
      <c r="B263" s="9">
        <f t="shared" ref="B263:B326" si="25">MONTH(C263)</f>
        <v>9</v>
      </c>
      <c r="C263" s="10">
        <v>44088</v>
      </c>
      <c r="D263" s="9">
        <v>0.216</v>
      </c>
      <c r="E263" s="9">
        <v>0.14899999999999999</v>
      </c>
      <c r="F263" s="9">
        <v>22.169240913152855</v>
      </c>
      <c r="G263" s="9">
        <v>10427.447783386104</v>
      </c>
      <c r="H263" s="9">
        <v>55298.567157139143</v>
      </c>
      <c r="I263" s="9">
        <v>1850.1576470739719</v>
      </c>
      <c r="J263" s="20">
        <v>70.819999999999993</v>
      </c>
      <c r="K263" s="9">
        <v>71.31</v>
      </c>
      <c r="L263" s="31">
        <f>Table1[[#This Row],[TN550 I (O2)]]/(Table1[[#This Row],[Flowmeter A]]+Table1[[#This Row],[Flowmeter B]])</f>
        <v>2.3859056524929801E-2</v>
      </c>
      <c r="M263" s="33">
        <f>Table1[[#This Row],[TN120 Venting2]]/100</f>
        <v>1.4499999999999999E-2</v>
      </c>
      <c r="N263" s="31">
        <f>Table1[[#This Row],[TN550 I Venting2]]/100</f>
        <v>2.9999999999999997E-4</v>
      </c>
      <c r="O263" s="31">
        <f>(Table1[[#This Row],[TN550 I (O2)]]-Table1[[#This Row],[O2]])/Table1[[#This Row],[TN550 I (O2)]]</f>
        <v>0.23657336970380258</v>
      </c>
      <c r="P263" s="9">
        <f>Table1[[#This Row],[M-N2]]+Table1[[#This Row],[TEN-N2]]</f>
        <v>64250.770856826857</v>
      </c>
      <c r="Q263" s="9">
        <v>1412.4596180224237</v>
      </c>
      <c r="R263" s="9">
        <f>SUM(Table1[[#This Row],[TEN-CDA]:[TEN-CDA WWT]])</f>
        <v>96946.177849050146</v>
      </c>
      <c r="S263" s="9">
        <v>429.92730996676568</v>
      </c>
      <c r="T263" s="9">
        <v>216.77050142731625</v>
      </c>
      <c r="U263" s="9">
        <v>37.801867316283754</v>
      </c>
      <c r="V263" s="42">
        <v>1.45</v>
      </c>
      <c r="W263" s="9">
        <v>0.03</v>
      </c>
      <c r="X263" s="9">
        <v>75594.896426092993</v>
      </c>
      <c r="Y263" s="9">
        <v>1950.4015256840685</v>
      </c>
      <c r="Z263" s="1">
        <v>62096.227015202116</v>
      </c>
      <c r="AA263" s="1">
        <v>2154.5438416247398</v>
      </c>
      <c r="AB263" s="1">
        <v>34979.467995044673</v>
      </c>
      <c r="AC263" s="1">
        <v>52447.877729766653</v>
      </c>
      <c r="AD263" s="1">
        <v>7006.1911111126174</v>
      </c>
      <c r="AE263" s="1">
        <v>2499.1604790035676</v>
      </c>
      <c r="AF263" s="1">
        <v>13.4805341226454</v>
      </c>
      <c r="AG263" s="1"/>
      <c r="AH263" s="1"/>
      <c r="AI263" s="1"/>
      <c r="AJ263" s="1"/>
      <c r="AK263" s="1"/>
      <c r="AL263" s="1"/>
      <c r="AM263" s="1"/>
      <c r="AN263" s="1"/>
      <c r="AO263" s="1"/>
      <c r="AP263" s="1"/>
      <c r="AQ263" s="1"/>
    </row>
    <row r="264" spans="1:43" x14ac:dyDescent="0.3">
      <c r="A264" s="9">
        <f t="shared" si="24"/>
        <v>2020</v>
      </c>
      <c r="B264" s="9">
        <f t="shared" si="25"/>
        <v>9</v>
      </c>
      <c r="C264" s="10">
        <v>44089</v>
      </c>
      <c r="D264" s="9">
        <v>0.21199999999999999</v>
      </c>
      <c r="E264" s="9">
        <v>0.14799999999999999</v>
      </c>
      <c r="F264" s="9">
        <v>21.360917171449152</v>
      </c>
      <c r="G264" s="9">
        <v>10305.004913986601</v>
      </c>
      <c r="H264" s="9">
        <v>55298.137648551354</v>
      </c>
      <c r="I264" s="9">
        <v>1849.9712502812445</v>
      </c>
      <c r="J264" s="20">
        <v>70.989999999999995</v>
      </c>
      <c r="K264" s="9">
        <v>71.37</v>
      </c>
      <c r="L264" s="31">
        <f>Table1[[#This Row],[TN550 I (O2)]]/(Table1[[#This Row],[Flowmeter A]]+Table1[[#This Row],[Flowmeter B]])</f>
        <v>2.3874950914534624E-2</v>
      </c>
      <c r="M264" s="33">
        <f>Table1[[#This Row],[TN120 Venting2]]/100</f>
        <v>2.41E-2</v>
      </c>
      <c r="N264" s="31">
        <f>Table1[[#This Row],[TN550 I Venting2]]/100</f>
        <v>4.0000000000000002E-4</v>
      </c>
      <c r="O264" s="31">
        <f>(Table1[[#This Row],[TN550 I (O2)]]-Table1[[#This Row],[O2]])/Table1[[#This Row],[TN550 I (O2)]]</f>
        <v>0.24016512081111638</v>
      </c>
      <c r="P264" s="9">
        <f>Table1[[#This Row],[M-N2]]+Table1[[#This Row],[TEN-N2]]</f>
        <v>64172.110355374549</v>
      </c>
      <c r="Q264" s="9">
        <v>1405.6726814603574</v>
      </c>
      <c r="R264" s="9">
        <f>SUM(Table1[[#This Row],[TEN-CDA]:[TEN-CDA WWT]])</f>
        <v>97327.265942045487</v>
      </c>
      <c r="S264" s="9">
        <v>433.72341137475058</v>
      </c>
      <c r="T264" s="9">
        <v>212.0232160940177</v>
      </c>
      <c r="U264" s="9">
        <v>37.226586080441287</v>
      </c>
      <c r="V264" s="42">
        <v>2.41</v>
      </c>
      <c r="W264" s="9">
        <v>0.04</v>
      </c>
      <c r="X264" s="9">
        <v>75535.198728096802</v>
      </c>
      <c r="Y264" s="9">
        <v>1950.667395925952</v>
      </c>
      <c r="Z264" s="1">
        <v>61997.300575229878</v>
      </c>
      <c r="AA264" s="1">
        <v>2174.8097801446747</v>
      </c>
      <c r="AB264" s="1">
        <v>35351.624861749653</v>
      </c>
      <c r="AC264" s="1">
        <v>52409.429259195007</v>
      </c>
      <c r="AD264" s="1">
        <v>7016.4724570068529</v>
      </c>
      <c r="AE264" s="1">
        <v>2532.2530704792139</v>
      </c>
      <c r="AF264" s="1">
        <v>17.486293614753453</v>
      </c>
      <c r="AG264" s="1"/>
      <c r="AH264" s="1"/>
      <c r="AI264" s="1"/>
      <c r="AJ264" s="1"/>
      <c r="AK264" s="1"/>
      <c r="AL264" s="1"/>
      <c r="AM264" s="1"/>
      <c r="AN264" s="1"/>
      <c r="AO264" s="1"/>
      <c r="AP264" s="1"/>
      <c r="AQ264" s="1"/>
    </row>
    <row r="265" spans="1:43" x14ac:dyDescent="0.3">
      <c r="A265" s="9">
        <f t="shared" si="24"/>
        <v>2020</v>
      </c>
      <c r="B265" s="9">
        <f t="shared" si="25"/>
        <v>9</v>
      </c>
      <c r="C265" s="10">
        <v>44090</v>
      </c>
      <c r="D265" s="9">
        <v>0.21199999999999999</v>
      </c>
      <c r="E265" s="9">
        <v>0.14799999999999999</v>
      </c>
      <c r="F265" s="9">
        <v>20.526707602242148</v>
      </c>
      <c r="G265" s="9">
        <v>10429.360322421497</v>
      </c>
      <c r="H265" s="9">
        <v>55294.770661649898</v>
      </c>
      <c r="I265" s="9">
        <v>1849.9617337101784</v>
      </c>
      <c r="J265" s="20">
        <v>70.97</v>
      </c>
      <c r="K265" s="9">
        <v>71.45</v>
      </c>
      <c r="L265" s="31">
        <f>Table1[[#This Row],[TN550 I (O2)]]/(Table1[[#This Row],[Flowmeter A]]+Table1[[#This Row],[Flowmeter B]])</f>
        <v>2.3903742680921099E-2</v>
      </c>
      <c r="M265" s="33">
        <f>Table1[[#This Row],[TN120 Venting2]]/100</f>
        <v>1.46E-2</v>
      </c>
      <c r="N265" s="31">
        <f>Table1[[#This Row],[TN550 I Venting2]]/100</f>
        <v>1E-4</v>
      </c>
      <c r="O265" s="31">
        <f>(Table1[[#This Row],[TN550 I (O2)]]-Table1[[#This Row],[O2]])/Table1[[#This Row],[TN550 I (O2)]]</f>
        <v>0.24065286015344761</v>
      </c>
      <c r="P265" s="9">
        <f>Table1[[#This Row],[M-N2]]+Table1[[#This Row],[TEN-N2]]</f>
        <v>64337.213132647819</v>
      </c>
      <c r="Q265" s="9">
        <v>1404.7631513183933</v>
      </c>
      <c r="R265" s="9">
        <f>SUM(Table1[[#This Row],[TEN-CDA]:[TEN-CDA WWT]])</f>
        <v>96833.927312619606</v>
      </c>
      <c r="S265" s="9">
        <v>433.88096310511634</v>
      </c>
      <c r="T265" s="9">
        <v>207.91504753372223</v>
      </c>
      <c r="U265" s="9">
        <v>35.495734727688749</v>
      </c>
      <c r="V265" s="42">
        <v>1.46</v>
      </c>
      <c r="W265" s="9">
        <v>0.01</v>
      </c>
      <c r="X265" s="9">
        <v>75442.54574188932</v>
      </c>
      <c r="Y265" s="9">
        <v>1949.5914813219715</v>
      </c>
      <c r="Z265" s="1">
        <v>62176.906043979878</v>
      </c>
      <c r="AA265" s="1">
        <v>2160.3070886679443</v>
      </c>
      <c r="AB265" s="1">
        <v>34613.027244806122</v>
      </c>
      <c r="AC265" s="1">
        <v>52548.594755703503</v>
      </c>
      <c r="AD265" s="1">
        <v>7060.6179319510102</v>
      </c>
      <c r="AE265" s="1">
        <v>2588.8398637420846</v>
      </c>
      <c r="AF265" s="1">
        <v>22.847516416882907</v>
      </c>
      <c r="AG265" s="1"/>
      <c r="AH265" s="1"/>
      <c r="AI265" s="1"/>
      <c r="AJ265" s="1"/>
      <c r="AK265" s="1"/>
      <c r="AL265" s="1"/>
      <c r="AM265" s="1"/>
      <c r="AN265" s="1"/>
      <c r="AO265" s="1"/>
      <c r="AP265" s="1"/>
      <c r="AQ265" s="1"/>
    </row>
    <row r="266" spans="1:43" x14ac:dyDescent="0.3">
      <c r="A266" s="9">
        <f t="shared" si="24"/>
        <v>2020</v>
      </c>
      <c r="B266" s="9">
        <f t="shared" si="25"/>
        <v>9</v>
      </c>
      <c r="C266" s="10">
        <v>44091</v>
      </c>
      <c r="D266" s="9">
        <v>0.21299999999999999</v>
      </c>
      <c r="E266" s="9">
        <v>0.151</v>
      </c>
      <c r="F266" s="9">
        <v>20.737378012546639</v>
      </c>
      <c r="G266" s="9">
        <v>10289.7923283256</v>
      </c>
      <c r="H266" s="9">
        <v>55304.942048707497</v>
      </c>
      <c r="I266" s="9">
        <v>1849.8768808654745</v>
      </c>
      <c r="J266" s="20">
        <v>70.98</v>
      </c>
      <c r="K266" s="9">
        <v>71.5</v>
      </c>
      <c r="L266" s="31">
        <f>Table1[[#This Row],[TN550 I (O2)]]/(Table1[[#This Row],[Flowmeter A]]+Table1[[#This Row],[Flowmeter B]])</f>
        <v>2.391586464540434E-2</v>
      </c>
      <c r="M266" s="33">
        <f>Table1[[#This Row],[TN120 Venting2]]/100</f>
        <v>2.3799999999999998E-2</v>
      </c>
      <c r="N266" s="31">
        <f>Table1[[#This Row],[TN550 I Venting2]]/100</f>
        <v>5.0000000000000001E-4</v>
      </c>
      <c r="O266" s="31">
        <f>(Table1[[#This Row],[TN550 I (O2)]]-Table1[[#This Row],[O2]])/Table1[[#This Row],[TN550 I (O2)]]</f>
        <v>0.24212370189682803</v>
      </c>
      <c r="P266" s="9">
        <f>Table1[[#This Row],[M-N2]]+Table1[[#This Row],[TEN-N2]]</f>
        <v>64249.817192464136</v>
      </c>
      <c r="Q266" s="9">
        <v>1401.9778424169683</v>
      </c>
      <c r="R266" s="9">
        <f>SUM(Table1[[#This Row],[TEN-CDA]:[TEN-CDA WWT]])</f>
        <v>96801.24969755784</v>
      </c>
      <c r="S266" s="9">
        <v>434.00645860808334</v>
      </c>
      <c r="T266" s="9">
        <v>215.79724945979015</v>
      </c>
      <c r="U266" s="9">
        <v>35.436196363609255</v>
      </c>
      <c r="V266" s="42">
        <v>2.38</v>
      </c>
      <c r="W266" s="9">
        <v>0.05</v>
      </c>
      <c r="X266" s="9">
        <v>75399.587835053782</v>
      </c>
      <c r="Y266" s="9">
        <v>1949.7745356245391</v>
      </c>
      <c r="Z266" s="1">
        <v>62064.394477034177</v>
      </c>
      <c r="AA266" s="1">
        <v>2185.4227154299588</v>
      </c>
      <c r="AB266" s="1">
        <v>34569.942016178</v>
      </c>
      <c r="AC266" s="1">
        <v>52415.430850429395</v>
      </c>
      <c r="AD266" s="1">
        <v>7172.1307007937194</v>
      </c>
      <c r="AE266" s="1">
        <v>2622.7947016232215</v>
      </c>
      <c r="AF266" s="1">
        <v>20.951428533510398</v>
      </c>
      <c r="AG266" s="1"/>
      <c r="AH266" s="1"/>
      <c r="AI266" s="1"/>
      <c r="AJ266" s="1"/>
      <c r="AK266" s="1"/>
      <c r="AL266" s="1"/>
      <c r="AM266" s="1"/>
      <c r="AN266" s="1"/>
      <c r="AO266" s="1"/>
      <c r="AP266" s="1"/>
      <c r="AQ266" s="1"/>
    </row>
    <row r="267" spans="1:43" x14ac:dyDescent="0.3">
      <c r="A267" s="9">
        <f t="shared" si="24"/>
        <v>2020</v>
      </c>
      <c r="B267" s="9">
        <f t="shared" si="25"/>
        <v>9</v>
      </c>
      <c r="C267" s="10">
        <v>44092</v>
      </c>
      <c r="D267" s="9">
        <v>0.21099999999999999</v>
      </c>
      <c r="E267" s="9">
        <v>0.14799999999999999</v>
      </c>
      <c r="F267" s="9">
        <v>19.379317321353781</v>
      </c>
      <c r="G267" s="9">
        <v>10630.162780295799</v>
      </c>
      <c r="H267" s="9">
        <v>55284.63707386364</v>
      </c>
      <c r="I267" s="9">
        <v>1849.9186223047959</v>
      </c>
      <c r="J267" s="20">
        <v>70.900000000000006</v>
      </c>
      <c r="K267" s="9">
        <v>71.650000000000006</v>
      </c>
      <c r="L267" s="31">
        <f>Table1[[#This Row],[TN550 I (O2)]]/(Table1[[#This Row],[Flowmeter A]]+Table1[[#This Row],[Flowmeter B]])</f>
        <v>2.397530681932487E-2</v>
      </c>
      <c r="M267" s="33">
        <f>Table1[[#This Row],[TN120 Venting2]]/100</f>
        <v>8.199999999999999E-3</v>
      </c>
      <c r="N267" s="31">
        <f>Table1[[#This Row],[TN550 I Venting2]]/100</f>
        <v>5.0000000000000001E-4</v>
      </c>
      <c r="O267" s="31">
        <f>(Table1[[#This Row],[TN550 I (O2)]]-Table1[[#This Row],[O2]])/Table1[[#This Row],[TN550 I (O2)]]</f>
        <v>0.24013287366329417</v>
      </c>
      <c r="P267" s="9">
        <f>Table1[[#This Row],[M-N2]]+Table1[[#This Row],[TEN-N2]]</f>
        <v>64472.023700870297</v>
      </c>
      <c r="Q267" s="9">
        <v>1405.6923474875032</v>
      </c>
      <c r="R267" s="9">
        <f>SUM(Table1[[#This Row],[TEN-CDA]:[TEN-CDA WWT]])</f>
        <v>97494.283903280651</v>
      </c>
      <c r="S267" s="9">
        <v>436.60083801989583</v>
      </c>
      <c r="T267" s="9">
        <v>215.0352848325646</v>
      </c>
      <c r="U267" s="9">
        <v>34.468337066300954</v>
      </c>
      <c r="V267" s="42">
        <v>0.82</v>
      </c>
      <c r="W267" s="9">
        <v>0.05</v>
      </c>
      <c r="X267" s="9">
        <v>75209.332733344898</v>
      </c>
      <c r="Y267" s="9">
        <v>1949.997749704524</v>
      </c>
      <c r="Z267" s="1">
        <v>62260.122392218946</v>
      </c>
      <c r="AA267" s="1">
        <v>2211.9013086513546</v>
      </c>
      <c r="AB267" s="1">
        <v>35084.057512144347</v>
      </c>
      <c r="AC267" s="1">
        <v>52586.807861836402</v>
      </c>
      <c r="AD267" s="1">
        <v>7180.5582105119056</v>
      </c>
      <c r="AE267" s="1">
        <v>2621.8132744391373</v>
      </c>
      <c r="AF267" s="1">
        <v>21.047044348865192</v>
      </c>
      <c r="AG267" s="1"/>
      <c r="AH267" s="1"/>
      <c r="AI267" s="1"/>
      <c r="AJ267" s="1"/>
      <c r="AK267" s="1"/>
      <c r="AL267" s="1"/>
      <c r="AM267" s="1"/>
      <c r="AN267" s="1"/>
      <c r="AO267" s="1"/>
      <c r="AP267" s="1"/>
      <c r="AQ267" s="1"/>
    </row>
    <row r="268" spans="1:43" x14ac:dyDescent="0.3">
      <c r="A268" s="9">
        <f t="shared" si="24"/>
        <v>2020</v>
      </c>
      <c r="B268" s="9">
        <f t="shared" si="25"/>
        <v>9</v>
      </c>
      <c r="C268" s="10">
        <v>44093</v>
      </c>
      <c r="D268" s="9">
        <v>0.214</v>
      </c>
      <c r="E268" s="9">
        <v>0.14599999999999999</v>
      </c>
      <c r="F268" s="9">
        <v>20.009763231879717</v>
      </c>
      <c r="G268" s="9">
        <v>11017.858386916638</v>
      </c>
      <c r="H268" s="9">
        <v>55298.25708600798</v>
      </c>
      <c r="I268" s="9">
        <v>1849.9648617089913</v>
      </c>
      <c r="J268" s="20">
        <v>70.87</v>
      </c>
      <c r="K268" s="9">
        <v>71.58</v>
      </c>
      <c r="L268" s="31">
        <f>Table1[[#This Row],[TN550 I (O2)]]/(Table1[[#This Row],[Flowmeter A]]+Table1[[#This Row],[Flowmeter B]])</f>
        <v>2.3947834988403933E-2</v>
      </c>
      <c r="M268" s="33">
        <f>Table1[[#This Row],[TN120 Venting2]]/100</f>
        <v>7.000000000000001E-4</v>
      </c>
      <c r="N268" s="31">
        <f>Table1[[#This Row],[TN550 I Venting2]]/100</f>
        <v>0</v>
      </c>
      <c r="O268" s="31">
        <f>(Table1[[#This Row],[TN550 I (O2)]]-Table1[[#This Row],[O2]])/Table1[[#This Row],[TN550 I (O2)]]</f>
        <v>0.24149350095789029</v>
      </c>
      <c r="P268" s="9">
        <f>Table1[[#This Row],[M-N2]]+Table1[[#This Row],[TEN-N2]]</f>
        <v>64559.095844509699</v>
      </c>
      <c r="Q268" s="9">
        <v>1403.2103706058076</v>
      </c>
      <c r="R268" s="9">
        <f>SUM(Table1[[#This Row],[TEN-CDA]:[TEN-CDA WWT]])</f>
        <v>97338.656514400776</v>
      </c>
      <c r="S268" s="9">
        <v>437.14425032309242</v>
      </c>
      <c r="T268" s="9">
        <v>216.74887044722632</v>
      </c>
      <c r="U268" s="9">
        <v>35.646643653832569</v>
      </c>
      <c r="V268" s="42">
        <v>7.0000000000000007E-2</v>
      </c>
      <c r="W268" s="9">
        <v>0</v>
      </c>
      <c r="X268" s="9">
        <v>75300.040032963225</v>
      </c>
      <c r="Y268" s="9">
        <v>1949.7348466776543</v>
      </c>
      <c r="Z268" s="1">
        <v>62325.731759086571</v>
      </c>
      <c r="AA268" s="1">
        <v>2233.3640854231276</v>
      </c>
      <c r="AB268" s="1">
        <v>35157.385563952987</v>
      </c>
      <c r="AC268" s="1">
        <v>52449.402644647816</v>
      </c>
      <c r="AD268" s="1">
        <v>7085.0070890576208</v>
      </c>
      <c r="AE268" s="1">
        <v>2631.2008787707105</v>
      </c>
      <c r="AF268" s="1">
        <v>15.660337971646202</v>
      </c>
      <c r="AG268" s="1"/>
      <c r="AH268" s="1"/>
      <c r="AI268" s="1"/>
      <c r="AJ268" s="1"/>
      <c r="AK268" s="1"/>
      <c r="AL268" s="1"/>
      <c r="AM268" s="1"/>
      <c r="AN268" s="1"/>
      <c r="AO268" s="1"/>
      <c r="AP268" s="1"/>
      <c r="AQ268" s="1"/>
    </row>
    <row r="269" spans="1:43" x14ac:dyDescent="0.3">
      <c r="A269" s="9">
        <f t="shared" si="24"/>
        <v>2020</v>
      </c>
      <c r="B269" s="9">
        <f t="shared" si="25"/>
        <v>9</v>
      </c>
      <c r="C269" s="10">
        <v>44094</v>
      </c>
      <c r="D269" s="9">
        <v>0.215</v>
      </c>
      <c r="E269" s="9">
        <v>0.151</v>
      </c>
      <c r="F269" s="9">
        <v>19.783742785536525</v>
      </c>
      <c r="G269" s="9">
        <v>10890.775778945828</v>
      </c>
      <c r="H269" s="9">
        <v>55307.946342600626</v>
      </c>
      <c r="I269" s="9">
        <v>1850.0492840461811</v>
      </c>
      <c r="J269" s="20">
        <v>70.87</v>
      </c>
      <c r="K269" s="9">
        <v>71.459999999999994</v>
      </c>
      <c r="L269" s="31">
        <f>Table1[[#This Row],[TN550 I (O2)]]/(Table1[[#This Row],[Flowmeter A]]+Table1[[#This Row],[Flowmeter B]])</f>
        <v>2.3902039520011083E-2</v>
      </c>
      <c r="M269" s="33">
        <f>Table1[[#This Row],[TN120 Venting2]]/100</f>
        <v>2.5000000000000001E-3</v>
      </c>
      <c r="N269" s="31">
        <f>Table1[[#This Row],[TN550 I Venting2]]/100</f>
        <v>0</v>
      </c>
      <c r="O269" s="31">
        <f>(Table1[[#This Row],[TN550 I (O2)]]-Table1[[#This Row],[O2]])/Table1[[#This Row],[TN550 I (O2)]]</f>
        <v>0.24199245725779486</v>
      </c>
      <c r="P269" s="9">
        <f>Table1[[#This Row],[M-N2]]+Table1[[#This Row],[TEN-N2]]</f>
        <v>64679.030397625618</v>
      </c>
      <c r="Q269" s="9">
        <v>1402.3513117518216</v>
      </c>
      <c r="R269" s="9">
        <f>SUM(Table1[[#This Row],[TEN-CDA]:[TEN-CDA WWT]])</f>
        <v>96401.498908976137</v>
      </c>
      <c r="S269" s="9">
        <v>435.96230683071923</v>
      </c>
      <c r="T269" s="9">
        <v>213.12821532652495</v>
      </c>
      <c r="U269" s="9">
        <v>34.809825666905439</v>
      </c>
      <c r="V269" s="42">
        <v>0.25</v>
      </c>
      <c r="W269" s="9">
        <v>0</v>
      </c>
      <c r="X269" s="9">
        <v>75451.648968815061</v>
      </c>
      <c r="Y269" s="9">
        <v>1949.6657808027192</v>
      </c>
      <c r="Z269" s="1">
        <v>62474.162623069918</v>
      </c>
      <c r="AA269" s="1">
        <v>2204.8677745557015</v>
      </c>
      <c r="AB269" s="1">
        <v>34061.932388803347</v>
      </c>
      <c r="AC269" s="1">
        <v>52565.971357781054</v>
      </c>
      <c r="AD269" s="1">
        <v>7102.1413721618019</v>
      </c>
      <c r="AE269" s="1">
        <v>2654.2916357184681</v>
      </c>
      <c r="AF269" s="1">
        <v>17.162154511458095</v>
      </c>
      <c r="AG269" s="1"/>
      <c r="AH269" s="1"/>
      <c r="AI269" s="1"/>
      <c r="AJ269" s="1"/>
      <c r="AK269" s="1"/>
      <c r="AL269" s="1"/>
      <c r="AM269" s="1"/>
      <c r="AN269" s="1"/>
      <c r="AO269" s="1"/>
      <c r="AP269" s="1"/>
      <c r="AQ269" s="1"/>
    </row>
    <row r="270" spans="1:43" x14ac:dyDescent="0.3">
      <c r="A270" s="9">
        <f t="shared" si="24"/>
        <v>2020</v>
      </c>
      <c r="B270" s="9">
        <f t="shared" si="25"/>
        <v>9</v>
      </c>
      <c r="C270" s="10">
        <v>44095</v>
      </c>
      <c r="D270" s="9">
        <v>0.214</v>
      </c>
      <c r="E270" s="9">
        <v>0.151</v>
      </c>
      <c r="F270" s="9">
        <v>17.759092518887861</v>
      </c>
      <c r="G270" s="9">
        <v>11035.31750208731</v>
      </c>
      <c r="H270" s="9">
        <v>55295.758639291293</v>
      </c>
      <c r="I270" s="9">
        <v>1850.0437830038816</v>
      </c>
      <c r="J270" s="20">
        <v>70.930000000000007</v>
      </c>
      <c r="K270" s="9">
        <v>71.41</v>
      </c>
      <c r="L270" s="31">
        <f>Table1[[#This Row],[TN550 I (O2)]]/(Table1[[#This Row],[Flowmeter A]]+Table1[[#This Row],[Flowmeter B]])</f>
        <v>2.3892731791671205E-2</v>
      </c>
      <c r="M270" s="33">
        <f>Table1[[#This Row],[TN120 Venting2]]/100</f>
        <v>1.4000000000000002E-3</v>
      </c>
      <c r="N270" s="31">
        <f>Table1[[#This Row],[TN550 I Venting2]]/100</f>
        <v>0</v>
      </c>
      <c r="O270" s="31">
        <f>(Table1[[#This Row],[TN550 I (O2)]]-Table1[[#This Row],[O2]])/Table1[[#This Row],[TN550 I (O2)]]</f>
        <v>0.24157142826788455</v>
      </c>
      <c r="P270" s="9">
        <f>Table1[[#This Row],[M-N2]]+Table1[[#This Row],[TEN-N2]]</f>
        <v>64945.397741589091</v>
      </c>
      <c r="Q270" s="9">
        <v>1403.1260639855136</v>
      </c>
      <c r="R270" s="9">
        <f>SUM(Table1[[#This Row],[TEN-CDA]:[TEN-CDA WWT]])</f>
        <v>97041.490786608178</v>
      </c>
      <c r="S270" s="9">
        <v>430.15601977335751</v>
      </c>
      <c r="T270" s="9">
        <v>209.19756897946849</v>
      </c>
      <c r="U270" s="9">
        <v>34.415608594683953</v>
      </c>
      <c r="V270" s="42">
        <v>0.14000000000000001</v>
      </c>
      <c r="W270" s="9">
        <v>0</v>
      </c>
      <c r="X270" s="9">
        <v>75481.279455456286</v>
      </c>
      <c r="Y270" s="9">
        <v>1949.9577565560485</v>
      </c>
      <c r="Z270" s="1">
        <v>62700.990707408047</v>
      </c>
      <c r="AA270" s="1">
        <v>2244.4070341810429</v>
      </c>
      <c r="AB270" s="1">
        <v>34565.552010593769</v>
      </c>
      <c r="AC270" s="1">
        <v>52784.111549054483</v>
      </c>
      <c r="AD270" s="1">
        <v>7018.4771642956284</v>
      </c>
      <c r="AE270" s="1">
        <v>2657.3448546473801</v>
      </c>
      <c r="AF270" s="1">
        <v>16.005208016905126</v>
      </c>
      <c r="AG270" s="1"/>
      <c r="AH270" s="1"/>
      <c r="AI270" s="1"/>
      <c r="AJ270" s="1"/>
      <c r="AK270" s="1"/>
      <c r="AL270" s="1"/>
      <c r="AM270" s="1"/>
      <c r="AN270" s="1"/>
      <c r="AO270" s="1"/>
      <c r="AP270" s="1"/>
      <c r="AQ270" s="1"/>
    </row>
    <row r="271" spans="1:43" x14ac:dyDescent="0.3">
      <c r="A271" s="9">
        <f t="shared" si="24"/>
        <v>2020</v>
      </c>
      <c r="B271" s="9">
        <f t="shared" si="25"/>
        <v>9</v>
      </c>
      <c r="C271" s="10">
        <v>44096</v>
      </c>
      <c r="D271" s="9">
        <v>0.21199999999999999</v>
      </c>
      <c r="E271" s="9">
        <v>0.154</v>
      </c>
      <c r="F271" s="9">
        <v>18.382492119698455</v>
      </c>
      <c r="G271" s="9">
        <v>10816.854097767393</v>
      </c>
      <c r="H271" s="9">
        <v>55299.566826422626</v>
      </c>
      <c r="I271" s="9">
        <v>1850.0701147816728</v>
      </c>
      <c r="J271" s="20">
        <v>70.8</v>
      </c>
      <c r="K271" s="9">
        <v>71.59</v>
      </c>
      <c r="L271" s="31">
        <f>Table1[[#This Row],[TN550 I (O2)]]/(Table1[[#This Row],[Flowmeter A]]+Table1[[#This Row],[Flowmeter B]])</f>
        <v>2.3952288169038514E-2</v>
      </c>
      <c r="M271" s="33">
        <f>Table1[[#This Row],[TN120 Venting2]]/100</f>
        <v>3.4000000000000002E-3</v>
      </c>
      <c r="N271" s="31">
        <f>Table1[[#This Row],[TN550 I Venting2]]/100</f>
        <v>0</v>
      </c>
      <c r="O271" s="31">
        <f>(Table1[[#This Row],[TN550 I (O2)]]-Table1[[#This Row],[O2]])/Table1[[#This Row],[TN550 I (O2)]]</f>
        <v>0.24228947448361518</v>
      </c>
      <c r="P271" s="9">
        <f>Table1[[#This Row],[M-N2]]+Table1[[#This Row],[TEN-N2]]</f>
        <v>64547.555760295581</v>
      </c>
      <c r="Q271" s="9">
        <v>1401.8175989133797</v>
      </c>
      <c r="R271" s="9">
        <f>SUM(Table1[[#This Row],[TEN-CDA]:[TEN-CDA WWT]])</f>
        <v>96915.563081651824</v>
      </c>
      <c r="S271" s="9">
        <v>434.91882146323081</v>
      </c>
      <c r="T271" s="9">
        <v>217.80587702857125</v>
      </c>
      <c r="U271" s="9">
        <v>35.085779842612318</v>
      </c>
      <c r="V271" s="42">
        <v>0.34</v>
      </c>
      <c r="W271" s="9">
        <v>0</v>
      </c>
      <c r="X271" s="9">
        <v>75289.22617756766</v>
      </c>
      <c r="Y271" s="9">
        <v>1950.5807972470559</v>
      </c>
      <c r="Z271" s="1">
        <v>62263.81054009802</v>
      </c>
      <c r="AA271" s="1">
        <v>2283.7452201975625</v>
      </c>
      <c r="AB271" s="1">
        <v>34432.20897759802</v>
      </c>
      <c r="AC271" s="1">
        <v>52789.676827615374</v>
      </c>
      <c r="AD271" s="1">
        <v>7052.5973462032662</v>
      </c>
      <c r="AE271" s="1">
        <v>2624.8532880879707</v>
      </c>
      <c r="AF271" s="1">
        <v>16.226642147202941</v>
      </c>
      <c r="AG271" s="1"/>
      <c r="AH271" s="1"/>
      <c r="AI271" s="1"/>
      <c r="AJ271" s="1"/>
      <c r="AK271" s="1"/>
      <c r="AL271" s="1"/>
      <c r="AM271" s="1"/>
      <c r="AN271" s="1"/>
      <c r="AO271" s="1"/>
      <c r="AP271" s="1"/>
      <c r="AQ271" s="1"/>
    </row>
    <row r="272" spans="1:43" x14ac:dyDescent="0.3">
      <c r="A272" s="9">
        <f t="shared" si="24"/>
        <v>2020</v>
      </c>
      <c r="B272" s="9">
        <f t="shared" si="25"/>
        <v>9</v>
      </c>
      <c r="C272" s="10">
        <v>44097</v>
      </c>
      <c r="D272" s="9">
        <v>0.214</v>
      </c>
      <c r="E272" s="9">
        <v>0.152</v>
      </c>
      <c r="F272" s="9">
        <v>19.342096529926881</v>
      </c>
      <c r="G272" s="9">
        <v>10833.477846059594</v>
      </c>
      <c r="H272" s="9">
        <v>55293.155604831714</v>
      </c>
      <c r="I272" s="9">
        <v>1850.088666419533</v>
      </c>
      <c r="J272" s="20">
        <v>70.8</v>
      </c>
      <c r="K272" s="9">
        <v>71.58</v>
      </c>
      <c r="L272" s="31">
        <f>Table1[[#This Row],[TN550 I (O2)]]/(Table1[[#This Row],[Flowmeter A]]+Table1[[#This Row],[Flowmeter B]])</f>
        <v>2.394968875997287E-2</v>
      </c>
      <c r="M272" s="33">
        <f>Table1[[#This Row],[TN120 Venting2]]/100</f>
        <v>4.7999999999999996E-3</v>
      </c>
      <c r="N272" s="31">
        <f>Table1[[#This Row],[TN550 I Venting2]]/100</f>
        <v>0</v>
      </c>
      <c r="O272" s="31">
        <f>(Table1[[#This Row],[TN550 I (O2)]]-Table1[[#This Row],[O2]])/Table1[[#This Row],[TN550 I (O2)]]</f>
        <v>0.2449463289031783</v>
      </c>
      <c r="P272" s="9">
        <f>Table1[[#This Row],[M-N2]]+Table1[[#This Row],[TEN-N2]]</f>
        <v>64648.862460049713</v>
      </c>
      <c r="Q272" s="9">
        <v>1396.9162394346915</v>
      </c>
      <c r="R272" s="9">
        <f>SUM(Table1[[#This Row],[TEN-CDA]:[TEN-CDA WWT]])</f>
        <v>96957.98108351171</v>
      </c>
      <c r="S272" s="9">
        <v>431.4969554639045</v>
      </c>
      <c r="T272" s="9">
        <v>215.4147649866934</v>
      </c>
      <c r="U272" s="9">
        <v>33.840195015848387</v>
      </c>
      <c r="V272" s="42">
        <v>0.48</v>
      </c>
      <c r="W272" s="9">
        <v>0</v>
      </c>
      <c r="X272" s="9">
        <v>75298.768254467388</v>
      </c>
      <c r="Y272" s="9">
        <v>1950.1966469716397</v>
      </c>
      <c r="Z272" s="1">
        <v>62364.918313020469</v>
      </c>
      <c r="AA272" s="1">
        <v>2283.944147029244</v>
      </c>
      <c r="AB272" s="1">
        <v>34574.03412479398</v>
      </c>
      <c r="AC272" s="1">
        <v>52621.676082147816</v>
      </c>
      <c r="AD272" s="1">
        <v>7141.4119792570264</v>
      </c>
      <c r="AE272" s="1">
        <v>2603.5759760203414</v>
      </c>
      <c r="AF272" s="1">
        <v>17.28292129255216</v>
      </c>
      <c r="AG272" s="1"/>
      <c r="AH272" s="1"/>
      <c r="AI272" s="1"/>
      <c r="AJ272" s="1"/>
      <c r="AK272" s="1"/>
      <c r="AL272" s="1"/>
      <c r="AM272" s="1"/>
      <c r="AN272" s="1"/>
      <c r="AO272" s="1"/>
      <c r="AP272" s="1"/>
      <c r="AQ272" s="1"/>
    </row>
    <row r="273" spans="1:43" x14ac:dyDescent="0.3">
      <c r="A273" s="9">
        <f t="shared" si="24"/>
        <v>2020</v>
      </c>
      <c r="B273" s="9">
        <f t="shared" si="25"/>
        <v>9</v>
      </c>
      <c r="C273" s="10">
        <v>44098</v>
      </c>
      <c r="D273" s="9">
        <v>0.21099999999999999</v>
      </c>
      <c r="E273" s="9">
        <v>0.159</v>
      </c>
      <c r="F273" s="9">
        <v>19.557715648251389</v>
      </c>
      <c r="G273" s="9">
        <v>10780.486796414163</v>
      </c>
      <c r="H273" s="9">
        <v>55239.552632720333</v>
      </c>
      <c r="I273" s="9">
        <v>1849.9137173824056</v>
      </c>
      <c r="J273" s="20">
        <v>70.92</v>
      </c>
      <c r="K273" s="9">
        <v>71.66</v>
      </c>
      <c r="L273" s="31">
        <f>Table1[[#This Row],[TN550 I (O2)]]/(Table1[[#This Row],[Flowmeter A]]+Table1[[#This Row],[Flowmeter B]])</f>
        <v>2.39974796169867E-2</v>
      </c>
      <c r="M273" s="33">
        <f>Table1[[#This Row],[TN120 Venting2]]/100</f>
        <v>6.9999999999999993E-3</v>
      </c>
      <c r="N273" s="31">
        <f>Table1[[#This Row],[TN550 I Venting2]]/100</f>
        <v>0</v>
      </c>
      <c r="O273" s="31">
        <f>(Table1[[#This Row],[TN550 I (O2)]]-Table1[[#This Row],[O2]])/Table1[[#This Row],[TN550 I (O2)]]</f>
        <v>0.24230514384687621</v>
      </c>
      <c r="P273" s="9">
        <f>Table1[[#This Row],[M-N2]]+Table1[[#This Row],[TEN-N2]]</f>
        <v>64520.250498107867</v>
      </c>
      <c r="Q273" s="9">
        <v>1401.6701079877523</v>
      </c>
      <c r="R273" s="9">
        <f>SUM(Table1[[#This Row],[TEN-CDA]:[TEN-CDA WWT]])</f>
        <v>96790.131826632991</v>
      </c>
      <c r="S273" s="9">
        <v>433.5198211987593</v>
      </c>
      <c r="T273" s="9">
        <v>213.17744578163629</v>
      </c>
      <c r="U273" s="9">
        <v>33.929448158851848</v>
      </c>
      <c r="V273" s="42">
        <v>0.7</v>
      </c>
      <c r="W273" s="9">
        <v>0</v>
      </c>
      <c r="X273" s="9">
        <v>75137.382481783483</v>
      </c>
      <c r="Y273" s="9">
        <v>1950.4511952555731</v>
      </c>
      <c r="Z273" s="1">
        <v>62228.328162951075</v>
      </c>
      <c r="AA273" s="1">
        <v>2291.9223351567921</v>
      </c>
      <c r="AB273" s="1">
        <v>34367.983277129599</v>
      </c>
      <c r="AC273" s="1">
        <v>52606.956844205415</v>
      </c>
      <c r="AD273" s="1">
        <v>7225.687178432403</v>
      </c>
      <c r="AE273" s="1">
        <v>2570.9782284505659</v>
      </c>
      <c r="AF273" s="1">
        <v>18.526298415021795</v>
      </c>
      <c r="AG273" s="1"/>
      <c r="AH273" s="1"/>
      <c r="AI273" s="1"/>
      <c r="AJ273" s="1"/>
      <c r="AK273" s="1"/>
      <c r="AL273" s="1"/>
      <c r="AM273" s="1"/>
      <c r="AN273" s="1"/>
      <c r="AO273" s="1"/>
      <c r="AP273" s="1"/>
      <c r="AQ273" s="1"/>
    </row>
    <row r="274" spans="1:43" x14ac:dyDescent="0.3">
      <c r="A274" s="9">
        <f t="shared" si="24"/>
        <v>2020</v>
      </c>
      <c r="B274" s="9">
        <f t="shared" si="25"/>
        <v>9</v>
      </c>
      <c r="C274" s="10">
        <v>44099</v>
      </c>
      <c r="D274" s="9">
        <v>0.214</v>
      </c>
      <c r="E274" s="9">
        <v>0.158</v>
      </c>
      <c r="F274" s="9">
        <v>20.341240966923944</v>
      </c>
      <c r="G274" s="9">
        <v>10862.932777124175</v>
      </c>
      <c r="H274" s="9">
        <v>55302.313860817143</v>
      </c>
      <c r="I274" s="9">
        <v>1850.1022820456171</v>
      </c>
      <c r="J274" s="20">
        <v>70.849999999999994</v>
      </c>
      <c r="K274" s="9">
        <v>71.59</v>
      </c>
      <c r="L274" s="31">
        <f>Table1[[#This Row],[TN550 I (O2)]]/(Table1[[#This Row],[Flowmeter A]]+Table1[[#This Row],[Flowmeter B]])</f>
        <v>2.3950172331951302E-2</v>
      </c>
      <c r="M274" s="33">
        <f>Table1[[#This Row],[TN120 Venting2]]/100</f>
        <v>5.1999999999999998E-3</v>
      </c>
      <c r="N274" s="31">
        <f>Table1[[#This Row],[TN550 I Venting2]]/100</f>
        <v>1E-4</v>
      </c>
      <c r="O274" s="31">
        <f>(Table1[[#This Row],[TN550 I (O2)]]-Table1[[#This Row],[O2]])/Table1[[#This Row],[TN550 I (O2)]]</f>
        <v>0.24047291850783811</v>
      </c>
      <c r="P274" s="9">
        <f>Table1[[#This Row],[M-N2]]+Table1[[#This Row],[TEN-N2]]</f>
        <v>64592.891800043231</v>
      </c>
      <c r="Q274" s="9">
        <v>1405.2027867440961</v>
      </c>
      <c r="R274" s="9">
        <f>SUM(Table1[[#This Row],[TEN-CDA]:[TEN-CDA WWT]])</f>
        <v>97123.733596360355</v>
      </c>
      <c r="S274" s="9">
        <v>429.00621775005698</v>
      </c>
      <c r="T274" s="9">
        <v>210.65951552910576</v>
      </c>
      <c r="U274" s="9">
        <v>34.615249707912255</v>
      </c>
      <c r="V274" s="42">
        <v>0.52</v>
      </c>
      <c r="W274" s="9">
        <v>0.01</v>
      </c>
      <c r="X274" s="9">
        <v>75297.753057772381</v>
      </c>
      <c r="Y274" s="9">
        <v>1950.2206270534243</v>
      </c>
      <c r="Z274" s="1">
        <v>62323.311415683551</v>
      </c>
      <c r="AA274" s="1">
        <v>2269.5803843596841</v>
      </c>
      <c r="AB274" s="1">
        <v>34754.509314278279</v>
      </c>
      <c r="AC274" s="1">
        <v>52530.841304866415</v>
      </c>
      <c r="AD274" s="1">
        <v>7200.2253074037126</v>
      </c>
      <c r="AE274" s="1">
        <v>2619.7379069914018</v>
      </c>
      <c r="AF274" s="1">
        <v>18.419762820550897</v>
      </c>
      <c r="AG274" s="1"/>
      <c r="AH274" s="1"/>
      <c r="AI274" s="1"/>
      <c r="AJ274" s="1"/>
      <c r="AK274" s="1"/>
      <c r="AL274" s="1"/>
      <c r="AM274" s="1"/>
      <c r="AN274" s="1"/>
      <c r="AO274" s="1"/>
      <c r="AP274" s="1"/>
      <c r="AQ274" s="1"/>
    </row>
    <row r="275" spans="1:43" x14ac:dyDescent="0.3">
      <c r="A275" s="9">
        <f t="shared" si="24"/>
        <v>2020</v>
      </c>
      <c r="B275" s="9">
        <f t="shared" si="25"/>
        <v>9</v>
      </c>
      <c r="C275" s="10">
        <v>44100</v>
      </c>
      <c r="D275" s="9">
        <v>0.214</v>
      </c>
      <c r="E275" s="9">
        <v>0.16200000000000001</v>
      </c>
      <c r="F275" s="9">
        <v>20.589641343380823</v>
      </c>
      <c r="G275" s="9">
        <v>11073.288930348934</v>
      </c>
      <c r="H275" s="9">
        <v>55301.468958730919</v>
      </c>
      <c r="I275" s="9">
        <v>1850.106275464494</v>
      </c>
      <c r="J275" s="20">
        <v>70.8</v>
      </c>
      <c r="K275" s="9">
        <v>71.58</v>
      </c>
      <c r="L275" s="31">
        <f>Table1[[#This Row],[TN550 I (O2)]]/(Table1[[#This Row],[Flowmeter A]]+Table1[[#This Row],[Flowmeter B]])</f>
        <v>2.3946092963474542E-2</v>
      </c>
      <c r="M275" s="33">
        <f>Table1[[#This Row],[TN120 Venting2]]/100</f>
        <v>7.000000000000001E-4</v>
      </c>
      <c r="N275" s="31">
        <f>Table1[[#This Row],[TN550 I Venting2]]/100</f>
        <v>0</v>
      </c>
      <c r="O275" s="31">
        <f>(Table1[[#This Row],[TN550 I (O2)]]-Table1[[#This Row],[O2]])/Table1[[#This Row],[TN550 I (O2)]]</f>
        <v>0.24149437754233455</v>
      </c>
      <c r="P275" s="9">
        <f>Table1[[#This Row],[M-N2]]+Table1[[#This Row],[TEN-N2]]</f>
        <v>64593.519626720685</v>
      </c>
      <c r="Q275" s="9">
        <v>1403.3160120840291</v>
      </c>
      <c r="R275" s="9">
        <f>SUM(Table1[[#This Row],[TEN-CDA]:[TEN-CDA WWT]])</f>
        <v>97925.076846892829</v>
      </c>
      <c r="S275" s="9">
        <v>433.17360899565864</v>
      </c>
      <c r="T275" s="9">
        <v>210.62158086645695</v>
      </c>
      <c r="U275" s="9">
        <v>35.918928080180883</v>
      </c>
      <c r="V275" s="42">
        <v>7.0000000000000007E-2</v>
      </c>
      <c r="W275" s="9">
        <v>0</v>
      </c>
      <c r="X275" s="9">
        <v>75311.494882026367</v>
      </c>
      <c r="Y275" s="9">
        <v>1949.8052510057032</v>
      </c>
      <c r="Z275" s="1">
        <v>62367.819786606531</v>
      </c>
      <c r="AA275" s="1">
        <v>2225.6998401141514</v>
      </c>
      <c r="AB275" s="1">
        <v>35415.43515516568</v>
      </c>
      <c r="AC275" s="1">
        <v>52632.477963979007</v>
      </c>
      <c r="AD275" s="1">
        <v>7223.3570837038078</v>
      </c>
      <c r="AE275" s="1">
        <v>2633.5077525237466</v>
      </c>
      <c r="AF275" s="1">
        <v>20.298891520594285</v>
      </c>
      <c r="AG275" s="1"/>
      <c r="AH275" s="1"/>
      <c r="AI275" s="1"/>
      <c r="AJ275" s="1"/>
      <c r="AK275" s="1"/>
      <c r="AL275" s="1"/>
      <c r="AM275" s="1"/>
      <c r="AN275" s="1"/>
      <c r="AO275" s="1"/>
      <c r="AP275" s="1"/>
      <c r="AQ275" s="1"/>
    </row>
    <row r="276" spans="1:43" x14ac:dyDescent="0.3">
      <c r="A276" s="9">
        <f t="shared" si="24"/>
        <v>2020</v>
      </c>
      <c r="B276" s="9">
        <f t="shared" si="25"/>
        <v>9</v>
      </c>
      <c r="C276" s="10">
        <v>44101</v>
      </c>
      <c r="D276" s="9">
        <v>0.21299999999999999</v>
      </c>
      <c r="E276" s="9">
        <v>0.159</v>
      </c>
      <c r="F276" s="9">
        <v>20.522829164323667</v>
      </c>
      <c r="G276" s="9">
        <v>10852.343970929476</v>
      </c>
      <c r="H276" s="9">
        <v>55297.329832798401</v>
      </c>
      <c r="I276" s="9">
        <v>1850.0253954535967</v>
      </c>
      <c r="J276" s="20">
        <v>70.900000000000006</v>
      </c>
      <c r="K276" s="9">
        <v>71.58</v>
      </c>
      <c r="L276" s="31">
        <f>Table1[[#This Row],[TN550 I (O2)]]/(Table1[[#This Row],[Flowmeter A]]+Table1[[#This Row],[Flowmeter B]])</f>
        <v>2.3948050254992664E-2</v>
      </c>
      <c r="M276" s="33">
        <f>Table1[[#This Row],[TN120 Venting2]]/100</f>
        <v>4.4000000000000003E-3</v>
      </c>
      <c r="N276" s="31">
        <f>Table1[[#This Row],[TN550 I Venting2]]/100</f>
        <v>0</v>
      </c>
      <c r="O276" s="31">
        <f>(Table1[[#This Row],[TN550 I (O2)]]-Table1[[#This Row],[O2]])/Table1[[#This Row],[TN550 I (O2)]]</f>
        <v>0.24055612515717184</v>
      </c>
      <c r="P276" s="9">
        <f>Table1[[#This Row],[M-N2]]+Table1[[#This Row],[TEN-N2]]</f>
        <v>64360.027307408454</v>
      </c>
      <c r="Q276" s="9">
        <v>1404.990454880915</v>
      </c>
      <c r="R276" s="9">
        <f>SUM(Table1[[#This Row],[TEN-CDA]:[TEN-CDA WWT]])</f>
        <v>96686.074116724398</v>
      </c>
      <c r="S276" s="9">
        <v>438.21356631086405</v>
      </c>
      <c r="T276" s="9">
        <v>218.57386407051376</v>
      </c>
      <c r="U276" s="9">
        <v>35.745828473675509</v>
      </c>
      <c r="V276" s="42">
        <v>0.44</v>
      </c>
      <c r="W276" s="9">
        <v>0</v>
      </c>
      <c r="X276" s="9">
        <v>75301.6753827637</v>
      </c>
      <c r="Y276" s="9">
        <v>1949.9328172777696</v>
      </c>
      <c r="Z276" s="1">
        <v>62156.203154818701</v>
      </c>
      <c r="AA276" s="1">
        <v>2203.8241525897542</v>
      </c>
      <c r="AB276" s="1">
        <v>34336.064371801265</v>
      </c>
      <c r="AC276" s="1">
        <v>52591.99866357998</v>
      </c>
      <c r="AD276" s="1">
        <v>7092.5077000021683</v>
      </c>
      <c r="AE276" s="1">
        <v>2640.9339241276675</v>
      </c>
      <c r="AF276" s="1">
        <v>24.569457213314848</v>
      </c>
      <c r="AG276" s="1"/>
      <c r="AH276" s="1"/>
      <c r="AI276" s="1"/>
      <c r="AJ276" s="1"/>
      <c r="AK276" s="1"/>
      <c r="AL276" s="1"/>
      <c r="AM276" s="1"/>
      <c r="AN276" s="1"/>
      <c r="AO276" s="1"/>
      <c r="AP276" s="1"/>
      <c r="AQ276" s="1"/>
    </row>
    <row r="277" spans="1:43" x14ac:dyDescent="0.3">
      <c r="A277" s="9">
        <f t="shared" si="24"/>
        <v>2020</v>
      </c>
      <c r="B277" s="9">
        <f t="shared" si="25"/>
        <v>9</v>
      </c>
      <c r="C277" s="10">
        <v>44102</v>
      </c>
      <c r="D277" s="9">
        <v>0.214</v>
      </c>
      <c r="E277" s="9">
        <v>0.16400000000000001</v>
      </c>
      <c r="F277" s="9">
        <v>20.709522711908047</v>
      </c>
      <c r="G277" s="9">
        <v>10615.674743694701</v>
      </c>
      <c r="H277" s="9">
        <v>55306.676163471544</v>
      </c>
      <c r="I277" s="9">
        <v>1850.1324361235961</v>
      </c>
      <c r="J277" s="20">
        <v>71</v>
      </c>
      <c r="K277" s="9">
        <v>71.59</v>
      </c>
      <c r="L277" s="31">
        <f>Table1[[#This Row],[TN550 I (O2)]]/(Table1[[#This Row],[Flowmeter A]]+Table1[[#This Row],[Flowmeter B]])</f>
        <v>2.3946916210062723E-2</v>
      </c>
      <c r="M277" s="33">
        <f>Table1[[#This Row],[TN120 Venting2]]/100</f>
        <v>1.23E-2</v>
      </c>
      <c r="N277" s="31">
        <f>Table1[[#This Row],[TN550 I Venting2]]/100</f>
        <v>0</v>
      </c>
      <c r="O277" s="31">
        <f>(Table1[[#This Row],[TN550 I (O2)]]-Table1[[#This Row],[O2]])/Table1[[#This Row],[TN550 I (O2)]]</f>
        <v>0.24167762535995041</v>
      </c>
      <c r="P277" s="9">
        <f>Table1[[#This Row],[M-N2]]+Table1[[#This Row],[TEN-N2]]</f>
        <v>64353.859716729108</v>
      </c>
      <c r="Q277" s="9">
        <v>1402.9968223598253</v>
      </c>
      <c r="R277" s="9">
        <f>SUM(Table1[[#This Row],[TEN-CDA]:[TEN-CDA WWT]])</f>
        <v>97327.792527185782</v>
      </c>
      <c r="S277" s="9">
        <v>430.66107779191162</v>
      </c>
      <c r="T277" s="9">
        <v>215.16767721288656</v>
      </c>
      <c r="U277" s="9">
        <v>36.037027087664953</v>
      </c>
      <c r="V277" s="42">
        <v>1.23</v>
      </c>
      <c r="W277" s="9">
        <v>0</v>
      </c>
      <c r="X277" s="9">
        <v>75309.586159784871</v>
      </c>
      <c r="Y277" s="9">
        <v>1950.1503296322001</v>
      </c>
      <c r="Z277" s="1">
        <v>62134.233599713742</v>
      </c>
      <c r="AA277" s="1">
        <v>2219.6261170153648</v>
      </c>
      <c r="AB277" s="1">
        <v>34750.885301006245</v>
      </c>
      <c r="AC277" s="1">
        <v>52760.968988549619</v>
      </c>
      <c r="AD277" s="1">
        <v>7119.6443631809507</v>
      </c>
      <c r="AE277" s="1">
        <v>2669.70355381327</v>
      </c>
      <c r="AF277" s="1">
        <v>26.590320635687799</v>
      </c>
      <c r="AG277" s="1"/>
      <c r="AH277" s="1"/>
      <c r="AI277" s="1"/>
      <c r="AJ277" s="1"/>
      <c r="AK277" s="1"/>
      <c r="AL277" s="1"/>
      <c r="AM277" s="1"/>
      <c r="AN277" s="1"/>
      <c r="AO277" s="1"/>
      <c r="AP277" s="1"/>
      <c r="AQ277" s="1"/>
    </row>
    <row r="278" spans="1:43" x14ac:dyDescent="0.3">
      <c r="A278" s="9">
        <f t="shared" si="24"/>
        <v>2020</v>
      </c>
      <c r="B278" s="9">
        <f t="shared" si="25"/>
        <v>9</v>
      </c>
      <c r="C278" s="10">
        <v>44103</v>
      </c>
      <c r="D278" s="9">
        <v>0.215</v>
      </c>
      <c r="E278" s="9">
        <v>0.16300000000000001</v>
      </c>
      <c r="F278" s="9">
        <v>20.54215459671391</v>
      </c>
      <c r="G278" s="9">
        <v>10677.03545240393</v>
      </c>
      <c r="H278" s="9">
        <v>55300.553979983517</v>
      </c>
      <c r="I278" s="9">
        <v>1849.9288242824537</v>
      </c>
      <c r="J278" s="20">
        <v>70.959999999999994</v>
      </c>
      <c r="K278" s="9">
        <v>71.599999999999994</v>
      </c>
      <c r="L278" s="31">
        <f>Table1[[#This Row],[TN550 I (O2)]]/(Table1[[#This Row],[Flowmeter A]]+Table1[[#This Row],[Flowmeter B]])</f>
        <v>2.3952466242408987E-2</v>
      </c>
      <c r="M278" s="33">
        <f>Table1[[#This Row],[TN120 Venting2]]/100</f>
        <v>9.3999999999999986E-3</v>
      </c>
      <c r="N278" s="31">
        <f>Table1[[#This Row],[TN550 I Venting2]]/100</f>
        <v>0</v>
      </c>
      <c r="O278" s="31">
        <f>(Table1[[#This Row],[TN550 I (O2)]]-Table1[[#This Row],[O2]])/Table1[[#This Row],[TN550 I (O2)]]</f>
        <v>0.24079491084541652</v>
      </c>
      <c r="P278" s="9">
        <f>Table1[[#This Row],[M-N2]]+Table1[[#This Row],[TEN-N2]]</f>
        <v>64378.035237997297</v>
      </c>
      <c r="Q278" s="9">
        <v>1404.4753779689941</v>
      </c>
      <c r="R278" s="9">
        <f>SUM(Table1[[#This Row],[TEN-CDA]:[TEN-CDA WWT]])</f>
        <v>96884.849074967351</v>
      </c>
      <c r="S278" s="9">
        <v>434.19045236919754</v>
      </c>
      <c r="T278" s="9">
        <v>216.32520026816505</v>
      </c>
      <c r="U278" s="9">
        <v>35.734382985450594</v>
      </c>
      <c r="V278" s="42">
        <v>0.94</v>
      </c>
      <c r="W278" s="9">
        <v>0</v>
      </c>
      <c r="X278" s="9">
        <v>75283.327062369877</v>
      </c>
      <c r="Y278" s="9">
        <v>1950.006889983898</v>
      </c>
      <c r="Z278" s="1">
        <v>62168.372272944136</v>
      </c>
      <c r="AA278" s="1">
        <v>2209.6629650531586</v>
      </c>
      <c r="AB278" s="1">
        <v>34284.706316956537</v>
      </c>
      <c r="AC278" s="1">
        <v>52810.041767869538</v>
      </c>
      <c r="AD278" s="1">
        <v>7099.7802815698733</v>
      </c>
      <c r="AE278" s="1">
        <v>2662.3240083248397</v>
      </c>
      <c r="AF278" s="1">
        <v>27.996700246566952</v>
      </c>
      <c r="AG278" s="1"/>
      <c r="AH278" s="1"/>
      <c r="AI278" s="1"/>
      <c r="AJ278" s="1"/>
      <c r="AK278" s="1"/>
      <c r="AL278" s="1"/>
      <c r="AM278" s="1"/>
      <c r="AN278" s="1"/>
      <c r="AO278" s="1"/>
      <c r="AP278" s="1"/>
      <c r="AQ278" s="1"/>
    </row>
    <row r="279" spans="1:43" x14ac:dyDescent="0.3">
      <c r="A279" s="9">
        <f t="shared" si="24"/>
        <v>2020</v>
      </c>
      <c r="B279" s="9">
        <f t="shared" si="25"/>
        <v>9</v>
      </c>
      <c r="C279" s="10">
        <v>44104</v>
      </c>
      <c r="D279" s="9">
        <v>0.21199999999999999</v>
      </c>
      <c r="E279" s="9">
        <v>0.16400000000000001</v>
      </c>
      <c r="F279" s="9">
        <v>20.276613767572279</v>
      </c>
      <c r="G279" s="9">
        <v>10682.034147835704</v>
      </c>
      <c r="H279" s="9">
        <v>55304.334367951946</v>
      </c>
      <c r="I279" s="9">
        <v>1850.1752318912377</v>
      </c>
      <c r="J279" s="20">
        <v>70.959999999999994</v>
      </c>
      <c r="K279" s="9">
        <v>71.62</v>
      </c>
      <c r="L279" s="31">
        <f>Table1[[#This Row],[TN550 I (O2)]]/(Table1[[#This Row],[Flowmeter A]]+Table1[[#This Row],[Flowmeter B]])</f>
        <v>2.3960086525198491E-2</v>
      </c>
      <c r="M279" s="33">
        <f>Table1[[#This Row],[TN120 Venting2]]/100</f>
        <v>8.6999999999999994E-3</v>
      </c>
      <c r="N279" s="31">
        <f>Table1[[#This Row],[TN550 I Venting2]]/100</f>
        <v>0</v>
      </c>
      <c r="O279" s="31">
        <f>(Table1[[#This Row],[TN550 I (O2)]]-Table1[[#This Row],[O2]])/Table1[[#This Row],[TN550 I (O2)]]</f>
        <v>0.24125855380119232</v>
      </c>
      <c r="P279" s="9">
        <f>Table1[[#This Row],[M-N2]]+Table1[[#This Row],[TEN-N2]]</f>
        <v>64552.39758258425</v>
      </c>
      <c r="Q279" s="9">
        <v>1403.804631166372</v>
      </c>
      <c r="R279" s="9">
        <f>SUM(Table1[[#This Row],[TEN-CDA]:[TEN-CDA WWT]])</f>
        <v>97035.990311544097</v>
      </c>
      <c r="S279" s="9">
        <v>430.54410507975155</v>
      </c>
      <c r="T279" s="9">
        <v>212.51370040184091</v>
      </c>
      <c r="U279" s="9">
        <v>34.634702679847862</v>
      </c>
      <c r="V279" s="42">
        <v>0.87</v>
      </c>
      <c r="W279" s="9">
        <v>0</v>
      </c>
      <c r="X279" s="9">
        <v>75269.009693789034</v>
      </c>
      <c r="Y279" s="9">
        <v>1950.0450014197768</v>
      </c>
      <c r="Z279" s="1">
        <v>62359.694022163429</v>
      </c>
      <c r="AA279" s="1">
        <v>2192.7035604208231</v>
      </c>
      <c r="AB279" s="1">
        <v>34438.687807674789</v>
      </c>
      <c r="AC279" s="1">
        <v>52725.29679909785</v>
      </c>
      <c r="AD279" s="1">
        <v>7195.4846826747917</v>
      </c>
      <c r="AE279" s="1">
        <v>2649.797388864341</v>
      </c>
      <c r="AF279" s="1">
        <v>26.723633232328066</v>
      </c>
      <c r="AG279" s="1"/>
      <c r="AH279" s="1"/>
      <c r="AI279" s="1"/>
      <c r="AJ279" s="1"/>
      <c r="AK279" s="1"/>
      <c r="AL279" s="1"/>
      <c r="AM279" s="1"/>
      <c r="AN279" s="1"/>
      <c r="AO279" s="1"/>
      <c r="AP279" s="1"/>
      <c r="AQ279" s="1"/>
    </row>
    <row r="280" spans="1:43" x14ac:dyDescent="0.3">
      <c r="A280" s="9">
        <f t="shared" si="24"/>
        <v>2020</v>
      </c>
      <c r="B280" s="9">
        <f t="shared" si="25"/>
        <v>10</v>
      </c>
      <c r="C280" s="10">
        <v>44105</v>
      </c>
      <c r="D280" s="9">
        <v>0.20899999999999999</v>
      </c>
      <c r="E280" s="9">
        <v>0.157</v>
      </c>
      <c r="F280" s="9">
        <v>19.302236697311457</v>
      </c>
      <c r="G280" s="9">
        <v>10808.374695036</v>
      </c>
      <c r="H280" s="9">
        <v>55301.441080955075</v>
      </c>
      <c r="I280" s="9">
        <v>1849.9652054711896</v>
      </c>
      <c r="J280" s="20">
        <v>70.930000000000007</v>
      </c>
      <c r="K280" s="9">
        <v>71.58</v>
      </c>
      <c r="L280" s="31">
        <f>Table1[[#This Row],[TN550 I (O2)]]/(Table1[[#This Row],[Flowmeter A]]+Table1[[#This Row],[Flowmeter B]])</f>
        <v>2.3945509732140088E-2</v>
      </c>
      <c r="M280" s="33">
        <f>Table1[[#This Row],[TN120 Venting2]]/100</f>
        <v>5.5000000000000005E-3</v>
      </c>
      <c r="N280" s="31">
        <f>Table1[[#This Row],[TN550 I Venting2]]/100</f>
        <v>0</v>
      </c>
      <c r="O280" s="31">
        <f>(Table1[[#This Row],[TN550 I (O2)]]-Table1[[#This Row],[O2]])/Table1[[#This Row],[TN550 I (O2)]]</f>
        <v>0.2420717762391589</v>
      </c>
      <c r="P280" s="9">
        <f>Table1[[#This Row],[M-N2]]+Table1[[#This Row],[TEN-N2]]</f>
        <v>64877.043466264877</v>
      </c>
      <c r="Q280" s="9">
        <v>1402.1408422021382</v>
      </c>
      <c r="R280" s="9">
        <f>SUM(Table1[[#This Row],[TEN-CDA]:[TEN-CDA WWT]])</f>
        <v>97561.649265744229</v>
      </c>
      <c r="S280" s="9">
        <v>436.42159839341576</v>
      </c>
      <c r="T280" s="9">
        <v>210.27296230678837</v>
      </c>
      <c r="U280" s="9">
        <v>35.537544969218544</v>
      </c>
      <c r="V280" s="42">
        <v>0.55000000000000004</v>
      </c>
      <c r="W280" s="9">
        <v>0</v>
      </c>
      <c r="X280" s="9">
        <v>75307.445795020816</v>
      </c>
      <c r="Y280" s="9">
        <v>1949.8448688790336</v>
      </c>
      <c r="Z280" s="1">
        <v>62670.17098586051</v>
      </c>
      <c r="AA280" s="1">
        <v>2206.8724804043686</v>
      </c>
      <c r="AB280" s="1">
        <v>34821.762058954286</v>
      </c>
      <c r="AC280" s="1">
        <v>52892.263703049095</v>
      </c>
      <c r="AD280" s="1">
        <v>7181.6232837303742</v>
      </c>
      <c r="AE280" s="1">
        <v>2640.7577138949732</v>
      </c>
      <c r="AF280" s="1">
        <v>25.242506115503922</v>
      </c>
      <c r="AG280" s="1"/>
      <c r="AH280" s="1"/>
      <c r="AI280" s="1"/>
      <c r="AJ280" s="1"/>
      <c r="AK280" s="1"/>
      <c r="AL280" s="1"/>
      <c r="AM280" s="1"/>
      <c r="AN280" s="1"/>
      <c r="AO280" s="1"/>
      <c r="AP280" s="1"/>
      <c r="AQ280" s="1"/>
    </row>
    <row r="281" spans="1:43" x14ac:dyDescent="0.3">
      <c r="A281" s="9">
        <f t="shared" si="24"/>
        <v>2020</v>
      </c>
      <c r="B281" s="9">
        <f t="shared" si="25"/>
        <v>10</v>
      </c>
      <c r="C281" s="10">
        <v>44106</v>
      </c>
      <c r="D281" s="9">
        <v>0.21099999999999999</v>
      </c>
      <c r="E281" s="9">
        <v>0.157</v>
      </c>
      <c r="F281" s="9">
        <v>16.705991561010759</v>
      </c>
      <c r="G281" s="9">
        <v>11047.069354248048</v>
      </c>
      <c r="H281" s="9">
        <v>55297.531689148163</v>
      </c>
      <c r="I281" s="9">
        <v>1835.7992356755019</v>
      </c>
      <c r="J281" s="20">
        <v>70.900000000000006</v>
      </c>
      <c r="K281" s="9">
        <v>71.59</v>
      </c>
      <c r="L281" s="31">
        <f>Table1[[#This Row],[TN550 I (O2)]]/(Table1[[#This Row],[Flowmeter A]]+Table1[[#This Row],[Flowmeter B]])</f>
        <v>2.3768477807904812E-2</v>
      </c>
      <c r="M281" s="33">
        <f>Table1[[#This Row],[TN120 Venting2]]/100</f>
        <v>1.1000000000000001E-3</v>
      </c>
      <c r="N281" s="31">
        <f>Table1[[#This Row],[TN550 I Venting2]]/100</f>
        <v>0</v>
      </c>
      <c r="O281" s="31">
        <f>(Table1[[#This Row],[TN550 I (O2)]]-Table1[[#This Row],[O2]])/Table1[[#This Row],[TN550 I (O2)]]</f>
        <v>0.23861467783923204</v>
      </c>
      <c r="P281" s="9">
        <f>Table1[[#This Row],[M-N2]]+Table1[[#This Row],[TEN-N2]]</f>
        <v>65195.460560954169</v>
      </c>
      <c r="Q281" s="9">
        <v>1397.7505924772836</v>
      </c>
      <c r="R281" s="9">
        <f>SUM(Table1[[#This Row],[TEN-CDA]:[TEN-CDA WWT]])</f>
        <v>97328.105866017329</v>
      </c>
      <c r="S281" s="9">
        <v>433.6503280862018</v>
      </c>
      <c r="T281" s="9">
        <v>222.19922127018864</v>
      </c>
      <c r="U281" s="9">
        <v>35.492861553830124</v>
      </c>
      <c r="V281" s="42">
        <v>0.11</v>
      </c>
      <c r="W281" s="9">
        <v>0</v>
      </c>
      <c r="X281" s="9">
        <v>75300.896599583619</v>
      </c>
      <c r="Y281" s="9">
        <v>1935.8221550755495</v>
      </c>
      <c r="Z281" s="1">
        <v>62988.297165054646</v>
      </c>
      <c r="AA281" s="1">
        <v>2207.1633958995217</v>
      </c>
      <c r="AB281" s="1">
        <v>34550.464799021946</v>
      </c>
      <c r="AC281" s="1">
        <v>52979.29220972849</v>
      </c>
      <c r="AD281" s="1">
        <v>7099.9237515451514</v>
      </c>
      <c r="AE281" s="1">
        <v>2667.826967153344</v>
      </c>
      <c r="AF281" s="1">
        <v>30.598138568396788</v>
      </c>
      <c r="AG281" s="1"/>
      <c r="AH281" s="1"/>
      <c r="AI281" s="1"/>
      <c r="AJ281" s="1"/>
      <c r="AK281" s="1"/>
      <c r="AL281" s="1"/>
      <c r="AM281" s="1"/>
      <c r="AN281" s="1"/>
      <c r="AO281" s="1"/>
      <c r="AP281" s="1"/>
      <c r="AQ281" s="1"/>
    </row>
    <row r="282" spans="1:43" x14ac:dyDescent="0.3">
      <c r="A282" s="9">
        <f t="shared" si="24"/>
        <v>2020</v>
      </c>
      <c r="B282" s="9">
        <f t="shared" si="25"/>
        <v>10</v>
      </c>
      <c r="C282" s="10">
        <v>44107</v>
      </c>
      <c r="D282" s="9">
        <v>0.20899999999999999</v>
      </c>
      <c r="E282" s="9">
        <v>0.154</v>
      </c>
      <c r="F282" s="9">
        <v>16.516552989312341</v>
      </c>
      <c r="G282" s="9">
        <v>11131.949772019572</v>
      </c>
      <c r="H282" s="9">
        <v>55293.948793155789</v>
      </c>
      <c r="I282" s="9">
        <v>1799.8579402290889</v>
      </c>
      <c r="J282" s="20">
        <v>70.900000000000006</v>
      </c>
      <c r="K282" s="9">
        <v>71.62</v>
      </c>
      <c r="L282" s="31">
        <f>Table1[[#This Row],[TN550 I (O2)]]/(Table1[[#This Row],[Flowmeter A]]+Table1[[#This Row],[Flowmeter B]])</f>
        <v>2.3312897081688065E-2</v>
      </c>
      <c r="M282" s="33">
        <f>Table1[[#This Row],[TN120 Venting2]]/100</f>
        <v>2.0000000000000001E-4</v>
      </c>
      <c r="N282" s="31">
        <f>Table1[[#This Row],[TN550 I Venting2]]/100</f>
        <v>0</v>
      </c>
      <c r="O282" s="31">
        <f>(Table1[[#This Row],[TN550 I (O2)]]-Table1[[#This Row],[O2]])/Table1[[#This Row],[TN550 I (O2)]]</f>
        <v>0.22289599324510839</v>
      </c>
      <c r="P282" s="9">
        <f>Table1[[#This Row],[M-N2]]+Table1[[#This Row],[TEN-N2]]</f>
        <v>65110.877248177676</v>
      </c>
      <c r="Q282" s="9">
        <v>1398.6768169416312</v>
      </c>
      <c r="R282" s="9">
        <f>SUM(Table1[[#This Row],[TEN-CDA]:[TEN-CDA WWT]])</f>
        <v>96804.148927706279</v>
      </c>
      <c r="S282" s="9">
        <v>434.70683171036018</v>
      </c>
      <c r="T282" s="9">
        <v>221.58291403606975</v>
      </c>
      <c r="U282" s="9">
        <v>35.300352011845398</v>
      </c>
      <c r="V282" s="42">
        <v>0.02</v>
      </c>
      <c r="W282" s="9">
        <v>0</v>
      </c>
      <c r="X282" s="9">
        <v>75304.422872571129</v>
      </c>
      <c r="Y282" s="9">
        <v>1899.964635442645</v>
      </c>
      <c r="Z282" s="1">
        <v>62893.504928218259</v>
      </c>
      <c r="AA282" s="1">
        <v>2217.3723199594197</v>
      </c>
      <c r="AB282" s="1">
        <v>34220.04217313281</v>
      </c>
      <c r="AC282" s="1">
        <v>52876.938711723633</v>
      </c>
      <c r="AD282" s="1">
        <v>7026.5141706605655</v>
      </c>
      <c r="AE282" s="1">
        <v>2652.1285967115391</v>
      </c>
      <c r="AF282" s="1">
        <v>28.525275477734933</v>
      </c>
      <c r="AG282" s="1"/>
      <c r="AH282" s="1"/>
      <c r="AI282" s="1"/>
      <c r="AJ282" s="1"/>
      <c r="AK282" s="1"/>
      <c r="AL282" s="1"/>
      <c r="AM282" s="1"/>
      <c r="AN282" s="1"/>
      <c r="AO282" s="1"/>
      <c r="AP282" s="1"/>
      <c r="AQ282" s="1"/>
    </row>
    <row r="283" spans="1:43" x14ac:dyDescent="0.3">
      <c r="A283" s="9">
        <f t="shared" si="24"/>
        <v>2020</v>
      </c>
      <c r="B283" s="9">
        <f t="shared" si="25"/>
        <v>10</v>
      </c>
      <c r="C283" s="10">
        <v>44108</v>
      </c>
      <c r="D283" s="9">
        <v>0.20899999999999999</v>
      </c>
      <c r="E283" s="9">
        <v>0.158</v>
      </c>
      <c r="F283" s="9">
        <v>15.596504867283691</v>
      </c>
      <c r="G283" s="9">
        <v>11050.834311703027</v>
      </c>
      <c r="H283" s="9">
        <v>55308.619871183197</v>
      </c>
      <c r="I283" s="9">
        <v>1800.0427602732209</v>
      </c>
      <c r="J283" s="20">
        <v>70.8</v>
      </c>
      <c r="K283" s="9">
        <v>71.59</v>
      </c>
      <c r="L283" s="31">
        <f>Table1[[#This Row],[TN550 I (O2)]]/(Table1[[#This Row],[Flowmeter A]]+Table1[[#This Row],[Flowmeter B]])</f>
        <v>2.3298010021888086E-2</v>
      </c>
      <c r="M283" s="33">
        <f>Table1[[#This Row],[TN120 Venting2]]/100</f>
        <v>4.0000000000000002E-4</v>
      </c>
      <c r="N283" s="31">
        <f>Table1[[#This Row],[TN550 I Venting2]]/100</f>
        <v>0</v>
      </c>
      <c r="O283" s="31">
        <f>(Table1[[#This Row],[TN550 I (O2)]]-Table1[[#This Row],[O2]])/Table1[[#This Row],[TN550 I (O2)]]</f>
        <v>0.22293314116155807</v>
      </c>
      <c r="P283" s="9">
        <f>Table1[[#This Row],[M-N2]]+Table1[[#This Row],[TEN-N2]]</f>
        <v>65039.387953345926</v>
      </c>
      <c r="Q283" s="9">
        <v>1398.7535735003903</v>
      </c>
      <c r="R283" s="9">
        <f>SUM(Table1[[#This Row],[TEN-CDA]:[TEN-CDA WWT]])</f>
        <v>98102.551115714305</v>
      </c>
      <c r="S283" s="9">
        <v>432.10923730028247</v>
      </c>
      <c r="T283" s="9">
        <v>224.11147165927184</v>
      </c>
      <c r="U283" s="9">
        <v>35.321025726614849</v>
      </c>
      <c r="V283" s="42">
        <v>0.04</v>
      </c>
      <c r="W283" s="9">
        <v>0</v>
      </c>
      <c r="X283" s="9">
        <v>75361.598857130462</v>
      </c>
      <c r="Y283" s="9">
        <v>1900.0539012858635</v>
      </c>
      <c r="Z283" s="1">
        <v>62818.25337222415</v>
      </c>
      <c r="AA283" s="1">
        <v>2221.1345811217798</v>
      </c>
      <c r="AB283" s="1">
        <v>35400.412376387925</v>
      </c>
      <c r="AC283" s="1">
        <v>52823.71304649549</v>
      </c>
      <c r="AD283" s="1">
        <v>7191.4047743130859</v>
      </c>
      <c r="AE283" s="1">
        <v>2661.7714742095332</v>
      </c>
      <c r="AF283" s="1">
        <v>25.249444308285497</v>
      </c>
      <c r="AG283" s="1"/>
      <c r="AH283" s="1"/>
      <c r="AI283" s="1"/>
      <c r="AJ283" s="1"/>
      <c r="AK283" s="1"/>
      <c r="AL283" s="1"/>
      <c r="AM283" s="1"/>
      <c r="AN283" s="1"/>
      <c r="AO283" s="1"/>
      <c r="AP283" s="1"/>
      <c r="AQ283" s="1"/>
    </row>
    <row r="284" spans="1:43" x14ac:dyDescent="0.3">
      <c r="A284" s="9">
        <f t="shared" si="24"/>
        <v>2020</v>
      </c>
      <c r="B284" s="9">
        <f t="shared" si="25"/>
        <v>10</v>
      </c>
      <c r="C284" s="10">
        <v>44109</v>
      </c>
      <c r="D284" s="9">
        <v>0.21</v>
      </c>
      <c r="E284" s="9">
        <v>0.154</v>
      </c>
      <c r="F284" s="9">
        <v>14.570225303988751</v>
      </c>
      <c r="G284" s="9">
        <v>11001.885634433553</v>
      </c>
      <c r="H284" s="9">
        <v>55296.305449232306</v>
      </c>
      <c r="I284" s="9">
        <v>1799.9653122085899</v>
      </c>
      <c r="J284" s="20">
        <v>70.709999999999994</v>
      </c>
      <c r="K284" s="9">
        <v>71.5</v>
      </c>
      <c r="L284" s="31">
        <f>Table1[[#This Row],[TN550 I (O2)]]/(Table1[[#This Row],[Flowmeter A]]+Table1[[#This Row],[Flowmeter B]])</f>
        <v>2.3273569745387912E-2</v>
      </c>
      <c r="M284" s="33">
        <f>Table1[[#This Row],[TN120 Venting2]]/100</f>
        <v>7.000000000000001E-4</v>
      </c>
      <c r="N284" s="31">
        <f>Table1[[#This Row],[TN550 I Venting2]]/100</f>
        <v>0</v>
      </c>
      <c r="O284" s="31">
        <f>(Table1[[#This Row],[TN550 I (O2)]]-Table1[[#This Row],[O2]])/Table1[[#This Row],[TN550 I (O2)]]</f>
        <v>0.22208284143947163</v>
      </c>
      <c r="P284" s="9">
        <f>Table1[[#This Row],[M-N2]]+Table1[[#This Row],[TEN-N2]]</f>
        <v>65087.796103441084</v>
      </c>
      <c r="Q284" s="9">
        <v>1400.2239011808206</v>
      </c>
      <c r="R284" s="9">
        <f>SUM(Table1[[#This Row],[TEN-CDA]:[TEN-CDA WWT]])</f>
        <v>98847.695338942285</v>
      </c>
      <c r="S284" s="9">
        <v>434.87965635555145</v>
      </c>
      <c r="T284" s="9">
        <v>224.90526853478011</v>
      </c>
      <c r="U284" s="9">
        <v>34.357756901250625</v>
      </c>
      <c r="V284" s="42">
        <v>7.0000000000000007E-2</v>
      </c>
      <c r="W284" s="9">
        <v>0</v>
      </c>
      <c r="X284" s="9">
        <v>75439.157963219986</v>
      </c>
      <c r="Y284" s="9">
        <v>1900.3018575187857</v>
      </c>
      <c r="Z284" s="1">
        <v>62880.537888727449</v>
      </c>
      <c r="AA284" s="1">
        <v>2207.2582147136318</v>
      </c>
      <c r="AB284" s="1">
        <v>36113.427258631149</v>
      </c>
      <c r="AC284" s="1">
        <v>52984.663674856871</v>
      </c>
      <c r="AD284" s="1">
        <v>7055.8506831871309</v>
      </c>
      <c r="AE284" s="1">
        <v>2663.5531613246008</v>
      </c>
      <c r="AF284" s="1">
        <v>30.200560942540395</v>
      </c>
      <c r="AG284" s="1"/>
      <c r="AH284" s="1"/>
      <c r="AI284" s="1"/>
      <c r="AJ284" s="1"/>
      <c r="AK284" s="1"/>
      <c r="AL284" s="1"/>
      <c r="AM284" s="1"/>
      <c r="AN284" s="1"/>
      <c r="AO284" s="1"/>
      <c r="AP284" s="1"/>
      <c r="AQ284" s="1"/>
    </row>
    <row r="285" spans="1:43" x14ac:dyDescent="0.3">
      <c r="A285" s="9">
        <f t="shared" si="24"/>
        <v>2020</v>
      </c>
      <c r="B285" s="9">
        <f t="shared" si="25"/>
        <v>10</v>
      </c>
      <c r="C285" s="10">
        <v>44110</v>
      </c>
      <c r="D285" s="9">
        <v>0.20899999999999999</v>
      </c>
      <c r="E285" s="9">
        <v>0.154</v>
      </c>
      <c r="F285" s="9">
        <v>14.557288644381648</v>
      </c>
      <c r="G285" s="9">
        <v>10954.462776094077</v>
      </c>
      <c r="H285" s="9">
        <v>55292.009571803435</v>
      </c>
      <c r="I285" s="9">
        <v>1799.9655169580317</v>
      </c>
      <c r="J285" s="20">
        <v>70.680000000000007</v>
      </c>
      <c r="K285" s="9">
        <v>71.56</v>
      </c>
      <c r="L285" s="31">
        <f>Table1[[#This Row],[TN550 I (O2)]]/(Table1[[#This Row],[Flowmeter A]]+Table1[[#This Row],[Flowmeter B]])</f>
        <v>2.3294784443145602E-2</v>
      </c>
      <c r="M285" s="33">
        <f>Table1[[#This Row],[TN120 Venting2]]/100</f>
        <v>2.5000000000000001E-3</v>
      </c>
      <c r="N285" s="31">
        <f>Table1[[#This Row],[TN550 I Venting2]]/100</f>
        <v>0</v>
      </c>
      <c r="O285" s="31">
        <f>(Table1[[#This Row],[TN550 I (O2)]]-Table1[[#This Row],[O2]])/Table1[[#This Row],[TN550 I (O2)]]</f>
        <v>0.21878133040823619</v>
      </c>
      <c r="P285" s="9">
        <f>Table1[[#This Row],[M-N2]]+Table1[[#This Row],[TEN-N2]]</f>
        <v>65285.715946025448</v>
      </c>
      <c r="Q285" s="9">
        <v>1406.1666664690049</v>
      </c>
      <c r="R285" s="9">
        <f>SUM(Table1[[#This Row],[TEN-CDA]:[TEN-CDA WWT]])</f>
        <v>98662.831698457085</v>
      </c>
      <c r="S285" s="9">
        <v>438.33400650606808</v>
      </c>
      <c r="T285" s="9">
        <v>215.82918535347699</v>
      </c>
      <c r="U285" s="9">
        <v>34.466784927929382</v>
      </c>
      <c r="V285" s="42">
        <v>0.25</v>
      </c>
      <c r="W285" s="9">
        <v>0</v>
      </c>
      <c r="X285" s="9">
        <v>75369.056915770299</v>
      </c>
      <c r="Y285" s="9">
        <v>1899.9781916854615</v>
      </c>
      <c r="Z285" s="1">
        <v>63073.430441099939</v>
      </c>
      <c r="AA285" s="1">
        <v>2212.2855049255077</v>
      </c>
      <c r="AB285" s="1">
        <v>35877.903558184422</v>
      </c>
      <c r="AC285" s="1">
        <v>53010.923523161</v>
      </c>
      <c r="AD285" s="1">
        <v>7059.400924989699</v>
      </c>
      <c r="AE285" s="1">
        <v>2683.9989624446998</v>
      </c>
      <c r="AF285" s="1">
        <v>30.604729677264505</v>
      </c>
      <c r="AG285" s="1"/>
      <c r="AH285" s="1"/>
      <c r="AI285" s="1"/>
      <c r="AJ285" s="1"/>
      <c r="AK285" s="1"/>
      <c r="AL285" s="1"/>
      <c r="AM285" s="1"/>
      <c r="AN285" s="1"/>
      <c r="AO285" s="1"/>
      <c r="AP285" s="1"/>
      <c r="AQ285" s="1"/>
    </row>
    <row r="286" spans="1:43" x14ac:dyDescent="0.3">
      <c r="A286" s="9">
        <f t="shared" si="24"/>
        <v>2020</v>
      </c>
      <c r="B286" s="9">
        <f t="shared" si="25"/>
        <v>10</v>
      </c>
      <c r="C286" s="10">
        <v>44111</v>
      </c>
      <c r="D286" s="9">
        <v>0.20899999999999999</v>
      </c>
      <c r="E286" s="9">
        <v>0.14799999999999999</v>
      </c>
      <c r="F286" s="9">
        <v>15.858986976988856</v>
      </c>
      <c r="G286" s="9">
        <v>10802.372615859213</v>
      </c>
      <c r="H286" s="9">
        <v>55307.974488744803</v>
      </c>
      <c r="I286" s="9">
        <v>1799.8957075639205</v>
      </c>
      <c r="J286" s="20">
        <v>70.81</v>
      </c>
      <c r="K286" s="9">
        <v>71.63</v>
      </c>
      <c r="L286" s="31">
        <f>Table1[[#This Row],[TN550 I (O2)]]/(Table1[[#This Row],[Flowmeter A]]+Table1[[#This Row],[Flowmeter B]])</f>
        <v>2.3310549782190253E-2</v>
      </c>
      <c r="M286" s="33">
        <f>Table1[[#This Row],[TN120 Venting2]]/100</f>
        <v>5.6999999999999993E-3</v>
      </c>
      <c r="N286" s="31">
        <f>Table1[[#This Row],[TN550 I Venting2]]/100</f>
        <v>0</v>
      </c>
      <c r="O286" s="31">
        <f>(Table1[[#This Row],[TN550 I (O2)]]-Table1[[#This Row],[O2]])/Table1[[#This Row],[TN550 I (O2)]]</f>
        <v>0.21862774171675803</v>
      </c>
      <c r="P286" s="9">
        <f>Table1[[#This Row],[M-N2]]+Table1[[#This Row],[TEN-N2]]</f>
        <v>64932.659264399721</v>
      </c>
      <c r="Q286" s="9">
        <v>1406.3885736935342</v>
      </c>
      <c r="R286" s="9">
        <f>SUM(Table1[[#This Row],[TEN-CDA]:[TEN-CDA WWT]])</f>
        <v>98936.165656739598</v>
      </c>
      <c r="S286" s="9">
        <v>433.12879271444393</v>
      </c>
      <c r="T286" s="9">
        <v>226.89878156928037</v>
      </c>
      <c r="U286" s="9">
        <v>35.452266315881118</v>
      </c>
      <c r="V286" s="42">
        <v>0.56999999999999995</v>
      </c>
      <c r="W286" s="9">
        <v>0</v>
      </c>
      <c r="X286" s="9">
        <v>75313.727120922966</v>
      </c>
      <c r="Y286" s="9">
        <v>1900.0548096550249</v>
      </c>
      <c r="Z286" s="1">
        <v>62730.268156878905</v>
      </c>
      <c r="AA286" s="1">
        <v>2202.3911075208189</v>
      </c>
      <c r="AB286" s="1">
        <v>36108.819686307244</v>
      </c>
      <c r="AC286" s="1">
        <v>52985.779005464952</v>
      </c>
      <c r="AD286" s="1">
        <v>7119.7632872815102</v>
      </c>
      <c r="AE286" s="1">
        <v>2689.3927910915272</v>
      </c>
      <c r="AF286" s="1">
        <v>32.410886594359965</v>
      </c>
      <c r="AG286" s="1"/>
      <c r="AH286" s="1"/>
      <c r="AI286" s="1"/>
      <c r="AJ286" s="1"/>
      <c r="AK286" s="1"/>
      <c r="AL286" s="1"/>
      <c r="AM286" s="1"/>
      <c r="AN286" s="1"/>
      <c r="AO286" s="1"/>
      <c r="AP286" s="1"/>
      <c r="AQ286" s="1"/>
    </row>
    <row r="287" spans="1:43" x14ac:dyDescent="0.3">
      <c r="A287" s="9">
        <f t="shared" si="24"/>
        <v>2020</v>
      </c>
      <c r="B287" s="9">
        <f t="shared" si="25"/>
        <v>10</v>
      </c>
      <c r="C287" s="10">
        <v>44112</v>
      </c>
      <c r="D287" s="9">
        <v>0.20899999999999999</v>
      </c>
      <c r="E287" s="9">
        <v>0.16300000000000001</v>
      </c>
      <c r="F287" s="9">
        <v>15.897603136892537</v>
      </c>
      <c r="G287" s="9">
        <v>10928.746076129855</v>
      </c>
      <c r="H287" s="9">
        <v>55298.727888076857</v>
      </c>
      <c r="I287" s="9">
        <v>1800.0884905569592</v>
      </c>
      <c r="J287" s="20">
        <v>70.81</v>
      </c>
      <c r="K287" s="9">
        <v>71.650000000000006</v>
      </c>
      <c r="L287" s="31">
        <f>Table1[[#This Row],[TN550 I (O2)]]/(Table1[[#This Row],[Flowmeter A]]+Table1[[#This Row],[Flowmeter B]])</f>
        <v>2.3323037913520188E-2</v>
      </c>
      <c r="M287" s="33">
        <f>Table1[[#This Row],[TN120 Venting2]]/100</f>
        <v>2.8000000000000004E-3</v>
      </c>
      <c r="N287" s="31">
        <f>Table1[[#This Row],[TN550 I Venting2]]/100</f>
        <v>0</v>
      </c>
      <c r="O287" s="31">
        <f>(Table1[[#This Row],[TN550 I (O2)]]-Table1[[#This Row],[O2]])/Table1[[#This Row],[TN550 I (O2)]]</f>
        <v>0.22440136305012467</v>
      </c>
      <c r="P287" s="9">
        <f>Table1[[#This Row],[M-N2]]+Table1[[#This Row],[TEN-N2]]</f>
        <v>65079.759883967978</v>
      </c>
      <c r="Q287" s="9">
        <v>1396.1461796651361</v>
      </c>
      <c r="R287" s="9">
        <f>SUM(Table1[[#This Row],[TEN-CDA]:[TEN-CDA WWT]])</f>
        <v>98855.877926986868</v>
      </c>
      <c r="S287" s="9">
        <v>431.57784112934274</v>
      </c>
      <c r="T287" s="9">
        <v>218.24943599661219</v>
      </c>
      <c r="U287" s="9">
        <v>34.827221804902756</v>
      </c>
      <c r="V287" s="42">
        <v>0.28000000000000003</v>
      </c>
      <c r="W287" s="9">
        <v>0</v>
      </c>
      <c r="X287" s="9">
        <v>75281.07576119015</v>
      </c>
      <c r="Y287" s="9">
        <v>1899.6284520230631</v>
      </c>
      <c r="Z287" s="1">
        <v>62919.158521642959</v>
      </c>
      <c r="AA287" s="1">
        <v>2160.6013623250183</v>
      </c>
      <c r="AB287" s="1">
        <v>36063.42896100798</v>
      </c>
      <c r="AC287" s="1">
        <v>52898.152791030538</v>
      </c>
      <c r="AD287" s="1">
        <v>7179.5275541751607</v>
      </c>
      <c r="AE287" s="1">
        <v>2693.8975122731067</v>
      </c>
      <c r="AF287" s="1">
        <v>20.871108500086581</v>
      </c>
      <c r="AG287" s="1"/>
      <c r="AH287" s="1"/>
      <c r="AI287" s="1"/>
      <c r="AJ287" s="1"/>
      <c r="AK287" s="1"/>
      <c r="AL287" s="1"/>
      <c r="AM287" s="1"/>
      <c r="AN287" s="1"/>
      <c r="AO287" s="1"/>
      <c r="AP287" s="1"/>
      <c r="AQ287" s="1"/>
    </row>
    <row r="288" spans="1:43" x14ac:dyDescent="0.3">
      <c r="A288" s="9">
        <f t="shared" si="24"/>
        <v>2020</v>
      </c>
      <c r="B288" s="9">
        <f t="shared" si="25"/>
        <v>10</v>
      </c>
      <c r="C288" s="10">
        <v>44113</v>
      </c>
      <c r="D288" s="9">
        <v>0.21099999999999999</v>
      </c>
      <c r="E288" s="9">
        <v>0.155</v>
      </c>
      <c r="F288" s="9">
        <v>16.82772586578962</v>
      </c>
      <c r="G288" s="9">
        <v>10945.899944022163</v>
      </c>
      <c r="H288" s="9">
        <v>55296.680948017871</v>
      </c>
      <c r="I288" s="9">
        <v>1799.9117244426614</v>
      </c>
      <c r="J288" s="20">
        <v>70.739999999999995</v>
      </c>
      <c r="K288" s="9">
        <v>71.63</v>
      </c>
      <c r="L288" s="31">
        <f>Table1[[#This Row],[TN550 I (O2)]]/(Table1[[#This Row],[Flowmeter A]]+Table1[[#This Row],[Flowmeter B]])</f>
        <v>2.3317012646423777E-2</v>
      </c>
      <c r="M288" s="33">
        <f>Table1[[#This Row],[TN120 Venting2]]/100</f>
        <v>1.9E-3</v>
      </c>
      <c r="N288" s="31">
        <f>Table1[[#This Row],[TN550 I Venting2]]/100</f>
        <v>1E-4</v>
      </c>
      <c r="O288" s="31">
        <f>(Table1[[#This Row],[TN550 I (O2)]]-Table1[[#This Row],[O2]])/Table1[[#This Row],[TN550 I (O2)]]</f>
        <v>0.22470764107179506</v>
      </c>
      <c r="P288" s="9">
        <f>Table1[[#This Row],[M-N2]]+Table1[[#This Row],[TEN-N2]]</f>
        <v>64876.573276326526</v>
      </c>
      <c r="Q288" s="9">
        <v>1395.4578067056841</v>
      </c>
      <c r="R288" s="9">
        <f>SUM(Table1[[#This Row],[TEN-CDA]:[TEN-CDA WWT]])</f>
        <v>98965.950687073389</v>
      </c>
      <c r="S288" s="9">
        <v>431.41748188767974</v>
      </c>
      <c r="T288" s="9">
        <v>211.39129461835111</v>
      </c>
      <c r="U288" s="9">
        <v>35.22996951572437</v>
      </c>
      <c r="V288" s="42">
        <v>0.19</v>
      </c>
      <c r="W288" s="9">
        <v>0.01</v>
      </c>
      <c r="X288" s="9">
        <v>75293.764611164122</v>
      </c>
      <c r="Y288" s="9">
        <v>1899.3026027322064</v>
      </c>
      <c r="Z288" s="1">
        <v>62663.566994491674</v>
      </c>
      <c r="AA288" s="1">
        <v>2213.0062818348533</v>
      </c>
      <c r="AB288" s="1">
        <v>36235.545590085014</v>
      </c>
      <c r="AC288" s="1">
        <v>52927.055766394864</v>
      </c>
      <c r="AD288" s="1">
        <v>7077.2923151104915</v>
      </c>
      <c r="AE288" s="1">
        <v>2704.2560852177849</v>
      </c>
      <c r="AF288" s="1">
        <v>21.800930265235113</v>
      </c>
      <c r="AG288" s="1"/>
      <c r="AH288" s="1"/>
      <c r="AI288" s="1"/>
      <c r="AJ288" s="1"/>
      <c r="AK288" s="1"/>
      <c r="AL288" s="1"/>
      <c r="AM288" s="1"/>
      <c r="AN288" s="1"/>
      <c r="AO288" s="1"/>
      <c r="AP288" s="1"/>
      <c r="AQ288" s="1"/>
    </row>
    <row r="289" spans="1:43" x14ac:dyDescent="0.3">
      <c r="A289" s="9">
        <f t="shared" si="24"/>
        <v>2020</v>
      </c>
      <c r="B289" s="9">
        <f t="shared" si="25"/>
        <v>10</v>
      </c>
      <c r="C289" s="10">
        <v>44114</v>
      </c>
      <c r="D289" s="9">
        <v>0.21099999999999999</v>
      </c>
      <c r="E289" s="9">
        <v>0.156</v>
      </c>
      <c r="F289" s="9">
        <v>17.581710321716265</v>
      </c>
      <c r="G289" s="9">
        <v>11015.74677754706</v>
      </c>
      <c r="H289" s="9">
        <v>55304.707736055694</v>
      </c>
      <c r="I289" s="9">
        <v>1788.0981092909656</v>
      </c>
      <c r="J289" s="20">
        <v>70.8</v>
      </c>
      <c r="K289" s="9">
        <v>71.64</v>
      </c>
      <c r="L289" s="31">
        <f>Table1[[#This Row],[TN550 I (O2)]]/(Table1[[#This Row],[Flowmeter A]]+Table1[[#This Row],[Flowmeter B]])</f>
        <v>2.3162878709060416E-2</v>
      </c>
      <c r="M289" s="33">
        <f>Table1[[#This Row],[TN120 Venting2]]/100</f>
        <v>1.1999999999999999E-3</v>
      </c>
      <c r="N289" s="31">
        <f>Table1[[#This Row],[TN550 I Venting2]]/100</f>
        <v>0</v>
      </c>
      <c r="O289" s="31">
        <f>(Table1[[#This Row],[TN550 I (O2)]]-Table1[[#This Row],[O2]])/Table1[[#This Row],[TN550 I (O2)]]</f>
        <v>0.21719688132271042</v>
      </c>
      <c r="P289" s="9">
        <f>Table1[[#This Row],[M-N2]]+Table1[[#This Row],[TEN-N2]]</f>
        <v>64719.223475078339</v>
      </c>
      <c r="Q289" s="9">
        <v>1399.7287764539328</v>
      </c>
      <c r="R289" s="9">
        <f>SUM(Table1[[#This Row],[TEN-CDA]:[TEN-CDA WWT]])</f>
        <v>98502.416629455256</v>
      </c>
      <c r="S289" s="9">
        <v>428.6151596376418</v>
      </c>
      <c r="T289" s="9">
        <v>212.15563439627971</v>
      </c>
      <c r="U289" s="9">
        <v>35.449885694621585</v>
      </c>
      <c r="V289" s="42">
        <v>0.12</v>
      </c>
      <c r="W289" s="9">
        <v>0</v>
      </c>
      <c r="X289" s="9">
        <v>75308.879684247033</v>
      </c>
      <c r="Y289" s="9">
        <v>1887.8337187174704</v>
      </c>
      <c r="Z289" s="1">
        <v>62503.162351990803</v>
      </c>
      <c r="AA289" s="1">
        <v>2216.061123087537</v>
      </c>
      <c r="AB289" s="1">
        <v>36062.266573776891</v>
      </c>
      <c r="AC289" s="1">
        <v>52631.807035045109</v>
      </c>
      <c r="AD289" s="1">
        <v>7075.3995665445</v>
      </c>
      <c r="AE289" s="1">
        <v>2717.0599323725387</v>
      </c>
      <c r="AF289" s="1">
        <v>15.883521716227389</v>
      </c>
      <c r="AG289" s="1"/>
      <c r="AH289" s="1"/>
      <c r="AI289" s="1"/>
      <c r="AJ289" s="1"/>
      <c r="AK289" s="1"/>
      <c r="AL289" s="1"/>
      <c r="AM289" s="1"/>
      <c r="AN289" s="1"/>
      <c r="AO289" s="1"/>
      <c r="AP289" s="1"/>
      <c r="AQ289" s="1"/>
    </row>
    <row r="290" spans="1:43" x14ac:dyDescent="0.3">
      <c r="A290" s="9">
        <f t="shared" si="24"/>
        <v>2020</v>
      </c>
      <c r="B290" s="9">
        <f t="shared" si="25"/>
        <v>10</v>
      </c>
      <c r="C290" s="10">
        <v>44115</v>
      </c>
      <c r="D290" s="9">
        <v>0.21199999999999999</v>
      </c>
      <c r="E290" s="9">
        <v>0.15</v>
      </c>
      <c r="F290" s="9">
        <v>17.801185885872137</v>
      </c>
      <c r="G290" s="9">
        <v>11046.162372999435</v>
      </c>
      <c r="H290" s="9">
        <v>55297.623454849061</v>
      </c>
      <c r="I290" s="9">
        <v>1749.8599506195512</v>
      </c>
      <c r="J290" s="20">
        <v>70.91</v>
      </c>
      <c r="K290" s="9">
        <v>71.67</v>
      </c>
      <c r="L290" s="31">
        <f>Table1[[#This Row],[TN550 I (O2)]]/(Table1[[#This Row],[Flowmeter A]]+Table1[[#This Row],[Flowmeter B]])</f>
        <v>2.2680938784371284E-2</v>
      </c>
      <c r="M290" s="33">
        <f>Table1[[#This Row],[TN120 Venting2]]/100</f>
        <v>8.0000000000000004E-4</v>
      </c>
      <c r="N290" s="31">
        <f>Table1[[#This Row],[TN550 I Venting2]]/100</f>
        <v>0</v>
      </c>
      <c r="O290" s="31">
        <f>(Table1[[#This Row],[TN550 I (O2)]]-Table1[[#This Row],[O2]])/Table1[[#This Row],[TN550 I (O2)]]</f>
        <v>0.19912803462583434</v>
      </c>
      <c r="P290" s="9">
        <f>Table1[[#This Row],[M-N2]]+Table1[[#This Row],[TEN-N2]]</f>
        <v>64745.492734571526</v>
      </c>
      <c r="Q290" s="9">
        <v>1401.4137777822204</v>
      </c>
      <c r="R290" s="9">
        <f>SUM(Table1[[#This Row],[TEN-CDA]:[TEN-CDA WWT]])</f>
        <v>99062.061843452815</v>
      </c>
      <c r="S290" s="9">
        <v>427.71594748672391</v>
      </c>
      <c r="T290" s="9">
        <v>205.54426468816752</v>
      </c>
      <c r="U290" s="9">
        <v>35.96941485196497</v>
      </c>
      <c r="V290" s="42">
        <v>0.08</v>
      </c>
      <c r="W290" s="9">
        <v>0</v>
      </c>
      <c r="X290" s="9">
        <v>75301.236793025673</v>
      </c>
      <c r="Y290" s="9">
        <v>1849.8885309985744</v>
      </c>
      <c r="Z290" s="1">
        <v>62498.341166616061</v>
      </c>
      <c r="AA290" s="1">
        <v>2247.1515679554673</v>
      </c>
      <c r="AB290" s="1">
        <v>36510.038178782095</v>
      </c>
      <c r="AC290" s="1">
        <v>52742.849082126129</v>
      </c>
      <c r="AD290" s="1">
        <v>7044.9149279200637</v>
      </c>
      <c r="AE290" s="1">
        <v>2742.3892126778278</v>
      </c>
      <c r="AF290" s="1">
        <v>21.870441946690281</v>
      </c>
      <c r="AG290" s="1"/>
      <c r="AH290" s="1"/>
      <c r="AI290" s="1"/>
      <c r="AJ290" s="1"/>
      <c r="AK290" s="1"/>
      <c r="AL290" s="1"/>
      <c r="AM290" s="1"/>
      <c r="AN290" s="1"/>
      <c r="AO290" s="1"/>
      <c r="AP290" s="1"/>
      <c r="AQ290" s="1"/>
    </row>
    <row r="291" spans="1:43" x14ac:dyDescent="0.3">
      <c r="A291" s="9">
        <f t="shared" si="24"/>
        <v>2020</v>
      </c>
      <c r="B291" s="9">
        <f t="shared" si="25"/>
        <v>10</v>
      </c>
      <c r="C291" s="10">
        <v>44116</v>
      </c>
      <c r="D291" s="9">
        <v>0.21</v>
      </c>
      <c r="E291" s="9">
        <v>0.154</v>
      </c>
      <c r="F291" s="9">
        <v>16.905842394567379</v>
      </c>
      <c r="G291" s="9">
        <v>10708.159590372354</v>
      </c>
      <c r="H291" s="9">
        <v>55286.522889920197</v>
      </c>
      <c r="I291" s="9">
        <v>1749.9440068305159</v>
      </c>
      <c r="J291" s="20">
        <v>70.86</v>
      </c>
      <c r="K291" s="9">
        <v>71.66</v>
      </c>
      <c r="L291" s="31">
        <f>Table1[[#This Row],[TN550 I (O2)]]/(Table1[[#This Row],[Flowmeter A]]+Table1[[#This Row],[Flowmeter B]])</f>
        <v>2.2682604873288107E-2</v>
      </c>
      <c r="M291" s="33">
        <f>Table1[[#This Row],[TN120 Venting2]]/100</f>
        <v>9.4999999999999998E-3</v>
      </c>
      <c r="N291" s="31">
        <f>Table1[[#This Row],[TN550 I Venting2]]/100</f>
        <v>1E-4</v>
      </c>
      <c r="O291" s="31">
        <f>(Table1[[#This Row],[TN550 I (O2)]]-Table1[[#This Row],[O2]])/Table1[[#This Row],[TN550 I (O2)]]</f>
        <v>0.20416227368688428</v>
      </c>
      <c r="P291" s="9">
        <f>Table1[[#This Row],[M-N2]]+Table1[[#This Row],[TEN-N2]]</f>
        <v>64711.357684059323</v>
      </c>
      <c r="Q291" s="9">
        <v>1392.6714595712613</v>
      </c>
      <c r="R291" s="9">
        <f>SUM(Table1[[#This Row],[TEN-CDA]:[TEN-CDA WWT]])</f>
        <v>98619.277707905814</v>
      </c>
      <c r="S291" s="9">
        <v>426.28282816752551</v>
      </c>
      <c r="T291" s="9">
        <v>211.92721723864923</v>
      </c>
      <c r="U291" s="9">
        <v>34.93482261329455</v>
      </c>
      <c r="V291" s="42">
        <v>0.95</v>
      </c>
      <c r="W291" s="9">
        <v>0.01</v>
      </c>
      <c r="X291" s="9">
        <v>75298.94256375781</v>
      </c>
      <c r="Y291" s="9">
        <v>1850.2215911632277</v>
      </c>
      <c r="Z291" s="1">
        <v>62434.397380291462</v>
      </c>
      <c r="AA291" s="1">
        <v>2276.9603037678639</v>
      </c>
      <c r="AB291" s="1">
        <v>36124.874108149721</v>
      </c>
      <c r="AC291" s="1">
        <v>52660.645721287299</v>
      </c>
      <c r="AD291" s="1">
        <v>7094.0258111364719</v>
      </c>
      <c r="AE291" s="1">
        <v>2716.1752546788257</v>
      </c>
      <c r="AF291" s="1">
        <v>23.556812653512583</v>
      </c>
      <c r="AG291" s="1"/>
      <c r="AH291" s="1"/>
      <c r="AI291" s="1"/>
      <c r="AJ291" s="1"/>
      <c r="AK291" s="1"/>
      <c r="AL291" s="1"/>
      <c r="AM291" s="1"/>
      <c r="AN291" s="1"/>
      <c r="AO291" s="1"/>
      <c r="AP291" s="1"/>
      <c r="AQ291" s="1"/>
    </row>
    <row r="292" spans="1:43" x14ac:dyDescent="0.3">
      <c r="A292" s="9">
        <f t="shared" si="24"/>
        <v>2020</v>
      </c>
      <c r="B292" s="9">
        <f t="shared" si="25"/>
        <v>10</v>
      </c>
      <c r="C292" s="10">
        <v>44117</v>
      </c>
      <c r="D292" s="9">
        <v>0.20799999999999999</v>
      </c>
      <c r="E292" s="9">
        <v>0.14399999999999999</v>
      </c>
      <c r="F292" s="9">
        <v>15.369524796914094</v>
      </c>
      <c r="G292" s="9">
        <v>10807.914332223716</v>
      </c>
      <c r="H292" s="9">
        <v>55301.004960747741</v>
      </c>
      <c r="I292" s="9">
        <v>1750.0723863399169</v>
      </c>
      <c r="J292" s="20">
        <v>70.73</v>
      </c>
      <c r="K292" s="9">
        <v>71.69</v>
      </c>
      <c r="L292" s="31">
        <f>Table1[[#This Row],[TN550 I (O2)]]/(Table1[[#This Row],[Flowmeter A]]+Table1[[#This Row],[Flowmeter B]])</f>
        <v>2.2688024821026748E-2</v>
      </c>
      <c r="M292" s="33">
        <f>Table1[[#This Row],[TN120 Venting2]]/100</f>
        <v>6.7000000000000002E-3</v>
      </c>
      <c r="N292" s="31">
        <f>Table1[[#This Row],[TN550 I Venting2]]/100</f>
        <v>0</v>
      </c>
      <c r="O292" s="31">
        <f>(Table1[[#This Row],[TN550 I (O2)]]-Table1[[#This Row],[O2]])/Table1[[#This Row],[TN550 I (O2)]]</f>
        <v>0.20065858601651101</v>
      </c>
      <c r="P292" s="9">
        <f>Table1[[#This Row],[M-N2]]+Table1[[#This Row],[TEN-N2]]</f>
        <v>65318.061050573873</v>
      </c>
      <c r="Q292" s="9">
        <v>1398.905335870408</v>
      </c>
      <c r="R292" s="9">
        <f>SUM(Table1[[#This Row],[TEN-CDA]:[TEN-CDA WWT]])</f>
        <v>99234.886687488222</v>
      </c>
      <c r="S292" s="9">
        <v>430.7259603867011</v>
      </c>
      <c r="T292" s="9">
        <v>212.37321952909832</v>
      </c>
      <c r="U292" s="9">
        <v>35.570752898989909</v>
      </c>
      <c r="V292" s="42">
        <v>0.67</v>
      </c>
      <c r="W292" s="9">
        <v>0</v>
      </c>
      <c r="X292" s="9">
        <v>75286.403035001742</v>
      </c>
      <c r="Y292" s="9">
        <v>1849.989407498997</v>
      </c>
      <c r="Z292" s="1">
        <v>63014.582418893129</v>
      </c>
      <c r="AA292" s="1">
        <v>2303.4786316807449</v>
      </c>
      <c r="AB292" s="1">
        <v>36387.945415510061</v>
      </c>
      <c r="AC292" s="1">
        <v>53046.489400806735</v>
      </c>
      <c r="AD292" s="1">
        <v>7191.8873571413078</v>
      </c>
      <c r="AE292" s="1">
        <v>2582.7648585238117</v>
      </c>
      <c r="AF292" s="1">
        <v>25.79965550631885</v>
      </c>
      <c r="AG292" s="1"/>
      <c r="AH292" s="1"/>
      <c r="AI292" s="1"/>
      <c r="AJ292" s="1"/>
      <c r="AK292" s="1"/>
      <c r="AL292" s="1"/>
      <c r="AM292" s="1"/>
      <c r="AN292" s="1"/>
      <c r="AO292" s="1"/>
      <c r="AP292" s="1"/>
      <c r="AQ292" s="1"/>
    </row>
    <row r="293" spans="1:43" x14ac:dyDescent="0.3">
      <c r="A293" s="9">
        <f t="shared" si="24"/>
        <v>2020</v>
      </c>
      <c r="B293" s="9">
        <f t="shared" si="25"/>
        <v>10</v>
      </c>
      <c r="C293" s="10">
        <v>44118</v>
      </c>
      <c r="D293" s="9">
        <v>0.20799999999999999</v>
      </c>
      <c r="E293" s="9">
        <v>0.14699999999999999</v>
      </c>
      <c r="F293" s="9">
        <v>14.308932643231216</v>
      </c>
      <c r="G293" s="9">
        <v>10939.252962216991</v>
      </c>
      <c r="H293" s="9">
        <v>55300.221718316272</v>
      </c>
      <c r="I293" s="9">
        <v>1749.8687816993136</v>
      </c>
      <c r="J293" s="20">
        <v>70.709999999999994</v>
      </c>
      <c r="K293" s="9">
        <v>71.67</v>
      </c>
      <c r="L293" s="31">
        <f>Table1[[#This Row],[TN550 I (O2)]]/(Table1[[#This Row],[Flowmeter A]]+Table1[[#This Row],[Flowmeter B]])</f>
        <v>2.267892456163555E-2</v>
      </c>
      <c r="M293" s="33">
        <f>Table1[[#This Row],[TN120 Venting2]]/100</f>
        <v>2.0999999999999999E-3</v>
      </c>
      <c r="N293" s="31">
        <f>Table1[[#This Row],[TN550 I Venting2]]/100</f>
        <v>0</v>
      </c>
      <c r="O293" s="31">
        <f>(Table1[[#This Row],[TN550 I (O2)]]-Table1[[#This Row],[O2]])/Table1[[#This Row],[TN550 I (O2)]]</f>
        <v>0.20729672074340763</v>
      </c>
      <c r="P293" s="9">
        <f>Table1[[#This Row],[M-N2]]+Table1[[#This Row],[TEN-N2]]</f>
        <v>65560.060111962448</v>
      </c>
      <c r="Q293" s="9">
        <v>1387.126721521784</v>
      </c>
      <c r="R293" s="9">
        <f>SUM(Table1[[#This Row],[TEN-CDA]:[TEN-CDA WWT]])</f>
        <v>99024.232972802289</v>
      </c>
      <c r="S293" s="9">
        <v>426.53495510082786</v>
      </c>
      <c r="T293" s="9">
        <v>215.05235895160831</v>
      </c>
      <c r="U293" s="9">
        <v>35.13708898609169</v>
      </c>
      <c r="V293" s="42">
        <v>0.21</v>
      </c>
      <c r="W293" s="9">
        <v>0</v>
      </c>
      <c r="X293" s="9">
        <v>75308.28056688064</v>
      </c>
      <c r="Y293" s="9">
        <v>1850.086309979642</v>
      </c>
      <c r="Z293" s="1">
        <v>63190.215369643469</v>
      </c>
      <c r="AA293" s="1">
        <v>2369.8447423189732</v>
      </c>
      <c r="AB293" s="1">
        <v>35895.282990327898</v>
      </c>
      <c r="AC293" s="1">
        <v>53422.853085964605</v>
      </c>
      <c r="AD293" s="1">
        <v>7144.8150898220638</v>
      </c>
      <c r="AE293" s="1">
        <v>2527.5361795736467</v>
      </c>
      <c r="AF293" s="1">
        <v>33.745627114061968</v>
      </c>
      <c r="AG293" s="1"/>
      <c r="AH293" s="1"/>
      <c r="AI293" s="1"/>
      <c r="AJ293" s="1"/>
      <c r="AK293" s="1"/>
      <c r="AL293" s="1"/>
      <c r="AM293" s="1"/>
      <c r="AN293" s="1"/>
      <c r="AO293" s="1"/>
      <c r="AP293" s="1"/>
      <c r="AQ293" s="1"/>
    </row>
    <row r="294" spans="1:43" x14ac:dyDescent="0.3">
      <c r="A294" s="9">
        <f t="shared" si="24"/>
        <v>2020</v>
      </c>
      <c r="B294" s="9">
        <f t="shared" si="25"/>
        <v>10</v>
      </c>
      <c r="C294" s="10">
        <v>44119</v>
      </c>
      <c r="D294" s="9">
        <v>0.255</v>
      </c>
      <c r="E294" s="9">
        <v>0.23200000000000001</v>
      </c>
      <c r="F294" s="9">
        <v>14.796413980202075</v>
      </c>
      <c r="G294" s="9">
        <v>11409.90387602468</v>
      </c>
      <c r="H294" s="9">
        <v>56458.505107130462</v>
      </c>
      <c r="I294" s="9">
        <v>1749.8294714160631</v>
      </c>
      <c r="J294" s="20">
        <v>71.09</v>
      </c>
      <c r="K294" s="9">
        <v>71.8</v>
      </c>
      <c r="L294" s="31">
        <f>Table1[[#This Row],[TN550 I (O2)]]/(Table1[[#This Row],[Flowmeter A]]+Table1[[#This Row],[Flowmeter B]])</f>
        <v>2.2253022691611835E-2</v>
      </c>
      <c r="M294" s="33">
        <f>Table1[[#This Row],[TN120 Venting2]]/100</f>
        <v>5.1000000000000004E-3</v>
      </c>
      <c r="N294" s="31">
        <f>Table1[[#This Row],[TN550 I Venting2]]/100</f>
        <v>1.4000000000000002E-3</v>
      </c>
      <c r="O294" s="31">
        <f>(Table1[[#This Row],[TN550 I (O2)]]-Table1[[#This Row],[O2]])/Table1[[#This Row],[TN550 I (O2)]]</f>
        <v>0.20757182919487258</v>
      </c>
      <c r="P294" s="9">
        <f>Table1[[#This Row],[M-N2]]+Table1[[#This Row],[TEN-N2]]</f>
        <v>65659.456411325955</v>
      </c>
      <c r="Q294" s="9">
        <v>1386.6141672551339</v>
      </c>
      <c r="R294" s="9">
        <f>SUM(Table1[[#This Row],[TEN-CDA]:[TEN-CDA WWT]])</f>
        <v>99430.05987299484</v>
      </c>
      <c r="S294" s="9">
        <v>425.4469454551554</v>
      </c>
      <c r="T294" s="9">
        <v>213.28531270288576</v>
      </c>
      <c r="U294" s="9">
        <v>35.712155819270116</v>
      </c>
      <c r="V294" s="42">
        <v>0.51</v>
      </c>
      <c r="W294" s="9">
        <v>0.14000000000000001</v>
      </c>
      <c r="X294" s="9">
        <v>76783.339293459401</v>
      </c>
      <c r="Y294" s="9">
        <v>1849.9994518272088</v>
      </c>
      <c r="Z294" s="1">
        <v>63289.105493147123</v>
      </c>
      <c r="AA294" s="1">
        <v>2370.3509181788363</v>
      </c>
      <c r="AB294" s="1">
        <v>36034.05434594032</v>
      </c>
      <c r="AC294" s="1">
        <v>53640.647095658394</v>
      </c>
      <c r="AD294" s="1">
        <v>7208.5646960796548</v>
      </c>
      <c r="AE294" s="1">
        <v>2522.5041356506981</v>
      </c>
      <c r="AF294" s="1">
        <v>24.289599665776052</v>
      </c>
      <c r="AG294" s="1"/>
      <c r="AH294" s="1"/>
      <c r="AI294" s="1"/>
      <c r="AJ294" s="1"/>
      <c r="AK294" s="1"/>
      <c r="AL294" s="1"/>
      <c r="AM294" s="1"/>
      <c r="AN294" s="1"/>
      <c r="AO294" s="1"/>
      <c r="AP294" s="1"/>
      <c r="AQ294" s="1"/>
    </row>
    <row r="295" spans="1:43" x14ac:dyDescent="0.3">
      <c r="A295" s="9">
        <f t="shared" si="24"/>
        <v>2020</v>
      </c>
      <c r="B295" s="9">
        <f t="shared" si="25"/>
        <v>10</v>
      </c>
      <c r="C295" s="10">
        <v>44120</v>
      </c>
      <c r="D295" s="9">
        <v>0.20699999999999999</v>
      </c>
      <c r="E295" s="9">
        <v>0.15</v>
      </c>
      <c r="F295" s="9">
        <v>15.018063216305377</v>
      </c>
      <c r="G295" s="9">
        <v>12177.457017696044</v>
      </c>
      <c r="H295" s="9">
        <v>57286.539927242367</v>
      </c>
      <c r="I295" s="9">
        <v>1750.0589122679562</v>
      </c>
      <c r="J295" s="20">
        <v>71.62</v>
      </c>
      <c r="K295" s="9">
        <v>71.95</v>
      </c>
      <c r="L295" s="31">
        <f>Table1[[#This Row],[TN550 I (O2)]]/(Table1[[#This Row],[Flowmeter A]]+Table1[[#This Row],[Flowmeter B]])</f>
        <v>2.1978778867501231E-2</v>
      </c>
      <c r="M295" s="33">
        <f>Table1[[#This Row],[TN120 Venting2]]/100</f>
        <v>0</v>
      </c>
      <c r="N295" s="31">
        <f>Table1[[#This Row],[TN550 I Venting2]]/100</f>
        <v>0</v>
      </c>
      <c r="O295" s="31">
        <f>(Table1[[#This Row],[TN550 I (O2)]]-Table1[[#This Row],[O2]])/Table1[[#This Row],[TN550 I (O2)]]</f>
        <v>0.20865932335750084</v>
      </c>
      <c r="P295" s="9">
        <f>Table1[[#This Row],[M-N2]]+Table1[[#This Row],[TEN-N2]]</f>
        <v>65802.294043832808</v>
      </c>
      <c r="Q295" s="9">
        <v>1384.8928037983605</v>
      </c>
      <c r="R295" s="9">
        <f>SUM(Table1[[#This Row],[TEN-CDA]:[TEN-CDA WWT]])</f>
        <v>99778.313895108979</v>
      </c>
      <c r="S295" s="9">
        <v>428.9173494612981</v>
      </c>
      <c r="T295" s="9">
        <v>214.73489714496091</v>
      </c>
      <c r="U295" s="9">
        <v>34.610623933473121</v>
      </c>
      <c r="V295" s="42">
        <v>0</v>
      </c>
      <c r="W295" s="9">
        <v>0</v>
      </c>
      <c r="X295" s="9">
        <v>77774.870369968761</v>
      </c>
      <c r="Y295" s="9">
        <v>1850.06797706874</v>
      </c>
      <c r="Z295" s="1">
        <v>63499.57230222068</v>
      </c>
      <c r="AA295" s="1">
        <v>2302.7217416121348</v>
      </c>
      <c r="AB295" s="1">
        <v>36284.905808141048</v>
      </c>
      <c r="AC295" s="1">
        <v>53680.145656228313</v>
      </c>
      <c r="AD295" s="1">
        <v>7293.7505391085842</v>
      </c>
      <c r="AE295" s="1">
        <v>2495.7608665450425</v>
      </c>
      <c r="AF295" s="1">
        <v>23.751025085996044</v>
      </c>
      <c r="AG295" s="1"/>
      <c r="AH295" s="1"/>
      <c r="AI295" s="1"/>
      <c r="AJ295" s="1"/>
      <c r="AK295" s="1"/>
      <c r="AL295" s="1"/>
      <c r="AM295" s="1"/>
      <c r="AN295" s="1"/>
      <c r="AO295" s="1"/>
      <c r="AP295" s="1"/>
      <c r="AQ295" s="1"/>
    </row>
    <row r="296" spans="1:43" x14ac:dyDescent="0.3">
      <c r="A296" s="9">
        <f t="shared" si="24"/>
        <v>2020</v>
      </c>
      <c r="B296" s="9">
        <f t="shared" si="25"/>
        <v>10</v>
      </c>
      <c r="C296" s="10">
        <v>44121</v>
      </c>
      <c r="D296" s="9">
        <v>0.20799999999999999</v>
      </c>
      <c r="E296" s="9">
        <v>0.153</v>
      </c>
      <c r="F296" s="9">
        <v>14.296965325730778</v>
      </c>
      <c r="G296" s="9">
        <v>12187.839521843554</v>
      </c>
      <c r="H296" s="9">
        <v>57275.645742973633</v>
      </c>
      <c r="I296" s="9">
        <v>1755.5935760858074</v>
      </c>
      <c r="J296" s="20">
        <v>71.709999999999994</v>
      </c>
      <c r="K296" s="9">
        <v>71.97</v>
      </c>
      <c r="L296" s="31">
        <f>Table1[[#This Row],[TN550 I (O2)]]/(Table1[[#This Row],[Flowmeter A]]+Table1[[#This Row],[Flowmeter B]])</f>
        <v>2.2061073321822409E-2</v>
      </c>
      <c r="M296" s="33">
        <f>Table1[[#This Row],[TN120 Venting2]]/100</f>
        <v>0</v>
      </c>
      <c r="N296" s="31">
        <f>Table1[[#This Row],[TN550 I Venting2]]/100</f>
        <v>0</v>
      </c>
      <c r="O296" s="31">
        <f>(Table1[[#This Row],[TN550 I (O2)]]-Table1[[#This Row],[O2]])/Table1[[#This Row],[TN550 I (O2)]]</f>
        <v>0.21133954478384415</v>
      </c>
      <c r="P296" s="9">
        <f>Table1[[#This Row],[M-N2]]+Table1[[#This Row],[TEN-N2]]</f>
        <v>65742.359912244909</v>
      </c>
      <c r="Q296" s="9">
        <v>1384.5672288903918</v>
      </c>
      <c r="R296" s="9">
        <f>SUM(Table1[[#This Row],[TEN-CDA]:[TEN-CDA WWT]])</f>
        <v>99246.308545053616</v>
      </c>
      <c r="S296" s="9">
        <v>428.19920019802328</v>
      </c>
      <c r="T296" s="9">
        <v>228.42170588263701</v>
      </c>
      <c r="U296" s="9">
        <v>36.007131391230097</v>
      </c>
      <c r="V296" s="42">
        <v>0</v>
      </c>
      <c r="W296" s="9">
        <v>0</v>
      </c>
      <c r="X296" s="9">
        <v>77729.178608605129</v>
      </c>
      <c r="Y296" s="9">
        <v>1849.6138860105559</v>
      </c>
      <c r="Z296" s="1">
        <v>63393.047877992714</v>
      </c>
      <c r="AA296" s="1">
        <v>2349.3120342522011</v>
      </c>
      <c r="AB296" s="1">
        <v>35747.537883305864</v>
      </c>
      <c r="AC296" s="1">
        <v>53739.245706106871</v>
      </c>
      <c r="AD296" s="1">
        <v>7211.4189568333613</v>
      </c>
      <c r="AE296" s="1">
        <v>2525.4113512006093</v>
      </c>
      <c r="AF296" s="1">
        <v>22.694647606903828</v>
      </c>
      <c r="AG296" s="1"/>
      <c r="AH296" s="1"/>
      <c r="AI296" s="1"/>
      <c r="AJ296" s="1"/>
      <c r="AK296" s="1"/>
      <c r="AL296" s="1"/>
      <c r="AM296" s="1"/>
      <c r="AN296" s="1"/>
      <c r="AO296" s="1"/>
      <c r="AP296" s="1"/>
      <c r="AQ296" s="1"/>
    </row>
    <row r="297" spans="1:43" x14ac:dyDescent="0.3">
      <c r="A297" s="9">
        <f t="shared" si="24"/>
        <v>2020</v>
      </c>
      <c r="B297" s="9">
        <f t="shared" si="25"/>
        <v>10</v>
      </c>
      <c r="C297" s="10">
        <v>44122</v>
      </c>
      <c r="D297" s="9">
        <v>0.20399999999999999</v>
      </c>
      <c r="E297" s="9">
        <v>0.15</v>
      </c>
      <c r="F297" s="9">
        <v>15.578745478643963</v>
      </c>
      <c r="G297" s="9">
        <v>12181.297705857478</v>
      </c>
      <c r="H297" s="9">
        <v>57147.888873828939</v>
      </c>
      <c r="I297" s="9">
        <v>1849.9151244524203</v>
      </c>
      <c r="J297" s="20">
        <v>71.66</v>
      </c>
      <c r="K297" s="9">
        <v>72</v>
      </c>
      <c r="L297" s="31">
        <f>Table1[[#This Row],[TN550 I (O2)]]/(Table1[[#This Row],[Flowmeter A]]+Table1[[#This Row],[Flowmeter B]])</f>
        <v>2.3307669660290638E-2</v>
      </c>
      <c r="M297" s="33">
        <f>Table1[[#This Row],[TN120 Venting2]]/100</f>
        <v>0</v>
      </c>
      <c r="N297" s="31">
        <f>Table1[[#This Row],[TN550 I Venting2]]/100</f>
        <v>0</v>
      </c>
      <c r="O297" s="31">
        <f>(Table1[[#This Row],[TN550 I (O2)]]-Table1[[#This Row],[O2]])/Table1[[#This Row],[TN550 I (O2)]]</f>
        <v>0.24996683602450562</v>
      </c>
      <c r="P297" s="9">
        <f>Table1[[#This Row],[M-N2]]+Table1[[#This Row],[TEN-N2]]</f>
        <v>65446.848207726573</v>
      </c>
      <c r="Q297" s="9">
        <v>1387.4976938791692</v>
      </c>
      <c r="R297" s="9">
        <f>SUM(Table1[[#This Row],[TEN-CDA]:[TEN-CDA WWT]])</f>
        <v>99566.82188778554</v>
      </c>
      <c r="S297" s="9">
        <v>430.70623787768096</v>
      </c>
      <c r="T297" s="9">
        <v>224.42964885004852</v>
      </c>
      <c r="U297" s="9">
        <v>35.832051574315237</v>
      </c>
      <c r="V297" s="42">
        <v>0</v>
      </c>
      <c r="W297" s="9">
        <v>0</v>
      </c>
      <c r="X297" s="9">
        <v>77519.600987812286</v>
      </c>
      <c r="Y297" s="9">
        <v>1849.7719016674075</v>
      </c>
      <c r="Z297" s="1">
        <v>63084.389811762667</v>
      </c>
      <c r="AA297" s="1">
        <v>2362.4583959639031</v>
      </c>
      <c r="AB297" s="1">
        <v>36182.356710292333</v>
      </c>
      <c r="AC297" s="1">
        <v>53679.58803294153</v>
      </c>
      <c r="AD297" s="1">
        <v>7175.5794092372917</v>
      </c>
      <c r="AE297" s="1">
        <v>2509.2718201742496</v>
      </c>
      <c r="AF297" s="1">
        <v>20.025915140124511</v>
      </c>
      <c r="AG297" s="1"/>
      <c r="AH297" s="1"/>
      <c r="AI297" s="1"/>
      <c r="AJ297" s="1"/>
      <c r="AK297" s="1"/>
      <c r="AL297" s="1"/>
      <c r="AM297" s="1"/>
      <c r="AN297" s="1"/>
      <c r="AO297" s="1"/>
      <c r="AP297" s="1"/>
      <c r="AQ297" s="1"/>
    </row>
    <row r="298" spans="1:43" x14ac:dyDescent="0.3">
      <c r="A298" s="9">
        <f t="shared" si="24"/>
        <v>2020</v>
      </c>
      <c r="B298" s="9">
        <f t="shared" si="25"/>
        <v>10</v>
      </c>
      <c r="C298" s="10">
        <v>44123</v>
      </c>
      <c r="D298" s="9">
        <v>0.23499999999999999</v>
      </c>
      <c r="E298" s="9">
        <v>0.152</v>
      </c>
      <c r="F298" s="9">
        <v>15.56693210575334</v>
      </c>
      <c r="G298" s="9">
        <v>12273.978222181862</v>
      </c>
      <c r="H298" s="9">
        <v>57452.533565015619</v>
      </c>
      <c r="I298" s="9">
        <v>1850.0467412394007</v>
      </c>
      <c r="J298" s="20">
        <v>71.42</v>
      </c>
      <c r="K298" s="9">
        <v>72.02</v>
      </c>
      <c r="L298" s="31">
        <f>Table1[[#This Row],[TN550 I (O2)]]/(Table1[[#This Row],[Flowmeter A]]+Table1[[#This Row],[Flowmeter B]])</f>
        <v>2.3190213725742957E-2</v>
      </c>
      <c r="M298" s="33">
        <f>Table1[[#This Row],[TN120 Venting2]]/100</f>
        <v>1E-4</v>
      </c>
      <c r="N298" s="31">
        <f>Table1[[#This Row],[TN550 I Venting2]]/100</f>
        <v>5.6500000000000002E-2</v>
      </c>
      <c r="O298" s="31">
        <f>(Table1[[#This Row],[TN550 I (O2)]]-Table1[[#This Row],[O2]])/Table1[[#This Row],[TN550 I (O2)]]</f>
        <v>0.25141147875640113</v>
      </c>
      <c r="P298" s="9">
        <f>Table1[[#This Row],[M-N2]]+Table1[[#This Row],[TEN-N2]]</f>
        <v>65431.231154156594</v>
      </c>
      <c r="Q298" s="9">
        <v>1384.923754255942</v>
      </c>
      <c r="R298" s="9">
        <f>SUM(Table1[[#This Row],[TEN-CDA]:[TEN-CDA WWT]])</f>
        <v>99723.746530673699</v>
      </c>
      <c r="S298" s="9">
        <v>430.48640997818489</v>
      </c>
      <c r="T298" s="9">
        <v>217.73072900712532</v>
      </c>
      <c r="U298" s="9">
        <v>33.970055293573594</v>
      </c>
      <c r="V298" s="42">
        <v>0.01</v>
      </c>
      <c r="W298" s="9">
        <v>5.65</v>
      </c>
      <c r="X298" s="9">
        <v>77926.518769517701</v>
      </c>
      <c r="Y298" s="9">
        <v>1850.5269756753935</v>
      </c>
      <c r="Z298" s="1">
        <v>63069.367214607912</v>
      </c>
      <c r="AA298" s="1">
        <v>2361.8639395486803</v>
      </c>
      <c r="AB298" s="1">
        <v>36476.61466104268</v>
      </c>
      <c r="AC298" s="1">
        <v>53609.927209836918</v>
      </c>
      <c r="AD298" s="1">
        <v>7110.7091388900935</v>
      </c>
      <c r="AE298" s="1">
        <v>2508.547279077301</v>
      </c>
      <c r="AF298" s="1">
        <v>17.948241826713002</v>
      </c>
      <c r="AG298" s="1"/>
      <c r="AH298" s="1"/>
      <c r="AI298" s="1"/>
      <c r="AJ298" s="1"/>
      <c r="AK298" s="1"/>
      <c r="AL298" s="1"/>
      <c r="AM298" s="1"/>
      <c r="AN298" s="1"/>
      <c r="AO298" s="1"/>
      <c r="AP298" s="1"/>
      <c r="AQ298" s="1"/>
    </row>
    <row r="299" spans="1:43" x14ac:dyDescent="0.3">
      <c r="A299" s="9">
        <f t="shared" si="24"/>
        <v>2020</v>
      </c>
      <c r="B299" s="9">
        <f t="shared" si="25"/>
        <v>10</v>
      </c>
      <c r="C299" s="10">
        <v>44124</v>
      </c>
      <c r="D299" s="9">
        <v>0.21199999999999999</v>
      </c>
      <c r="E299" s="9">
        <v>0.159</v>
      </c>
      <c r="F299" s="9">
        <v>16.472989059834742</v>
      </c>
      <c r="G299" s="9">
        <v>12316.236662907702</v>
      </c>
      <c r="H299" s="9">
        <v>57363.35791930517</v>
      </c>
      <c r="I299" s="9">
        <v>1879.4209622258036</v>
      </c>
      <c r="J299" s="20">
        <v>71.19</v>
      </c>
      <c r="K299" s="9">
        <v>71.900000000000006</v>
      </c>
      <c r="L299" s="31">
        <f>Table1[[#This Row],[TN550 I (O2)]]/(Table1[[#This Row],[Flowmeter A]]+Table1[[#This Row],[Flowmeter B]])</f>
        <v>2.3555558696574466E-2</v>
      </c>
      <c r="M299" s="33">
        <f>Table1[[#This Row],[TN120 Venting2]]/100</f>
        <v>1E-3</v>
      </c>
      <c r="N299" s="31">
        <f>Table1[[#This Row],[TN550 I Venting2]]/100</f>
        <v>2.2000000000000001E-3</v>
      </c>
      <c r="O299" s="31">
        <f>(Table1[[#This Row],[TN550 I (O2)]]-Table1[[#This Row],[O2]])/Table1[[#This Row],[TN550 I (O2)]]</f>
        <v>0.26336758711548819</v>
      </c>
      <c r="P299" s="9">
        <f>Table1[[#This Row],[M-N2]]+Table1[[#This Row],[TEN-N2]]</f>
        <v>65217.126174789097</v>
      </c>
      <c r="Q299" s="9">
        <v>1384.4423982301246</v>
      </c>
      <c r="R299" s="9">
        <f>SUM(Table1[[#This Row],[TEN-CDA]:[TEN-CDA WWT]])</f>
        <v>98817.740707574325</v>
      </c>
      <c r="S299" s="9">
        <v>427.44263677974283</v>
      </c>
      <c r="T299" s="9">
        <v>217.8569810855397</v>
      </c>
      <c r="U299" s="9">
        <v>35.973612714525231</v>
      </c>
      <c r="V299" s="42">
        <v>0.1</v>
      </c>
      <c r="W299" s="9">
        <v>0.22</v>
      </c>
      <c r="X299" s="9">
        <v>77907.42931341083</v>
      </c>
      <c r="Y299" s="9">
        <v>1879.2990098327173</v>
      </c>
      <c r="Z299" s="1">
        <v>62813.850470051177</v>
      </c>
      <c r="AA299" s="1">
        <v>2403.2757047379209</v>
      </c>
      <c r="AB299" s="1">
        <v>35739.649044717211</v>
      </c>
      <c r="AC299" s="1">
        <v>53434.031786736639</v>
      </c>
      <c r="AD299" s="1">
        <v>7151.0139578634626</v>
      </c>
      <c r="AE299" s="1">
        <v>2475.1847309268737</v>
      </c>
      <c r="AF299" s="1">
        <v>17.861187330132388</v>
      </c>
      <c r="AG299" s="1"/>
      <c r="AH299" s="1"/>
      <c r="AI299" s="1"/>
      <c r="AJ299" s="1"/>
      <c r="AK299" s="1"/>
      <c r="AL299" s="1"/>
      <c r="AM299" s="1"/>
      <c r="AN299" s="1"/>
      <c r="AO299" s="1"/>
      <c r="AP299" s="1"/>
      <c r="AQ299" s="1"/>
    </row>
    <row r="300" spans="1:43" x14ac:dyDescent="0.3">
      <c r="A300" s="9">
        <f t="shared" si="24"/>
        <v>2020</v>
      </c>
      <c r="B300" s="9">
        <f t="shared" si="25"/>
        <v>10</v>
      </c>
      <c r="C300" s="10">
        <v>44125</v>
      </c>
      <c r="D300" s="9">
        <v>0.20899999999999999</v>
      </c>
      <c r="E300" s="9">
        <v>0.161</v>
      </c>
      <c r="F300" s="9">
        <v>15.397560755632387</v>
      </c>
      <c r="G300" s="9">
        <v>12326.356847864979</v>
      </c>
      <c r="H300" s="9">
        <v>56992.759316989075</v>
      </c>
      <c r="I300" s="9">
        <v>1900.0287858908744</v>
      </c>
      <c r="J300" s="20">
        <v>71.25</v>
      </c>
      <c r="K300" s="9">
        <v>71.97</v>
      </c>
      <c r="L300" s="31">
        <f>Table1[[#This Row],[TN550 I (O2)]]/(Table1[[#This Row],[Flowmeter A]]+Table1[[#This Row],[Flowmeter B]])</f>
        <v>2.3991782929485818E-2</v>
      </c>
      <c r="M300" s="33">
        <f>Table1[[#This Row],[TN120 Venting2]]/100</f>
        <v>0</v>
      </c>
      <c r="N300" s="31">
        <f>Table1[[#This Row],[TN550 I Venting2]]/100</f>
        <v>0</v>
      </c>
      <c r="O300" s="31">
        <f>(Table1[[#This Row],[TN550 I (O2)]]-Table1[[#This Row],[O2]])/Table1[[#This Row],[TN550 I (O2)]]</f>
        <v>0.27107667990648354</v>
      </c>
      <c r="P300" s="9">
        <f>Table1[[#This Row],[M-N2]]+Table1[[#This Row],[TEN-N2]]</f>
        <v>65343.626265431179</v>
      </c>
      <c r="Q300" s="9">
        <v>1384.9752908848293</v>
      </c>
      <c r="R300" s="9">
        <f>SUM(Table1[[#This Row],[TEN-CDA]:[TEN-CDA WWT]])</f>
        <v>98543.483220848531</v>
      </c>
      <c r="S300" s="9">
        <v>423.15173642689945</v>
      </c>
      <c r="T300" s="9">
        <v>215.28999997839841</v>
      </c>
      <c r="U300" s="9">
        <v>33.939534563889197</v>
      </c>
      <c r="V300" s="42">
        <v>0</v>
      </c>
      <c r="W300" s="9">
        <v>0</v>
      </c>
      <c r="X300" s="9">
        <v>77294.467394604435</v>
      </c>
      <c r="Y300" s="9">
        <v>1900.5132983788112</v>
      </c>
      <c r="Z300" s="1">
        <v>62968.719752992714</v>
      </c>
      <c r="AA300" s="1">
        <v>2374.9065124384651</v>
      </c>
      <c r="AB300" s="1">
        <v>35607.410893585184</v>
      </c>
      <c r="AC300" s="1">
        <v>53381.628738180952</v>
      </c>
      <c r="AD300" s="1">
        <v>7071.4011510019081</v>
      </c>
      <c r="AE300" s="1">
        <v>2456.5112465640723</v>
      </c>
      <c r="AF300" s="1">
        <v>26.53119151641684</v>
      </c>
      <c r="AG300" s="1"/>
      <c r="AH300" s="1"/>
      <c r="AI300" s="1"/>
      <c r="AJ300" s="1"/>
      <c r="AK300" s="1"/>
      <c r="AL300" s="1"/>
      <c r="AM300" s="1"/>
      <c r="AN300" s="1"/>
      <c r="AO300" s="1"/>
      <c r="AP300" s="1"/>
      <c r="AQ300" s="1"/>
    </row>
    <row r="301" spans="1:43" x14ac:dyDescent="0.3">
      <c r="A301" s="9">
        <f t="shared" si="24"/>
        <v>2020</v>
      </c>
      <c r="B301" s="9">
        <f t="shared" si="25"/>
        <v>10</v>
      </c>
      <c r="C301" s="10">
        <v>44126</v>
      </c>
      <c r="D301" s="9">
        <v>0.21099999999999999</v>
      </c>
      <c r="E301" s="9">
        <v>0.156</v>
      </c>
      <c r="F301" s="9">
        <v>15.155625871450516</v>
      </c>
      <c r="G301" s="9">
        <v>12328.717899489287</v>
      </c>
      <c r="H301" s="9">
        <v>57014.284172232823</v>
      </c>
      <c r="I301" s="9">
        <v>1900.1270042911824</v>
      </c>
      <c r="J301" s="20">
        <v>71.260000000000005</v>
      </c>
      <c r="K301" s="9">
        <v>71.98</v>
      </c>
      <c r="L301" s="31">
        <f>Table1[[#This Row],[TN550 I (O2)]]/(Table1[[#This Row],[Flowmeter A]]+Table1[[#This Row],[Flowmeter B]])</f>
        <v>2.3988264907261494E-2</v>
      </c>
      <c r="M301" s="33">
        <f>Table1[[#This Row],[TN120 Venting2]]/100</f>
        <v>0</v>
      </c>
      <c r="N301" s="31">
        <f>Table1[[#This Row],[TN550 I Venting2]]/100</f>
        <v>0</v>
      </c>
      <c r="O301" s="31">
        <f>(Table1[[#This Row],[TN550 I (O2)]]-Table1[[#This Row],[O2]])/Table1[[#This Row],[TN550 I (O2)]]</f>
        <v>0.2651476657071421</v>
      </c>
      <c r="P301" s="9">
        <f>Table1[[#This Row],[M-N2]]+Table1[[#This Row],[TEN-N2]]</f>
        <v>65191.061924973437</v>
      </c>
      <c r="Q301" s="9">
        <v>1396.3127645562706</v>
      </c>
      <c r="R301" s="9">
        <f>SUM(Table1[[#This Row],[TEN-CDA]:[TEN-CDA WWT]])</f>
        <v>98770.046883679024</v>
      </c>
      <c r="S301" s="9">
        <v>419.53399147811984</v>
      </c>
      <c r="T301" s="9">
        <v>218.54630592446787</v>
      </c>
      <c r="U301" s="9">
        <v>33.192142297293394</v>
      </c>
      <c r="V301" s="42">
        <v>0</v>
      </c>
      <c r="W301" s="9">
        <v>0</v>
      </c>
      <c r="X301" s="9">
        <v>77311.052838740463</v>
      </c>
      <c r="Y301" s="9">
        <v>1899.636706212591</v>
      </c>
      <c r="Z301" s="1">
        <v>62843.210324861211</v>
      </c>
      <c r="AA301" s="1">
        <v>2347.8516001122266</v>
      </c>
      <c r="AB301" s="1">
        <v>35601.79864243581</v>
      </c>
      <c r="AC301" s="1">
        <v>53455.459286628211</v>
      </c>
      <c r="AD301" s="1">
        <v>7208.9206564993938</v>
      </c>
      <c r="AE301" s="1">
        <v>2483.4154946448321</v>
      </c>
      <c r="AF301" s="1">
        <v>20.45280347078894</v>
      </c>
      <c r="AG301" s="1"/>
      <c r="AH301" s="1"/>
      <c r="AI301" s="1"/>
      <c r="AJ301" s="1"/>
      <c r="AK301" s="1"/>
      <c r="AL301" s="1"/>
      <c r="AM301" s="1"/>
      <c r="AN301" s="1"/>
      <c r="AO301" s="1"/>
      <c r="AP301" s="1"/>
      <c r="AQ301" s="1"/>
    </row>
    <row r="302" spans="1:43" x14ac:dyDescent="0.3">
      <c r="A302" s="9">
        <f t="shared" si="24"/>
        <v>2020</v>
      </c>
      <c r="B302" s="9">
        <f t="shared" si="25"/>
        <v>10</v>
      </c>
      <c r="C302" s="10">
        <v>44127</v>
      </c>
      <c r="D302" s="9">
        <v>0.21299999999999999</v>
      </c>
      <c r="E302" s="9">
        <v>0.157</v>
      </c>
      <c r="F302" s="9">
        <v>13.69969195710711</v>
      </c>
      <c r="G302" s="9">
        <v>12335.410827170799</v>
      </c>
      <c r="H302" s="9">
        <v>56983.023334489939</v>
      </c>
      <c r="I302" s="9">
        <v>1899.9158180760976</v>
      </c>
      <c r="J302" s="20">
        <v>71.3</v>
      </c>
      <c r="K302" s="9">
        <v>71.94</v>
      </c>
      <c r="L302" s="31">
        <f>Table1[[#This Row],[TN550 I (O2)]]/(Table1[[#This Row],[Flowmeter A]]+Table1[[#This Row],[Flowmeter B]])</f>
        <v>2.3984611965408641E-2</v>
      </c>
      <c r="M302" s="33">
        <f>Table1[[#This Row],[TN120 Venting2]]/100</f>
        <v>0</v>
      </c>
      <c r="N302" s="31">
        <f>Table1[[#This Row],[TN550 I Venting2]]/100</f>
        <v>0</v>
      </c>
      <c r="O302" s="31">
        <f>(Table1[[#This Row],[TN550 I (O2)]]-Table1[[#This Row],[O2]])/Table1[[#This Row],[TN550 I (O2)]]</f>
        <v>0.26497681426737396</v>
      </c>
      <c r="P302" s="9">
        <f>Table1[[#This Row],[M-N2]]+Table1[[#This Row],[TEN-N2]]</f>
        <v>65523.18349107878</v>
      </c>
      <c r="Q302" s="9">
        <v>1396.4821772261016</v>
      </c>
      <c r="R302" s="9">
        <f>SUM(Table1[[#This Row],[TEN-CDA]:[TEN-CDA WWT]])</f>
        <v>98661.336071690384</v>
      </c>
      <c r="S302" s="9">
        <v>425.40371108998198</v>
      </c>
      <c r="T302" s="9">
        <v>214.85986732625861</v>
      </c>
      <c r="U302" s="9">
        <v>33.935319017652503</v>
      </c>
      <c r="V302" s="42">
        <v>0</v>
      </c>
      <c r="W302" s="9">
        <v>0</v>
      </c>
      <c r="X302" s="9">
        <v>77314.038775156121</v>
      </c>
      <c r="Y302" s="9">
        <v>1899.9097688610068</v>
      </c>
      <c r="Z302" s="1">
        <v>63159.977248330149</v>
      </c>
      <c r="AA302" s="1">
        <v>2363.2062427486339</v>
      </c>
      <c r="AB302" s="1">
        <v>35493.249254532442</v>
      </c>
      <c r="AC302" s="1">
        <v>53539.878692097504</v>
      </c>
      <c r="AD302" s="1">
        <v>7090.8190804454371</v>
      </c>
      <c r="AE302" s="1">
        <v>2517.6992302708622</v>
      </c>
      <c r="AF302" s="1">
        <v>19.689814344136401</v>
      </c>
      <c r="AG302" s="1"/>
      <c r="AH302" s="1"/>
      <c r="AI302" s="1"/>
      <c r="AJ302" s="1"/>
      <c r="AK302" s="1"/>
      <c r="AL302" s="1"/>
      <c r="AM302" s="1"/>
      <c r="AN302" s="1"/>
      <c r="AO302" s="1"/>
      <c r="AP302" s="1"/>
      <c r="AQ302" s="1"/>
    </row>
    <row r="303" spans="1:43" x14ac:dyDescent="0.3">
      <c r="A303" s="9">
        <f t="shared" si="24"/>
        <v>2020</v>
      </c>
      <c r="B303" s="9">
        <f t="shared" si="25"/>
        <v>10</v>
      </c>
      <c r="C303" s="10">
        <v>44128</v>
      </c>
      <c r="D303" s="9">
        <v>0.20699999999999999</v>
      </c>
      <c r="E303" s="9">
        <v>0.151</v>
      </c>
      <c r="F303" s="9">
        <v>14.709664152861468</v>
      </c>
      <c r="G303" s="9">
        <v>12328.538926960444</v>
      </c>
      <c r="H303" s="9">
        <v>56995.193696868497</v>
      </c>
      <c r="I303" s="9">
        <v>1800.270038167939</v>
      </c>
      <c r="J303" s="20">
        <v>71.260000000000005</v>
      </c>
      <c r="K303" s="9">
        <v>72.03</v>
      </c>
      <c r="L303" s="31">
        <f>Table1[[#This Row],[TN550 I (O2)]]/(Table1[[#This Row],[Flowmeter A]]+Table1[[#This Row],[Flowmeter B]])</f>
        <v>2.2750963509141364E-2</v>
      </c>
      <c r="M303" s="33">
        <f>Table1[[#This Row],[TN120 Venting2]]/100</f>
        <v>0</v>
      </c>
      <c r="N303" s="31">
        <f>Table1[[#This Row],[TN550 I Venting2]]/100</f>
        <v>0</v>
      </c>
      <c r="O303" s="31">
        <f>(Table1[[#This Row],[TN550 I (O2)]]-Table1[[#This Row],[O2]])/Table1[[#This Row],[TN550 I (O2)]]</f>
        <v>0.22318595324228965</v>
      </c>
      <c r="P303" s="9">
        <f>Table1[[#This Row],[M-N2]]+Table1[[#This Row],[TEN-N2]]</f>
        <v>65468.716959946032</v>
      </c>
      <c r="Q303" s="9">
        <v>1398.4750536058943</v>
      </c>
      <c r="R303" s="9">
        <f>SUM(Table1[[#This Row],[TEN-CDA]:[TEN-CDA WWT]])</f>
        <v>99284.637567842554</v>
      </c>
      <c r="S303" s="9">
        <v>429.12102153283041</v>
      </c>
      <c r="T303" s="9">
        <v>215.01045685555684</v>
      </c>
      <c r="U303" s="9">
        <v>34.631780196857648</v>
      </c>
      <c r="V303" s="42">
        <v>0</v>
      </c>
      <c r="W303" s="9">
        <v>0</v>
      </c>
      <c r="X303" s="9">
        <v>77279.919820220326</v>
      </c>
      <c r="Y303" s="9">
        <v>1849.4778180198484</v>
      </c>
      <c r="Z303" s="1">
        <v>63137.033071651633</v>
      </c>
      <c r="AA303" s="1">
        <v>2331.6838882943975</v>
      </c>
      <c r="AB303" s="1">
        <v>35957.683919044932</v>
      </c>
      <c r="AC303" s="1">
        <v>53512.882400459741</v>
      </c>
      <c r="AD303" s="1">
        <v>7264.65595689571</v>
      </c>
      <c r="AE303" s="1">
        <v>2533.6452834945349</v>
      </c>
      <c r="AF303" s="1">
        <v>15.770007947639488</v>
      </c>
      <c r="AG303" s="1"/>
      <c r="AH303" s="1"/>
      <c r="AI303" s="1"/>
      <c r="AJ303" s="1"/>
      <c r="AK303" s="1"/>
      <c r="AL303" s="1"/>
      <c r="AM303" s="1"/>
      <c r="AN303" s="1"/>
      <c r="AO303" s="1"/>
      <c r="AP303" s="1"/>
      <c r="AQ303" s="1"/>
    </row>
    <row r="304" spans="1:43" x14ac:dyDescent="0.3">
      <c r="A304" s="9">
        <f t="shared" si="24"/>
        <v>2020</v>
      </c>
      <c r="B304" s="9">
        <f t="shared" si="25"/>
        <v>10</v>
      </c>
      <c r="C304" s="10">
        <v>44129</v>
      </c>
      <c r="D304" s="9">
        <v>0.20599999999999999</v>
      </c>
      <c r="E304" s="9">
        <v>0.155</v>
      </c>
      <c r="F304" s="9">
        <v>15.929952349454307</v>
      </c>
      <c r="G304" s="9">
        <v>12320.662453645473</v>
      </c>
      <c r="H304" s="9">
        <v>56997.544405469293</v>
      </c>
      <c r="I304" s="9">
        <v>1799.9795777468446</v>
      </c>
      <c r="J304" s="20">
        <v>71.22</v>
      </c>
      <c r="K304" s="9">
        <v>72.02</v>
      </c>
      <c r="L304" s="31">
        <f>Table1[[#This Row],[TN550 I (O2)]]/(Table1[[#This Row],[Flowmeter A]]+Table1[[#This Row],[Flowmeter B]])</f>
        <v>2.274372263582965E-2</v>
      </c>
      <c r="M304" s="33">
        <f>Table1[[#This Row],[TN120 Venting2]]/100</f>
        <v>0</v>
      </c>
      <c r="N304" s="31">
        <f>Table1[[#This Row],[TN550 I Venting2]]/100</f>
        <v>0</v>
      </c>
      <c r="O304" s="31">
        <f>(Table1[[#This Row],[TN550 I (O2)]]-Table1[[#This Row],[O2]])/Table1[[#This Row],[TN550 I (O2)]]</f>
        <v>0.22272444333731928</v>
      </c>
      <c r="P304" s="9">
        <f>Table1[[#This Row],[M-N2]]+Table1[[#This Row],[TEN-N2]]</f>
        <v>65052.900886978525</v>
      </c>
      <c r="Q304" s="9">
        <v>1399.0801282746356</v>
      </c>
      <c r="R304" s="9">
        <f>SUM(Table1[[#This Row],[TEN-CDA]:[TEN-CDA WWT]])</f>
        <v>99215.120448124493</v>
      </c>
      <c r="S304" s="9">
        <v>424.44083558611368</v>
      </c>
      <c r="T304" s="9">
        <v>221.61669093813023</v>
      </c>
      <c r="U304" s="9">
        <v>33.654161101161897</v>
      </c>
      <c r="V304" s="42">
        <v>0</v>
      </c>
      <c r="W304" s="9">
        <v>0</v>
      </c>
      <c r="X304" s="9">
        <v>77292.459923664122</v>
      </c>
      <c r="Y304" s="9">
        <v>1849.358967110649</v>
      </c>
      <c r="Z304" s="1">
        <v>62711.13851600451</v>
      </c>
      <c r="AA304" s="1">
        <v>2341.7623709740155</v>
      </c>
      <c r="AB304" s="1">
        <v>35979.037919139795</v>
      </c>
      <c r="AC304" s="1">
        <v>53530.122725646259</v>
      </c>
      <c r="AD304" s="1">
        <v>7165.149429988398</v>
      </c>
      <c r="AE304" s="1">
        <v>2521.0497181116089</v>
      </c>
      <c r="AF304" s="1">
        <v>19.76065523844294</v>
      </c>
      <c r="AG304" s="1"/>
      <c r="AH304" s="1"/>
      <c r="AI304" s="1"/>
      <c r="AJ304" s="1"/>
      <c r="AK304" s="1"/>
      <c r="AL304" s="1"/>
      <c r="AM304" s="1"/>
      <c r="AN304" s="1"/>
      <c r="AO304" s="1"/>
      <c r="AP304" s="1"/>
      <c r="AQ304" s="1"/>
    </row>
    <row r="305" spans="1:43" x14ac:dyDescent="0.3">
      <c r="A305" s="9">
        <f t="shared" si="24"/>
        <v>2020</v>
      </c>
      <c r="B305" s="9">
        <f t="shared" si="25"/>
        <v>10</v>
      </c>
      <c r="C305" s="10">
        <v>44130</v>
      </c>
      <c r="D305" s="9">
        <v>0.20699999999999999</v>
      </c>
      <c r="E305" s="9">
        <v>0.158</v>
      </c>
      <c r="F305" s="9">
        <v>15.891674056969777</v>
      </c>
      <c r="G305" s="9">
        <v>11685.468610394257</v>
      </c>
      <c r="H305" s="9">
        <v>56419.938882503469</v>
      </c>
      <c r="I305" s="9">
        <v>1750.8235058966484</v>
      </c>
      <c r="J305" s="20">
        <v>71.06</v>
      </c>
      <c r="K305" s="9">
        <v>71.89</v>
      </c>
      <c r="L305" s="31">
        <f>Table1[[#This Row],[TN550 I (O2)]]/(Table1[[#This Row],[Flowmeter A]]+Table1[[#This Row],[Flowmeter B]])</f>
        <v>2.2308616308259324E-2</v>
      </c>
      <c r="M305" s="33">
        <f>Table1[[#This Row],[TN120 Venting2]]/100</f>
        <v>8.9999999999999998E-4</v>
      </c>
      <c r="N305" s="31">
        <f>Table1[[#This Row],[TN550 I Venting2]]/100</f>
        <v>0</v>
      </c>
      <c r="O305" s="31">
        <f>(Table1[[#This Row],[TN550 I (O2)]]-Table1[[#This Row],[O2]])/Table1[[#This Row],[TN550 I (O2)]]</f>
        <v>0.20441414148919612</v>
      </c>
      <c r="P305" s="9">
        <f>Table1[[#This Row],[M-N2]]+Table1[[#This Row],[TEN-N2]]</f>
        <v>65317.014603031748</v>
      </c>
      <c r="Q305" s="9">
        <v>1392.9304220396805</v>
      </c>
      <c r="R305" s="9">
        <f>SUM(Table1[[#This Row],[TEN-CDA]:[TEN-CDA WWT]])</f>
        <v>99468.18785510039</v>
      </c>
      <c r="S305" s="9">
        <v>426.06901189207122</v>
      </c>
      <c r="T305" s="9">
        <v>216.63162314039729</v>
      </c>
      <c r="U305" s="9">
        <v>33.408415515748764</v>
      </c>
      <c r="V305" s="42">
        <v>0.09</v>
      </c>
      <c r="W305" s="9">
        <v>0</v>
      </c>
      <c r="X305" s="9">
        <v>76680.717063887918</v>
      </c>
      <c r="Y305" s="9">
        <v>1801.2238016439592</v>
      </c>
      <c r="Z305" s="1">
        <v>62940.788563714435</v>
      </c>
      <c r="AA305" s="1">
        <v>2376.2260393173142</v>
      </c>
      <c r="AB305" s="1">
        <v>36136.215044348544</v>
      </c>
      <c r="AC305" s="1">
        <v>53605.20308162734</v>
      </c>
      <c r="AD305" s="1">
        <v>7219.3540133940196</v>
      </c>
      <c r="AE305" s="1">
        <v>2484.9607967082861</v>
      </c>
      <c r="AF305" s="1">
        <v>22.454919022199679</v>
      </c>
      <c r="AG305" s="1"/>
      <c r="AH305" s="1"/>
      <c r="AI305" s="1"/>
      <c r="AJ305" s="1"/>
      <c r="AK305" s="1"/>
      <c r="AL305" s="1"/>
      <c r="AM305" s="1"/>
      <c r="AN305" s="1"/>
      <c r="AO305" s="1"/>
      <c r="AP305" s="1"/>
      <c r="AQ305" s="1"/>
    </row>
    <row r="306" spans="1:43" x14ac:dyDescent="0.3">
      <c r="A306" s="9">
        <f t="shared" si="24"/>
        <v>2020</v>
      </c>
      <c r="B306" s="9">
        <f t="shared" si="25"/>
        <v>10</v>
      </c>
      <c r="C306" s="10">
        <v>44131</v>
      </c>
      <c r="D306" s="9">
        <v>0.20899999999999999</v>
      </c>
      <c r="E306" s="9">
        <v>0.157</v>
      </c>
      <c r="F306" s="9">
        <v>14.567469940344385</v>
      </c>
      <c r="G306" s="9">
        <v>10968.338129174619</v>
      </c>
      <c r="H306" s="9">
        <v>55998.512979267871</v>
      </c>
      <c r="I306" s="9">
        <v>1700.0433319960098</v>
      </c>
      <c r="J306" s="20">
        <v>70.89</v>
      </c>
      <c r="K306" s="9">
        <v>71.94</v>
      </c>
      <c r="L306" s="31">
        <f>Table1[[#This Row],[TN550 I (O2)]]/(Table1[[#This Row],[Flowmeter A]]+Table1[[#This Row],[Flowmeter B]])</f>
        <v>2.1839230186444604E-2</v>
      </c>
      <c r="M306" s="33">
        <f>Table1[[#This Row],[TN120 Venting2]]/100</f>
        <v>4.0999999999999995E-3</v>
      </c>
      <c r="N306" s="31">
        <f>Table1[[#This Row],[TN550 I Venting2]]/100</f>
        <v>0</v>
      </c>
      <c r="O306" s="31">
        <f>(Table1[[#This Row],[TN550 I (O2)]]-Table1[[#This Row],[O2]])/Table1[[#This Row],[TN550 I (O2)]]</f>
        <v>0.18173863111423991</v>
      </c>
      <c r="P306" s="9">
        <f>Table1[[#This Row],[M-N2]]+Table1[[#This Row],[TEN-N2]]</f>
        <v>65719.951726909479</v>
      </c>
      <c r="Q306" s="9">
        <v>1391.0797840041637</v>
      </c>
      <c r="R306" s="9">
        <f>SUM(Table1[[#This Row],[TEN-CDA]:[TEN-CDA WWT]])</f>
        <v>99065.635304826239</v>
      </c>
      <c r="S306" s="9">
        <v>422.67186415683551</v>
      </c>
      <c r="T306" s="9">
        <v>220.60388307485377</v>
      </c>
      <c r="U306" s="9">
        <v>35.163307134349012</v>
      </c>
      <c r="V306" s="42">
        <v>0.41</v>
      </c>
      <c r="W306" s="9">
        <v>0</v>
      </c>
      <c r="X306" s="9">
        <v>76093.156559030191</v>
      </c>
      <c r="Y306" s="9">
        <v>1750.399165347415</v>
      </c>
      <c r="Z306" s="1">
        <v>63359.991382395041</v>
      </c>
      <c r="AA306" s="1">
        <v>2359.960344514443</v>
      </c>
      <c r="AB306" s="1">
        <v>35700.846721027061</v>
      </c>
      <c r="AC306" s="1">
        <v>53585.231599149898</v>
      </c>
      <c r="AD306" s="1">
        <v>7243.3805811800612</v>
      </c>
      <c r="AE306" s="1">
        <v>2514.8624705540315</v>
      </c>
      <c r="AF306" s="1">
        <v>21.313932915204603</v>
      </c>
      <c r="AG306" s="1"/>
      <c r="AH306" s="1"/>
      <c r="AI306" s="1"/>
      <c r="AJ306" s="1"/>
      <c r="AK306" s="1"/>
      <c r="AL306" s="1"/>
      <c r="AM306" s="1"/>
      <c r="AN306" s="1"/>
      <c r="AO306" s="1"/>
      <c r="AP306" s="1"/>
      <c r="AQ306" s="1"/>
    </row>
    <row r="307" spans="1:43" x14ac:dyDescent="0.3">
      <c r="A307" s="9">
        <f t="shared" si="24"/>
        <v>2020</v>
      </c>
      <c r="B307" s="9">
        <f t="shared" si="25"/>
        <v>10</v>
      </c>
      <c r="C307" s="10">
        <v>44132</v>
      </c>
      <c r="D307" s="9">
        <v>0.20899999999999999</v>
      </c>
      <c r="E307" s="9">
        <v>0.151</v>
      </c>
      <c r="F307" s="9">
        <v>13.717737123752782</v>
      </c>
      <c r="G307" s="9">
        <v>11050.248753036089</v>
      </c>
      <c r="H307" s="9">
        <v>55944.75612096634</v>
      </c>
      <c r="I307" s="9">
        <v>1699.9515705307188</v>
      </c>
      <c r="J307" s="20">
        <v>70.900000000000006</v>
      </c>
      <c r="K307" s="9">
        <v>71.92</v>
      </c>
      <c r="L307" s="31">
        <f>Table1[[#This Row],[TN550 I (O2)]]/(Table1[[#This Row],[Flowmeter A]]+Table1[[#This Row],[Flowmeter B]])</f>
        <v>2.1853265203064839E-2</v>
      </c>
      <c r="M307" s="33">
        <f>Table1[[#This Row],[TN120 Venting2]]/100</f>
        <v>2.2000000000000001E-3</v>
      </c>
      <c r="N307" s="31">
        <f>Table1[[#This Row],[TN550 I Venting2]]/100</f>
        <v>0</v>
      </c>
      <c r="O307" s="31">
        <f>(Table1[[#This Row],[TN550 I (O2)]]-Table1[[#This Row],[O2]])/Table1[[#This Row],[TN550 I (O2)]]</f>
        <v>0.18472219506522927</v>
      </c>
      <c r="P307" s="9">
        <f>Table1[[#This Row],[M-N2]]+Table1[[#This Row],[TEN-N2]]</f>
        <v>65856.194442674896</v>
      </c>
      <c r="Q307" s="9">
        <v>1385.9327849177005</v>
      </c>
      <c r="R307" s="9">
        <f>SUM(Table1[[#This Row],[TEN-CDA]:[TEN-CDA WWT]])</f>
        <v>98980.139671315643</v>
      </c>
      <c r="S307" s="9">
        <v>426.49830819102817</v>
      </c>
      <c r="T307" s="9">
        <v>218.47573118719436</v>
      </c>
      <c r="U307" s="9">
        <v>34.252119559368104</v>
      </c>
      <c r="V307" s="42">
        <v>0.22</v>
      </c>
      <c r="W307" s="9">
        <v>0</v>
      </c>
      <c r="X307" s="9">
        <v>76039.217931341089</v>
      </c>
      <c r="Y307" s="9">
        <v>1750.1446528967515</v>
      </c>
      <c r="Z307" s="1">
        <v>63466.138044326857</v>
      </c>
      <c r="AA307" s="1">
        <v>2390.0563983480438</v>
      </c>
      <c r="AB307" s="1">
        <v>35703.238820697436</v>
      </c>
      <c r="AC307" s="1">
        <v>53614.611397250177</v>
      </c>
      <c r="AD307" s="1">
        <v>7142.9013265256335</v>
      </c>
      <c r="AE307" s="1">
        <v>2497.9538123549728</v>
      </c>
      <c r="AF307" s="1">
        <v>21.434314487420544</v>
      </c>
      <c r="AG307" s="1"/>
      <c r="AH307" s="1"/>
      <c r="AI307" s="1"/>
      <c r="AJ307" s="1"/>
      <c r="AK307" s="1"/>
      <c r="AL307" s="1"/>
      <c r="AM307" s="1"/>
      <c r="AN307" s="1"/>
      <c r="AO307" s="1"/>
      <c r="AP307" s="1"/>
      <c r="AQ307" s="1"/>
    </row>
    <row r="308" spans="1:43" x14ac:dyDescent="0.3">
      <c r="A308" s="9">
        <f t="shared" si="24"/>
        <v>2020</v>
      </c>
      <c r="B308" s="9">
        <f t="shared" si="25"/>
        <v>10</v>
      </c>
      <c r="C308" s="10">
        <v>44133</v>
      </c>
      <c r="D308" s="9">
        <v>0.20699999999999999</v>
      </c>
      <c r="E308" s="9">
        <v>0.14899999999999999</v>
      </c>
      <c r="F308" s="9">
        <v>13.832628594927288</v>
      </c>
      <c r="G308" s="9">
        <v>10782.966136119663</v>
      </c>
      <c r="H308" s="9">
        <v>55985.956892999653</v>
      </c>
      <c r="I308" s="9">
        <v>1700.0193859685385</v>
      </c>
      <c r="J308" s="20">
        <v>70.95</v>
      </c>
      <c r="K308" s="9">
        <v>71.819999999999993</v>
      </c>
      <c r="L308" s="31">
        <f>Table1[[#This Row],[TN550 I (O2)]]/(Table1[[#This Row],[Flowmeter A]]+Table1[[#This Row],[Flowmeter B]])</f>
        <v>2.1809560373124315E-2</v>
      </c>
      <c r="M308" s="33">
        <f>Table1[[#This Row],[TN120 Venting2]]/100</f>
        <v>1.2699999999999999E-2</v>
      </c>
      <c r="N308" s="31">
        <f>Table1[[#This Row],[TN550 I Venting2]]/100</f>
        <v>1E-4</v>
      </c>
      <c r="O308" s="31">
        <f>(Table1[[#This Row],[TN550 I (O2)]]-Table1[[#This Row],[O2]])/Table1[[#This Row],[TN550 I (O2)]]</f>
        <v>0.18435925286860172</v>
      </c>
      <c r="P308" s="9">
        <f>Table1[[#This Row],[M-N2]]+Table1[[#This Row],[TEN-N2]]</f>
        <v>65581.061516231493</v>
      </c>
      <c r="Q308" s="9">
        <v>1386.6050821092397</v>
      </c>
      <c r="R308" s="9">
        <f>SUM(Table1[[#This Row],[TEN-CDA]:[TEN-CDA WWT]])</f>
        <v>99368.601104005967</v>
      </c>
      <c r="S308" s="9">
        <v>426.01504087977946</v>
      </c>
      <c r="T308" s="9">
        <v>220.28378877109952</v>
      </c>
      <c r="U308" s="9">
        <v>33.729365294509464</v>
      </c>
      <c r="V308" s="42">
        <v>1.27</v>
      </c>
      <c r="W308" s="9">
        <v>0.01</v>
      </c>
      <c r="X308" s="9">
        <v>76198.420400329633</v>
      </c>
      <c r="Y308" s="9">
        <v>1749.9360490490544</v>
      </c>
      <c r="Z308" s="1">
        <v>63195.587105305989</v>
      </c>
      <c r="AA308" s="1">
        <v>2385.4744109254975</v>
      </c>
      <c r="AB308" s="1">
        <v>35931.765753207925</v>
      </c>
      <c r="AC308" s="1">
        <v>53678.65241563585</v>
      </c>
      <c r="AD308" s="1">
        <v>7219.512861802843</v>
      </c>
      <c r="AE308" s="1">
        <v>2516.8215088314482</v>
      </c>
      <c r="AF308" s="1">
        <v>21.848564527905417</v>
      </c>
      <c r="AG308" s="1"/>
      <c r="AH308" s="1"/>
      <c r="AI308" s="1"/>
      <c r="AJ308" s="1"/>
      <c r="AK308" s="1"/>
      <c r="AL308" s="1"/>
      <c r="AM308" s="1"/>
      <c r="AN308" s="1"/>
      <c r="AO308" s="1"/>
      <c r="AP308" s="1"/>
      <c r="AQ308" s="1"/>
    </row>
    <row r="309" spans="1:43" x14ac:dyDescent="0.3">
      <c r="A309" s="9">
        <f t="shared" si="24"/>
        <v>2020</v>
      </c>
      <c r="B309" s="9">
        <f t="shared" si="25"/>
        <v>10</v>
      </c>
      <c r="C309" s="10">
        <v>44134</v>
      </c>
      <c r="D309" s="9">
        <v>0.21</v>
      </c>
      <c r="E309" s="9">
        <v>0.157</v>
      </c>
      <c r="F309" s="9">
        <v>14.443155583203623</v>
      </c>
      <c r="G309" s="9">
        <v>10868.689293866022</v>
      </c>
      <c r="H309" s="9">
        <v>56001.41781965649</v>
      </c>
      <c r="I309" s="9">
        <v>1699.8864031969715</v>
      </c>
      <c r="J309" s="20">
        <v>70.98</v>
      </c>
      <c r="K309" s="9">
        <v>71.930000000000007</v>
      </c>
      <c r="L309" s="31">
        <f>Table1[[#This Row],[TN550 I (O2)]]/(Table1[[#This Row],[Flowmeter A]]+Table1[[#This Row],[Flowmeter B]])</f>
        <v>2.1834999004606649E-2</v>
      </c>
      <c r="M309" s="33">
        <f>Table1[[#This Row],[TN120 Venting2]]/100</f>
        <v>1.0500000000000001E-2</v>
      </c>
      <c r="N309" s="31">
        <f>Table1[[#This Row],[TN550 I Venting2]]/100</f>
        <v>1E-4</v>
      </c>
      <c r="O309" s="31">
        <f>(Table1[[#This Row],[TN550 I (O2)]]-Table1[[#This Row],[O2]])/Table1[[#This Row],[TN550 I (O2)]]</f>
        <v>0.18276421557191894</v>
      </c>
      <c r="P309" s="9">
        <f>Table1[[#This Row],[M-N2]]+Table1[[#This Row],[TEN-N2]]</f>
        <v>65697.931496614226</v>
      </c>
      <c r="Q309" s="9">
        <v>1389.2079981553063</v>
      </c>
      <c r="R309" s="9">
        <f>SUM(Table1[[#This Row],[TEN-CDA]:[TEN-CDA WWT]])</f>
        <v>99812.396181710923</v>
      </c>
      <c r="S309" s="9">
        <v>432.70162709730522</v>
      </c>
      <c r="T309" s="9">
        <v>227.24270271973671</v>
      </c>
      <c r="U309" s="9">
        <v>34.284472471471467</v>
      </c>
      <c r="V309" s="42">
        <v>1.05</v>
      </c>
      <c r="W309" s="9">
        <v>0.01</v>
      </c>
      <c r="X309" s="9">
        <v>76101.596753556558</v>
      </c>
      <c r="Y309" s="9">
        <v>1749.8564495481112</v>
      </c>
      <c r="Z309" s="1">
        <v>63376.64560201249</v>
      </c>
      <c r="AA309" s="1">
        <v>2321.2858946017304</v>
      </c>
      <c r="AB309" s="1">
        <v>36154.007977858259</v>
      </c>
      <c r="AC309" s="1">
        <v>53817.406491260408</v>
      </c>
      <c r="AD309" s="1">
        <v>7306.8239822334754</v>
      </c>
      <c r="AE309" s="1">
        <v>2508.9529083061352</v>
      </c>
      <c r="AF309" s="1">
        <v>25.204822052650201</v>
      </c>
      <c r="AG309" s="1"/>
      <c r="AH309" s="1"/>
      <c r="AI309" s="1"/>
      <c r="AJ309" s="1"/>
      <c r="AK309" s="1"/>
      <c r="AL309" s="1"/>
      <c r="AM309" s="1"/>
      <c r="AN309" s="1"/>
      <c r="AO309" s="1"/>
      <c r="AP309" s="1"/>
      <c r="AQ309" s="1"/>
    </row>
    <row r="310" spans="1:43" x14ac:dyDescent="0.3">
      <c r="A310" s="9">
        <f t="shared" si="24"/>
        <v>2020</v>
      </c>
      <c r="B310" s="9">
        <f t="shared" si="25"/>
        <v>10</v>
      </c>
      <c r="C310" s="10">
        <v>44135</v>
      </c>
      <c r="D310" s="9">
        <v>0.20899999999999999</v>
      </c>
      <c r="E310" s="9">
        <v>0.155</v>
      </c>
      <c r="F310" s="9">
        <v>14.460767520293023</v>
      </c>
      <c r="G310" s="9">
        <v>10977.533877434293</v>
      </c>
      <c r="H310" s="9">
        <v>55961.199717535565</v>
      </c>
      <c r="I310" s="9">
        <v>1699.8105209530599</v>
      </c>
      <c r="J310" s="20">
        <v>70.94</v>
      </c>
      <c r="K310" s="9">
        <v>71.900000000000006</v>
      </c>
      <c r="L310" s="31">
        <f>Table1[[#This Row],[TN550 I (O2)]]/(Table1[[#This Row],[Flowmeter A]]+Table1[[#This Row],[Flowmeter B]])</f>
        <v>2.1839265417700798E-2</v>
      </c>
      <c r="M310" s="33">
        <f>Table1[[#This Row],[TN120 Venting2]]/100</f>
        <v>2.8999999999999998E-3</v>
      </c>
      <c r="N310" s="31">
        <f>Table1[[#This Row],[TN550 I Venting2]]/100</f>
        <v>0</v>
      </c>
      <c r="O310" s="31">
        <f>(Table1[[#This Row],[TN550 I (O2)]]-Table1[[#This Row],[O2]])/Table1[[#This Row],[TN550 I (O2)]]</f>
        <v>0.18342289855123661</v>
      </c>
      <c r="P310" s="9">
        <f>Table1[[#This Row],[M-N2]]+Table1[[#This Row],[TEN-N2]]</f>
        <v>65598.995731902483</v>
      </c>
      <c r="Q310" s="9">
        <v>1388.0263482119622</v>
      </c>
      <c r="R310" s="9">
        <f>SUM(Table1[[#This Row],[TEN-CDA]:[TEN-CDA WWT]])</f>
        <v>99097.776882348917</v>
      </c>
      <c r="S310" s="9">
        <v>429.09172808867538</v>
      </c>
      <c r="T310" s="9">
        <v>223.35742123965832</v>
      </c>
      <c r="U310" s="9">
        <v>34.00138887938818</v>
      </c>
      <c r="V310" s="42">
        <v>0.28999999999999998</v>
      </c>
      <c r="W310" s="9">
        <v>0</v>
      </c>
      <c r="X310" s="9">
        <v>76082.407187933728</v>
      </c>
      <c r="Y310" s="9">
        <v>1750.3627538317032</v>
      </c>
      <c r="Z310" s="1">
        <v>63312.435930451946</v>
      </c>
      <c r="AA310" s="1">
        <v>2286.5598014505408</v>
      </c>
      <c r="AB310" s="1">
        <v>35690.463655724423</v>
      </c>
      <c r="AC310" s="1">
        <v>53718.28232076249</v>
      </c>
      <c r="AD310" s="1">
        <v>7158.5108370651888</v>
      </c>
      <c r="AE310" s="1">
        <v>2503.0908609743669</v>
      </c>
      <c r="AF310" s="1">
        <v>27.429207822452831</v>
      </c>
      <c r="AG310" s="1"/>
      <c r="AH310" s="1"/>
      <c r="AI310" s="1"/>
      <c r="AJ310" s="1"/>
      <c r="AK310" s="1"/>
      <c r="AL310" s="1"/>
      <c r="AM310" s="1"/>
      <c r="AN310" s="1"/>
      <c r="AO310" s="1"/>
      <c r="AP310" s="1"/>
      <c r="AQ310" s="1"/>
    </row>
    <row r="311" spans="1:43" x14ac:dyDescent="0.3">
      <c r="A311" s="9">
        <f t="shared" si="24"/>
        <v>2020</v>
      </c>
      <c r="B311" s="9">
        <f t="shared" si="25"/>
        <v>11</v>
      </c>
      <c r="C311" s="10">
        <v>44136</v>
      </c>
      <c r="D311" s="9">
        <v>0.20799999999999999</v>
      </c>
      <c r="E311" s="9">
        <v>0.15</v>
      </c>
      <c r="F311" s="9">
        <v>13.126567936610508</v>
      </c>
      <c r="G311" s="9">
        <v>10878.168701341299</v>
      </c>
      <c r="H311" s="9">
        <v>55954.756704266154</v>
      </c>
      <c r="I311" s="9">
        <v>1699.8691669421253</v>
      </c>
      <c r="J311" s="20">
        <v>70.900000000000006</v>
      </c>
      <c r="K311" s="9">
        <v>71.97</v>
      </c>
      <c r="L311" s="31">
        <f>Table1[[#This Row],[TN550 I (O2)]]/(Table1[[#This Row],[Flowmeter A]]+Table1[[#This Row],[Flowmeter B]])</f>
        <v>2.1863842416646243E-2</v>
      </c>
      <c r="M311" s="33">
        <f>Table1[[#This Row],[TN120 Venting2]]/100</f>
        <v>5.1000000000000004E-3</v>
      </c>
      <c r="N311" s="31">
        <f>Table1[[#This Row],[TN550 I Venting2]]/100</f>
        <v>1E-4</v>
      </c>
      <c r="O311" s="31">
        <f>(Table1[[#This Row],[TN550 I (O2)]]-Table1[[#This Row],[O2]])/Table1[[#This Row],[TN550 I (O2)]]</f>
        <v>0.18667960255654389</v>
      </c>
      <c r="P311" s="9">
        <f>Table1[[#This Row],[M-N2]]+Table1[[#This Row],[TEN-N2]]</f>
        <v>65582.097604406124</v>
      </c>
      <c r="Q311" s="9">
        <v>1382.538266459246</v>
      </c>
      <c r="R311" s="9">
        <f>SUM(Table1[[#This Row],[TEN-CDA]:[TEN-CDA WWT]])</f>
        <v>99226.746195274653</v>
      </c>
      <c r="S311" s="9">
        <v>431.05822232926079</v>
      </c>
      <c r="T311" s="9">
        <v>231.63971334824043</v>
      </c>
      <c r="U311" s="9">
        <v>33.500512407026221</v>
      </c>
      <c r="V311" s="42">
        <v>0.51</v>
      </c>
      <c r="W311" s="9">
        <v>0.01</v>
      </c>
      <c r="X311" s="9">
        <v>75997.662361745082</v>
      </c>
      <c r="Y311" s="9">
        <v>1750.2986118445235</v>
      </c>
      <c r="Z311" s="1">
        <v>63269.069412517347</v>
      </c>
      <c r="AA311" s="1">
        <v>2313.0281918887708</v>
      </c>
      <c r="AB311" s="1">
        <v>35823.544297037646</v>
      </c>
      <c r="AC311" s="1">
        <v>53733.943092362075</v>
      </c>
      <c r="AD311" s="1">
        <v>7137.6735068962525</v>
      </c>
      <c r="AE311" s="1">
        <v>2507.7466794503057</v>
      </c>
      <c r="AF311" s="1">
        <v>23.838619528351241</v>
      </c>
      <c r="AG311" s="1"/>
      <c r="AH311" s="1"/>
      <c r="AI311" s="1"/>
      <c r="AJ311" s="1"/>
      <c r="AK311" s="1"/>
      <c r="AL311" s="1"/>
      <c r="AM311" s="1"/>
      <c r="AN311" s="1"/>
      <c r="AO311" s="1"/>
      <c r="AP311" s="1"/>
      <c r="AQ311" s="1"/>
    </row>
    <row r="312" spans="1:43" x14ac:dyDescent="0.3">
      <c r="A312" s="9">
        <f t="shared" si="24"/>
        <v>2020</v>
      </c>
      <c r="B312" s="9">
        <f t="shared" si="25"/>
        <v>11</v>
      </c>
      <c r="C312" s="10">
        <v>44137</v>
      </c>
      <c r="D312" s="9">
        <v>0.20699999999999999</v>
      </c>
      <c r="E312" s="9">
        <v>0.14899999999999999</v>
      </c>
      <c r="F312" s="9">
        <v>12.902099919765876</v>
      </c>
      <c r="G312" s="9">
        <v>10778.217852728139</v>
      </c>
      <c r="H312" s="9">
        <v>56002.109168979878</v>
      </c>
      <c r="I312" s="9">
        <v>1700.0589885089564</v>
      </c>
      <c r="J312" s="20">
        <v>70.94</v>
      </c>
      <c r="K312" s="9">
        <v>71.989999999999995</v>
      </c>
      <c r="L312" s="31">
        <f>Table1[[#This Row],[TN550 I (O2)]]/(Table1[[#This Row],[Flowmeter A]]+Table1[[#This Row],[Flowmeter B]])</f>
        <v>2.1854614426639857E-2</v>
      </c>
      <c r="M312" s="33">
        <f>Table1[[#This Row],[TN120 Venting2]]/100</f>
        <v>1.09E-2</v>
      </c>
      <c r="N312" s="31">
        <f>Table1[[#This Row],[TN550 I Venting2]]/100</f>
        <v>1E-4</v>
      </c>
      <c r="O312" s="31">
        <f>(Table1[[#This Row],[TN550 I (O2)]]-Table1[[#This Row],[O2]])/Table1[[#This Row],[TN550 I (O2)]]</f>
        <v>0.19078346780784189</v>
      </c>
      <c r="P312" s="9">
        <f>Table1[[#This Row],[M-N2]]+Table1[[#This Row],[TEN-N2]]</f>
        <v>65758.771529950172</v>
      </c>
      <c r="Q312" s="9">
        <v>1375.7158392033257</v>
      </c>
      <c r="R312" s="9">
        <f>SUM(Table1[[#This Row],[TEN-CDA]:[TEN-CDA WWT]])</f>
        <v>99861.330589848745</v>
      </c>
      <c r="S312" s="9">
        <v>429.88150867300669</v>
      </c>
      <c r="T312" s="9">
        <v>223.75349754529392</v>
      </c>
      <c r="U312" s="9">
        <v>33.719583198976217</v>
      </c>
      <c r="V312" s="42">
        <v>1.0900000000000001</v>
      </c>
      <c r="W312" s="9">
        <v>0.01</v>
      </c>
      <c r="X312" s="9">
        <v>76039.67707429736</v>
      </c>
      <c r="Y312" s="9">
        <v>1749.7981971883671</v>
      </c>
      <c r="Z312" s="1">
        <v>63397.68124891568</v>
      </c>
      <c r="AA312" s="1">
        <v>2361.0902810344919</v>
      </c>
      <c r="AB312" s="1">
        <v>36443.606525958538</v>
      </c>
      <c r="AC312" s="1">
        <v>53758.778219335531</v>
      </c>
      <c r="AD312" s="1">
        <v>7142.6805366553172</v>
      </c>
      <c r="AE312" s="1">
        <v>2489.2030443539643</v>
      </c>
      <c r="AF312" s="1">
        <v>27.062263545385672</v>
      </c>
      <c r="AG312" s="1"/>
      <c r="AH312" s="1"/>
      <c r="AI312" s="1"/>
      <c r="AJ312" s="1"/>
      <c r="AK312" s="1"/>
      <c r="AL312" s="1"/>
      <c r="AM312" s="1"/>
      <c r="AN312" s="1"/>
      <c r="AO312" s="1"/>
      <c r="AP312" s="1"/>
      <c r="AQ312" s="1"/>
    </row>
    <row r="313" spans="1:43" x14ac:dyDescent="0.3">
      <c r="A313" s="9">
        <f t="shared" si="24"/>
        <v>2020</v>
      </c>
      <c r="B313" s="9">
        <f t="shared" si="25"/>
        <v>11</v>
      </c>
      <c r="C313" s="10">
        <v>44138</v>
      </c>
      <c r="D313" s="9">
        <v>0.20799999999999999</v>
      </c>
      <c r="E313" s="9">
        <v>0.14899999999999999</v>
      </c>
      <c r="F313" s="9">
        <v>12.963202584377186</v>
      </c>
      <c r="G313" s="9">
        <v>10589.502075788298</v>
      </c>
      <c r="H313" s="9">
        <v>56001.231959685123</v>
      </c>
      <c r="I313" s="9">
        <v>1699.9189713191522</v>
      </c>
      <c r="J313" s="20">
        <v>70.91</v>
      </c>
      <c r="K313" s="9">
        <v>71.84</v>
      </c>
      <c r="L313" s="31">
        <f>Table1[[#This Row],[TN550 I (O2)]]/(Table1[[#This Row],[Flowmeter A]]+Table1[[#This Row],[Flowmeter B]])</f>
        <v>2.1808171937811757E-2</v>
      </c>
      <c r="M313" s="33">
        <f>Table1[[#This Row],[TN120 Venting2]]/100</f>
        <v>1.9400000000000001E-2</v>
      </c>
      <c r="N313" s="31">
        <f>Table1[[#This Row],[TN550 I Venting2]]/100</f>
        <v>4.0000000000000002E-4</v>
      </c>
      <c r="O313" s="31">
        <f>(Table1[[#This Row],[TN550 I (O2)]]-Table1[[#This Row],[O2]])/Table1[[#This Row],[TN550 I (O2)]]</f>
        <v>0.19475411817132041</v>
      </c>
      <c r="P313" s="9">
        <f>Table1[[#This Row],[M-N2]]+Table1[[#This Row],[TEN-N2]]</f>
        <v>65740.928615890385</v>
      </c>
      <c r="Q313" s="9">
        <v>1368.8527510971926</v>
      </c>
      <c r="R313" s="9">
        <f>SUM(Table1[[#This Row],[TEN-CDA]:[TEN-CDA WWT]])</f>
        <v>99342.763355989606</v>
      </c>
      <c r="S313" s="9">
        <v>432.26261678426982</v>
      </c>
      <c r="T313" s="9">
        <v>217.15854771314272</v>
      </c>
      <c r="U313" s="9">
        <v>33.942381647706945</v>
      </c>
      <c r="V313" s="42">
        <v>1.94</v>
      </c>
      <c r="W313" s="9">
        <v>0.04</v>
      </c>
      <c r="X313" s="9">
        <v>76198.710677264055</v>
      </c>
      <c r="Y313" s="9">
        <v>1750.0039681746346</v>
      </c>
      <c r="Z313" s="1">
        <v>63349.370069070959</v>
      </c>
      <c r="AA313" s="1">
        <v>2391.558546819429</v>
      </c>
      <c r="AB313" s="1">
        <v>35829.195377558986</v>
      </c>
      <c r="AC313" s="1">
        <v>53736.603809745837</v>
      </c>
      <c r="AD313" s="1">
        <v>7257.2518474041453</v>
      </c>
      <c r="AE313" s="1">
        <v>2496.2473618919694</v>
      </c>
      <c r="AF313" s="1">
        <v>23.464959388656968</v>
      </c>
      <c r="AG313" s="1"/>
      <c r="AH313" s="1"/>
      <c r="AI313" s="1"/>
      <c r="AJ313" s="1"/>
      <c r="AK313" s="1"/>
      <c r="AL313" s="1"/>
      <c r="AM313" s="1"/>
      <c r="AN313" s="1"/>
      <c r="AO313" s="1"/>
      <c r="AP313" s="1"/>
      <c r="AQ313" s="1"/>
    </row>
    <row r="314" spans="1:43" x14ac:dyDescent="0.3">
      <c r="A314" s="9">
        <f t="shared" si="24"/>
        <v>2020</v>
      </c>
      <c r="B314" s="9">
        <f t="shared" si="25"/>
        <v>11</v>
      </c>
      <c r="C314" s="10">
        <v>44139</v>
      </c>
      <c r="D314" s="9">
        <v>0.21</v>
      </c>
      <c r="E314" s="9">
        <v>0.152</v>
      </c>
      <c r="F314" s="9">
        <v>13.923026671267316</v>
      </c>
      <c r="G314" s="9">
        <v>10433.710371622354</v>
      </c>
      <c r="H314" s="9">
        <v>55919.217982846108</v>
      </c>
      <c r="I314" s="9">
        <v>1700.0555976481176</v>
      </c>
      <c r="J314" s="20">
        <v>70.98</v>
      </c>
      <c r="K314" s="9">
        <v>71.78</v>
      </c>
      <c r="L314" s="31">
        <f>Table1[[#This Row],[TN550 I (O2)]]/(Table1[[#This Row],[Flowmeter A]]+Table1[[#This Row],[Flowmeter B]])</f>
        <v>2.1822574814358814E-2</v>
      </c>
      <c r="M314" s="33">
        <f>Table1[[#This Row],[TN120 Venting2]]/100</f>
        <v>2.7699999999999999E-2</v>
      </c>
      <c r="N314" s="31">
        <f>Table1[[#This Row],[TN550 I Venting2]]/100</f>
        <v>1.4000000000000002E-3</v>
      </c>
      <c r="O314" s="31">
        <f>(Table1[[#This Row],[TN550 I (O2)]]-Table1[[#This Row],[O2]])/Table1[[#This Row],[TN550 I (O2)]]</f>
        <v>0.19659342790290968</v>
      </c>
      <c r="P314" s="9">
        <f>Table1[[#This Row],[M-N2]]+Table1[[#This Row],[TEN-N2]]</f>
        <v>65053.618328827775</v>
      </c>
      <c r="Q314" s="9">
        <v>1365.8358400809443</v>
      </c>
      <c r="R314" s="9">
        <f>SUM(Table1[[#This Row],[TEN-CDA]:[TEN-CDA WWT]])</f>
        <v>99372.819035336623</v>
      </c>
      <c r="S314" s="9">
        <v>426.01322705112005</v>
      </c>
      <c r="T314" s="9">
        <v>220.3868923147547</v>
      </c>
      <c r="U314" s="9">
        <v>32.544662007021458</v>
      </c>
      <c r="V314" s="42">
        <v>2.77</v>
      </c>
      <c r="W314" s="9">
        <v>0.14000000000000001</v>
      </c>
      <c r="X314" s="9">
        <v>76153.381999262667</v>
      </c>
      <c r="Y314" s="9">
        <v>1750.1473555554951</v>
      </c>
      <c r="Z314" s="1">
        <v>63006.998877732483</v>
      </c>
      <c r="AA314" s="1">
        <v>2046.6194510952953</v>
      </c>
      <c r="AB314" s="1">
        <v>36054.929175160483</v>
      </c>
      <c r="AC314" s="1">
        <v>53717.008137794925</v>
      </c>
      <c r="AD314" s="1">
        <v>7131.5319914013708</v>
      </c>
      <c r="AE314" s="1">
        <v>2464.7134922512037</v>
      </c>
      <c r="AF314" s="1">
        <v>4.636238728636342</v>
      </c>
      <c r="AG314" s="1"/>
      <c r="AH314" s="1"/>
      <c r="AI314" s="1"/>
      <c r="AJ314" s="1"/>
      <c r="AK314" s="1"/>
      <c r="AL314" s="1"/>
      <c r="AM314" s="1"/>
      <c r="AN314" s="1"/>
      <c r="AO314" s="1"/>
      <c r="AP314" s="1"/>
      <c r="AQ314" s="1"/>
    </row>
    <row r="315" spans="1:43" x14ac:dyDescent="0.3">
      <c r="A315" s="9">
        <f t="shared" si="24"/>
        <v>2020</v>
      </c>
      <c r="B315" s="9">
        <f t="shared" si="25"/>
        <v>11</v>
      </c>
      <c r="C315" s="10">
        <v>44140</v>
      </c>
      <c r="D315" s="9">
        <v>0.20799999999999999</v>
      </c>
      <c r="E315" s="9">
        <v>0.14399999999999999</v>
      </c>
      <c r="F315" s="9">
        <v>15.426590057812492</v>
      </c>
      <c r="G315" s="9">
        <v>10622.620054839304</v>
      </c>
      <c r="H315" s="9">
        <v>55837.24735697866</v>
      </c>
      <c r="I315" s="9">
        <v>1699.9370308637122</v>
      </c>
      <c r="J315" s="20">
        <v>70.959999999999994</v>
      </c>
      <c r="K315" s="9">
        <v>71.81</v>
      </c>
      <c r="L315" s="31">
        <f>Table1[[#This Row],[TN550 I (O2)]]/(Table1[[#This Row],[Flowmeter A]]+Table1[[#This Row],[Flowmeter B]])</f>
        <v>2.1863099401476984E-2</v>
      </c>
      <c r="M315" s="33">
        <f>Table1[[#This Row],[TN120 Venting2]]/100</f>
        <v>1.06E-2</v>
      </c>
      <c r="N315" s="31">
        <f>Table1[[#This Row],[TN550 I Venting2]]/100</f>
        <v>2.0000000000000001E-4</v>
      </c>
      <c r="O315" s="31">
        <f>(Table1[[#This Row],[TN550 I (O2)]]-Table1[[#This Row],[O2]])/Table1[[#This Row],[TN550 I (O2)]]</f>
        <v>0.1951546414793203</v>
      </c>
      <c r="P315" s="9">
        <f>Table1[[#This Row],[M-N2]]+Table1[[#This Row],[TEN-N2]]</f>
        <v>65189.950288665364</v>
      </c>
      <c r="Q315" s="9">
        <v>1368.1864290680842</v>
      </c>
      <c r="R315" s="9">
        <f>SUM(Table1[[#This Row],[TEN-CDA]:[TEN-CDA WWT]])</f>
        <v>98762.24317181576</v>
      </c>
      <c r="S315" s="9">
        <v>427.76263709402514</v>
      </c>
      <c r="T315" s="9">
        <v>210.22318274705137</v>
      </c>
      <c r="U315" s="9">
        <v>34.068625595071595</v>
      </c>
      <c r="V315" s="42">
        <v>1.06</v>
      </c>
      <c r="W315" s="9">
        <v>0.02</v>
      </c>
      <c r="X315" s="9">
        <v>76003.961214000694</v>
      </c>
      <c r="Y315" s="9">
        <v>1749.7460553753633</v>
      </c>
      <c r="Z315" s="1">
        <v>63142.881110123177</v>
      </c>
      <c r="AA315" s="1">
        <v>2047.0691785421909</v>
      </c>
      <c r="AB315" s="1">
        <v>35135.944577875605</v>
      </c>
      <c r="AC315" s="1">
        <v>53813.303630291462</v>
      </c>
      <c r="AD315" s="1">
        <v>7318.7706565671615</v>
      </c>
      <c r="AE315" s="1">
        <v>2490.2445177638142</v>
      </c>
      <c r="AF315" s="1">
        <v>3.9797893177296535</v>
      </c>
      <c r="AG315" s="1"/>
      <c r="AH315" s="1"/>
      <c r="AI315" s="1"/>
      <c r="AJ315" s="1"/>
      <c r="AK315" s="1"/>
      <c r="AL315" s="1"/>
      <c r="AM315" s="1"/>
      <c r="AN315" s="1"/>
      <c r="AO315" s="1"/>
      <c r="AP315" s="1"/>
      <c r="AQ315" s="1"/>
    </row>
    <row r="316" spans="1:43" x14ac:dyDescent="0.3">
      <c r="A316" s="9">
        <f t="shared" si="24"/>
        <v>2020</v>
      </c>
      <c r="B316" s="9">
        <f t="shared" si="25"/>
        <v>11</v>
      </c>
      <c r="C316" s="10">
        <v>44141</v>
      </c>
      <c r="D316" s="9">
        <v>0.20799999999999999</v>
      </c>
      <c r="E316" s="9">
        <v>0.14299999999999999</v>
      </c>
      <c r="F316" s="9">
        <v>13.240178091669977</v>
      </c>
      <c r="G316" s="9">
        <v>10554.5823057176</v>
      </c>
      <c r="H316" s="9">
        <v>56023.493727229354</v>
      </c>
      <c r="I316" s="9">
        <v>1700.000219404656</v>
      </c>
      <c r="J316" s="20">
        <v>70.84</v>
      </c>
      <c r="K316" s="9">
        <v>71.959999999999994</v>
      </c>
      <c r="L316" s="31">
        <f>Table1[[#This Row],[TN550 I (O2)]]/(Table1[[#This Row],[Flowmeter A]]+Table1[[#This Row],[Flowmeter B]])</f>
        <v>2.183587010306675E-2</v>
      </c>
      <c r="M316" s="33">
        <f>Table1[[#This Row],[TN120 Venting2]]/100</f>
        <v>1.09E-2</v>
      </c>
      <c r="N316" s="31">
        <f>Table1[[#This Row],[TN550 I Venting2]]/100</f>
        <v>4.0000000000000002E-4</v>
      </c>
      <c r="O316" s="31">
        <f>(Table1[[#This Row],[TN550 I (O2)]]-Table1[[#This Row],[O2]])/Table1[[#This Row],[TN550 I (O2)]]</f>
        <v>0.19583166387780698</v>
      </c>
      <c r="P316" s="9">
        <f>Table1[[#This Row],[M-N2]]+Table1[[#This Row],[TEN-N2]]</f>
        <v>65259.98365672506</v>
      </c>
      <c r="Q316" s="9">
        <v>1367.0863478460053</v>
      </c>
      <c r="R316" s="9">
        <f>SUM(Table1[[#This Row],[TEN-CDA]:[TEN-CDA WWT]])</f>
        <v>98419.937278345562</v>
      </c>
      <c r="S316" s="9">
        <v>430.36566492487037</v>
      </c>
      <c r="T316" s="9">
        <v>221.35435422305676</v>
      </c>
      <c r="U316" s="9">
        <v>33.840499347154669</v>
      </c>
      <c r="V316" s="42">
        <v>1.0900000000000001</v>
      </c>
      <c r="W316" s="9">
        <v>0.04</v>
      </c>
      <c r="X316" s="9">
        <v>76103.632568528803</v>
      </c>
      <c r="Y316" s="9">
        <v>1749.9272566827781</v>
      </c>
      <c r="Z316" s="1">
        <v>63228.963547991843</v>
      </c>
      <c r="AA316" s="1">
        <v>2031.02010873322</v>
      </c>
      <c r="AB316" s="1">
        <v>34944.782140494885</v>
      </c>
      <c r="AC316" s="1">
        <v>53762.658958080327</v>
      </c>
      <c r="AD316" s="1">
        <v>7208.6816409638477</v>
      </c>
      <c r="AE316" s="1">
        <v>2500.5771896076403</v>
      </c>
      <c r="AF316" s="1">
        <v>3.2373491988506355</v>
      </c>
      <c r="AG316" s="1"/>
      <c r="AH316" s="1"/>
      <c r="AI316" s="1"/>
      <c r="AJ316" s="1"/>
      <c r="AK316" s="1"/>
      <c r="AL316" s="1"/>
      <c r="AM316" s="1"/>
      <c r="AN316" s="1"/>
      <c r="AO316" s="1"/>
      <c r="AP316" s="1"/>
      <c r="AQ316" s="1"/>
    </row>
    <row r="317" spans="1:43" x14ac:dyDescent="0.3">
      <c r="A317" s="9">
        <f t="shared" si="24"/>
        <v>2020</v>
      </c>
      <c r="B317" s="9">
        <f t="shared" si="25"/>
        <v>11</v>
      </c>
      <c r="C317" s="10">
        <v>44142</v>
      </c>
      <c r="D317" s="9">
        <v>0.21</v>
      </c>
      <c r="E317" s="9">
        <v>0.154</v>
      </c>
      <c r="F317" s="9">
        <v>12.156899870944624</v>
      </c>
      <c r="G317" s="9">
        <v>10759.873963394435</v>
      </c>
      <c r="H317" s="9">
        <v>55988.902042852184</v>
      </c>
      <c r="I317" s="9">
        <v>1699.8934667562132</v>
      </c>
      <c r="J317" s="20">
        <v>70.819999999999993</v>
      </c>
      <c r="K317" s="9">
        <v>71.84</v>
      </c>
      <c r="L317" s="31">
        <f>Table1[[#This Row],[TN550 I (O2)]]/(Table1[[#This Row],[Flowmeter A]]+Table1[[#This Row],[Flowmeter B]])</f>
        <v>2.1812576681850937E-2</v>
      </c>
      <c r="M317" s="33">
        <f>Table1[[#This Row],[TN120 Venting2]]/100</f>
        <v>3.4999999999999996E-3</v>
      </c>
      <c r="N317" s="31">
        <f>Table1[[#This Row],[TN550 I Venting2]]/100</f>
        <v>0</v>
      </c>
      <c r="O317" s="31">
        <f>(Table1[[#This Row],[TN550 I (O2)]]-Table1[[#This Row],[O2]])/Table1[[#This Row],[TN550 I (O2)]]</f>
        <v>0.19344420265501744</v>
      </c>
      <c r="P317" s="9">
        <f>Table1[[#This Row],[M-N2]]+Table1[[#This Row],[TEN-N2]]</f>
        <v>65597.79137200932</v>
      </c>
      <c r="Q317" s="9">
        <v>1371.0589304810842</v>
      </c>
      <c r="R317" s="9">
        <f>SUM(Table1[[#This Row],[TEN-CDA]:[TEN-CDA WWT]])</f>
        <v>98338.262935968683</v>
      </c>
      <c r="S317" s="9">
        <v>426.67765245828093</v>
      </c>
      <c r="T317" s="9">
        <v>222.61333239500428</v>
      </c>
      <c r="U317" s="9">
        <v>33.583084123652483</v>
      </c>
      <c r="V317" s="42">
        <v>0.35</v>
      </c>
      <c r="W317" s="9">
        <v>0</v>
      </c>
      <c r="X317" s="9">
        <v>76182.101763098544</v>
      </c>
      <c r="Y317" s="9">
        <v>1749.7029727721365</v>
      </c>
      <c r="Z317" s="1">
        <v>63585.357377146946</v>
      </c>
      <c r="AA317" s="1">
        <v>2012.4339948623733</v>
      </c>
      <c r="AB317" s="1">
        <v>34777.954682349497</v>
      </c>
      <c r="AC317" s="1">
        <v>53925.535066793891</v>
      </c>
      <c r="AD317" s="1">
        <v>7149.3723647721854</v>
      </c>
      <c r="AE317" s="1">
        <v>2481.1688692409243</v>
      </c>
      <c r="AF317" s="1">
        <v>4.2319528121788164</v>
      </c>
      <c r="AG317" s="1"/>
      <c r="AH317" s="1"/>
      <c r="AI317" s="1"/>
      <c r="AJ317" s="1"/>
      <c r="AK317" s="1"/>
      <c r="AL317" s="1"/>
      <c r="AM317" s="1"/>
      <c r="AN317" s="1"/>
      <c r="AO317" s="1"/>
      <c r="AP317" s="1"/>
      <c r="AQ317" s="1"/>
    </row>
    <row r="318" spans="1:43" x14ac:dyDescent="0.3">
      <c r="A318" s="9">
        <f t="shared" si="24"/>
        <v>2020</v>
      </c>
      <c r="B318" s="9">
        <f t="shared" si="25"/>
        <v>11</v>
      </c>
      <c r="C318" s="10">
        <v>44143</v>
      </c>
      <c r="D318" s="9">
        <v>0.20799999999999999</v>
      </c>
      <c r="E318" s="9">
        <v>0.14099999999999999</v>
      </c>
      <c r="F318" s="9">
        <v>12.493700280940674</v>
      </c>
      <c r="G318" s="9">
        <v>10644.685688513837</v>
      </c>
      <c r="H318" s="9">
        <v>56004.475323668463</v>
      </c>
      <c r="I318" s="9">
        <v>1699.9338063776784</v>
      </c>
      <c r="J318" s="20">
        <v>70.739999999999995</v>
      </c>
      <c r="K318" s="9">
        <v>71.849999999999994</v>
      </c>
      <c r="L318" s="31">
        <f>Table1[[#This Row],[TN550 I (O2)]]/(Table1[[#This Row],[Flowmeter A]]+Table1[[#This Row],[Flowmeter B]])</f>
        <v>2.1808717188400568E-2</v>
      </c>
      <c r="M318" s="33">
        <f>Table1[[#This Row],[TN120 Venting2]]/100</f>
        <v>6.0999999999999995E-3</v>
      </c>
      <c r="N318" s="31">
        <f>Table1[[#This Row],[TN550 I Venting2]]/100</f>
        <v>0</v>
      </c>
      <c r="O318" s="31">
        <f>(Table1[[#This Row],[TN550 I (O2)]]-Table1[[#This Row],[O2]])/Table1[[#This Row],[TN550 I (O2)]]</f>
        <v>0.19532424939571952</v>
      </c>
      <c r="P318" s="9">
        <f>Table1[[#This Row],[M-N2]]+Table1[[#This Row],[TEN-N2]]</f>
        <v>65397.053985998085</v>
      </c>
      <c r="Q318" s="9">
        <v>1367.89551162455</v>
      </c>
      <c r="R318" s="9">
        <f>SUM(Table1[[#This Row],[TEN-CDA]:[TEN-CDA WWT]])</f>
        <v>98000.795459907094</v>
      </c>
      <c r="S318" s="9">
        <v>431.09364241547752</v>
      </c>
      <c r="T318" s="9">
        <v>221.27392358932124</v>
      </c>
      <c r="U318" s="9">
        <v>33.822788519134626</v>
      </c>
      <c r="V318" s="42">
        <v>0.61</v>
      </c>
      <c r="W318" s="9">
        <v>0</v>
      </c>
      <c r="X318" s="9">
        <v>76197.323511233524</v>
      </c>
      <c r="Y318" s="9">
        <v>1750.1225348743278</v>
      </c>
      <c r="Z318" s="1">
        <v>63386.248473824598</v>
      </c>
      <c r="AA318" s="1">
        <v>2010.8055121734851</v>
      </c>
      <c r="AB318" s="1">
        <v>34496.741694136013</v>
      </c>
      <c r="AC318" s="1">
        <v>53917.413921538864</v>
      </c>
      <c r="AD318" s="1">
        <v>7101.342847984256</v>
      </c>
      <c r="AE318" s="1">
        <v>2481.0045914024549</v>
      </c>
      <c r="AF318" s="1">
        <v>4.2924048455068835</v>
      </c>
      <c r="AG318" s="1"/>
      <c r="AH318" s="1"/>
      <c r="AI318" s="1"/>
      <c r="AJ318" s="1"/>
      <c r="AK318" s="1"/>
      <c r="AL318" s="1"/>
      <c r="AM318" s="1"/>
      <c r="AN318" s="1"/>
      <c r="AO318" s="1"/>
      <c r="AP318" s="1"/>
      <c r="AQ318" s="1"/>
    </row>
    <row r="319" spans="1:43" x14ac:dyDescent="0.3">
      <c r="A319" s="9">
        <f t="shared" si="24"/>
        <v>2020</v>
      </c>
      <c r="B319" s="9">
        <f t="shared" si="25"/>
        <v>11</v>
      </c>
      <c r="C319" s="10">
        <v>44144</v>
      </c>
      <c r="D319" s="9">
        <v>0.21099999999999999</v>
      </c>
      <c r="E319" s="9">
        <v>0.153</v>
      </c>
      <c r="F319" s="9">
        <v>13.701176463358109</v>
      </c>
      <c r="G319" s="9">
        <v>10530.181221807772</v>
      </c>
      <c r="H319" s="9">
        <v>56003.247701249129</v>
      </c>
      <c r="I319" s="9">
        <v>1699.9329320628308</v>
      </c>
      <c r="J319" s="20">
        <v>70.790000000000006</v>
      </c>
      <c r="K319" s="9">
        <v>71.84</v>
      </c>
      <c r="L319" s="31">
        <f>Table1[[#This Row],[TN550 I (O2)]]/(Table1[[#This Row],[Flowmeter A]]+Table1[[#This Row],[Flowmeter B]])</f>
        <v>2.1805387807511189E-2</v>
      </c>
      <c r="M319" s="33">
        <f>Table1[[#This Row],[TN120 Venting2]]/100</f>
        <v>1.0200000000000001E-2</v>
      </c>
      <c r="N319" s="31">
        <f>Table1[[#This Row],[TN550 I Venting2]]/100</f>
        <v>1E-4</v>
      </c>
      <c r="O319" s="31">
        <f>(Table1[[#This Row],[TN550 I (O2)]]-Table1[[#This Row],[O2]])/Table1[[#This Row],[TN550 I (O2)]]</f>
        <v>0.19693392754328648</v>
      </c>
      <c r="P319" s="9">
        <f>Table1[[#This Row],[M-N2]]+Table1[[#This Row],[TEN-N2]]</f>
        <v>65120.31851524549</v>
      </c>
      <c r="Q319" s="9">
        <v>1365.1584631915227</v>
      </c>
      <c r="R319" s="9">
        <f>SUM(Table1[[#This Row],[TEN-CDA]:[TEN-CDA WWT]])</f>
        <v>98404.282964334838</v>
      </c>
      <c r="S319" s="9">
        <v>426.65388595718713</v>
      </c>
      <c r="T319" s="9">
        <v>221.16294262559776</v>
      </c>
      <c r="U319" s="9">
        <v>33.375510224362863</v>
      </c>
      <c r="V319" s="42">
        <v>1.02</v>
      </c>
      <c r="W319" s="9">
        <v>0.01</v>
      </c>
      <c r="X319" s="9">
        <v>76208.989070090218</v>
      </c>
      <c r="Y319" s="9">
        <v>1750.3183758091711</v>
      </c>
      <c r="Z319" s="1">
        <v>63106.760526001912</v>
      </c>
      <c r="AA319" s="1">
        <v>2013.5579892435808</v>
      </c>
      <c r="AB319" s="1">
        <v>35204.666346341517</v>
      </c>
      <c r="AC319" s="1">
        <v>53717.708069483</v>
      </c>
      <c r="AD319" s="1">
        <v>7055.0085427193571</v>
      </c>
      <c r="AE319" s="1">
        <v>2422.3367707294196</v>
      </c>
      <c r="AF319" s="1">
        <v>4.5632350615456465</v>
      </c>
      <c r="AG319" s="1"/>
      <c r="AH319" s="1"/>
      <c r="AI319" s="1"/>
      <c r="AJ319" s="1"/>
      <c r="AK319" s="1"/>
      <c r="AL319" s="1"/>
      <c r="AM319" s="1"/>
      <c r="AN319" s="1"/>
      <c r="AO319" s="1"/>
      <c r="AP319" s="1"/>
      <c r="AQ319" s="1"/>
    </row>
    <row r="320" spans="1:43" x14ac:dyDescent="0.3">
      <c r="A320" s="9">
        <f t="shared" si="24"/>
        <v>2020</v>
      </c>
      <c r="B320" s="9">
        <f t="shared" si="25"/>
        <v>11</v>
      </c>
      <c r="C320" s="10">
        <v>44145</v>
      </c>
      <c r="D320" s="9">
        <v>0.20499999999999999</v>
      </c>
      <c r="E320" s="9">
        <v>0.153</v>
      </c>
      <c r="F320" s="9">
        <v>13.355776917843418</v>
      </c>
      <c r="G320" s="9">
        <v>10722.487690297536</v>
      </c>
      <c r="H320" s="9">
        <v>55998.866929974851</v>
      </c>
      <c r="I320" s="9">
        <v>1699.9503340711203</v>
      </c>
      <c r="J320" s="20">
        <v>70.81</v>
      </c>
      <c r="K320" s="9">
        <v>71.84</v>
      </c>
      <c r="L320" s="31">
        <f>Table1[[#This Row],[TN550 I (O2)]]/(Table1[[#This Row],[Flowmeter A]]+Table1[[#This Row],[Flowmeter B]])</f>
        <v>2.180769585289067E-2</v>
      </c>
      <c r="M320" s="33">
        <f>Table1[[#This Row],[TN120 Venting2]]/100</f>
        <v>3.8E-3</v>
      </c>
      <c r="N320" s="31">
        <f>Table1[[#This Row],[TN550 I Venting2]]/100</f>
        <v>0</v>
      </c>
      <c r="O320" s="31">
        <f>(Table1[[#This Row],[TN550 I (O2)]]-Table1[[#This Row],[O2]])/Table1[[#This Row],[TN550 I (O2)]]</f>
        <v>0.19896210806815628</v>
      </c>
      <c r="P320" s="9">
        <f>Table1[[#This Row],[M-N2]]+Table1[[#This Row],[TEN-N2]]</f>
        <v>65343.360762501485</v>
      </c>
      <c r="Q320" s="9">
        <v>1361.7246319931637</v>
      </c>
      <c r="R320" s="9">
        <f>SUM(Table1[[#This Row],[TEN-CDA]:[TEN-CDA WWT]])</f>
        <v>98935.146874017199</v>
      </c>
      <c r="S320" s="9">
        <v>425.82883044103215</v>
      </c>
      <c r="T320" s="9">
        <v>207.70411855788959</v>
      </c>
      <c r="U320" s="9">
        <v>33.042745085907512</v>
      </c>
      <c r="V320" s="42">
        <v>0.38</v>
      </c>
      <c r="W320" s="9">
        <v>0</v>
      </c>
      <c r="X320" s="9">
        <v>76201.775221200558</v>
      </c>
      <c r="Y320" s="9">
        <v>1750.0792772556492</v>
      </c>
      <c r="Z320" s="1">
        <v>63367.206215301871</v>
      </c>
      <c r="AA320" s="1">
        <v>1976.1545471996171</v>
      </c>
      <c r="AB320" s="1">
        <v>35496.812050008673</v>
      </c>
      <c r="AC320" s="1">
        <v>53759.984041572694</v>
      </c>
      <c r="AD320" s="1">
        <v>7188.1218293909396</v>
      </c>
      <c r="AE320" s="1">
        <v>2485.4322956199039</v>
      </c>
      <c r="AF320" s="1">
        <v>4.7966574249914498</v>
      </c>
      <c r="AG320" s="1"/>
      <c r="AH320" s="1"/>
      <c r="AI320" s="1"/>
      <c r="AJ320" s="1"/>
      <c r="AK320" s="1"/>
      <c r="AL320" s="1"/>
      <c r="AM320" s="1"/>
      <c r="AN320" s="1"/>
      <c r="AO320" s="1"/>
      <c r="AP320" s="1"/>
      <c r="AQ320" s="1"/>
    </row>
    <row r="321" spans="1:43" x14ac:dyDescent="0.3">
      <c r="A321" s="9">
        <f t="shared" si="24"/>
        <v>2020</v>
      </c>
      <c r="B321" s="9">
        <f t="shared" si="25"/>
        <v>11</v>
      </c>
      <c r="C321" s="10">
        <v>44146</v>
      </c>
      <c r="D321" s="9">
        <v>0.20899999999999999</v>
      </c>
      <c r="E321" s="9">
        <v>0.14599999999999999</v>
      </c>
      <c r="F321" s="9">
        <v>13.240917078742214</v>
      </c>
      <c r="G321" s="9">
        <v>10475.440852570917</v>
      </c>
      <c r="H321" s="9">
        <v>55998.673067748088</v>
      </c>
      <c r="I321" s="9">
        <v>1699.8866155705132</v>
      </c>
      <c r="J321" s="20">
        <v>70.760000000000005</v>
      </c>
      <c r="K321" s="9">
        <v>71.83</v>
      </c>
      <c r="L321" s="31">
        <f>Table1[[#This Row],[TN550 I (O2)]]/(Table1[[#This Row],[Flowmeter A]]+Table1[[#This Row],[Flowmeter B]])</f>
        <v>2.1804100623299103E-2</v>
      </c>
      <c r="M321" s="33">
        <f>Table1[[#This Row],[TN120 Venting2]]/100</f>
        <v>1.5100000000000001E-2</v>
      </c>
      <c r="N321" s="31">
        <f>Table1[[#This Row],[TN550 I Venting2]]/100</f>
        <v>2.9999999999999997E-4</v>
      </c>
      <c r="O321" s="31">
        <f>(Table1[[#This Row],[TN550 I (O2)]]-Table1[[#This Row],[O2]])/Table1[[#This Row],[TN550 I (O2)]]</f>
        <v>0.1985070200269794</v>
      </c>
      <c r="P321" s="9">
        <f>Table1[[#This Row],[M-N2]]+Table1[[#This Row],[TEN-N2]]</f>
        <v>65264.271595771577</v>
      </c>
      <c r="Q321" s="9">
        <v>1362.4471891298631</v>
      </c>
      <c r="R321" s="9">
        <f>SUM(Table1[[#This Row],[TEN-CDA]:[TEN-CDA WWT]])</f>
        <v>98719.541658240385</v>
      </c>
      <c r="S321" s="9">
        <v>429.61992851220265</v>
      </c>
      <c r="T321" s="9">
        <v>215.90505170325784</v>
      </c>
      <c r="U321" s="9">
        <v>33.07798529763258</v>
      </c>
      <c r="V321" s="42">
        <v>1.51</v>
      </c>
      <c r="W321" s="9">
        <v>0.03</v>
      </c>
      <c r="X321" s="9">
        <v>76212.287257113116</v>
      </c>
      <c r="Y321" s="9">
        <v>1749.4982317170693</v>
      </c>
      <c r="Z321" s="1">
        <v>63275.912181210966</v>
      </c>
      <c r="AA321" s="1">
        <v>1988.359414560608</v>
      </c>
      <c r="AB321" s="1">
        <v>35506.40804725451</v>
      </c>
      <c r="AC321" s="1">
        <v>53669.079908700558</v>
      </c>
      <c r="AD321" s="1">
        <v>7061.3193555907355</v>
      </c>
      <c r="AE321" s="1">
        <v>2476.0904697733235</v>
      </c>
      <c r="AF321" s="1">
        <v>6.6438769212666067</v>
      </c>
      <c r="AG321" s="1"/>
      <c r="AH321" s="1"/>
      <c r="AI321" s="1"/>
      <c r="AJ321" s="1"/>
      <c r="AK321" s="1"/>
      <c r="AL321" s="1"/>
      <c r="AM321" s="1"/>
      <c r="AN321" s="1"/>
      <c r="AO321" s="1"/>
      <c r="AP321" s="1"/>
      <c r="AQ321" s="1"/>
    </row>
    <row r="322" spans="1:43" x14ac:dyDescent="0.3">
      <c r="A322" s="9">
        <f t="shared" si="24"/>
        <v>2020</v>
      </c>
      <c r="B322" s="9">
        <f t="shared" si="25"/>
        <v>11</v>
      </c>
      <c r="C322" s="10">
        <v>44147</v>
      </c>
      <c r="D322" s="9">
        <v>0.20899999999999999</v>
      </c>
      <c r="E322" s="9">
        <v>0.14499999999999999</v>
      </c>
      <c r="F322" s="9">
        <v>13.965973166439948</v>
      </c>
      <c r="G322" s="9">
        <v>10511.818852738985</v>
      </c>
      <c r="H322" s="9">
        <v>55954.375322584143</v>
      </c>
      <c r="I322" s="9">
        <v>1700.1541976769877</v>
      </c>
      <c r="J322" s="20">
        <v>70.760000000000005</v>
      </c>
      <c r="K322" s="9">
        <v>71.78</v>
      </c>
      <c r="L322" s="31">
        <f>Table1[[#This Row],[TN550 I (O2)]]/(Table1[[#This Row],[Flowmeter A]]+Table1[[#This Row],[Flowmeter B]])</f>
        <v>2.1811179528188503E-2</v>
      </c>
      <c r="M322" s="33">
        <f>Table1[[#This Row],[TN120 Venting2]]/100</f>
        <v>1.3500000000000002E-2</v>
      </c>
      <c r="N322" s="31">
        <f>Table1[[#This Row],[TN550 I Venting2]]/100</f>
        <v>1.1999999999999999E-3</v>
      </c>
      <c r="O322" s="31">
        <f>(Table1[[#This Row],[TN550 I (O2)]]-Table1[[#This Row],[O2]])/Table1[[#This Row],[TN550 I (O2)]]</f>
        <v>0.20010391594739116</v>
      </c>
      <c r="P322" s="9">
        <f>Table1[[#This Row],[M-N2]]+Table1[[#This Row],[TEN-N2]]</f>
        <v>65260.541614032139</v>
      </c>
      <c r="Q322" s="9">
        <v>1359.9466850074275</v>
      </c>
      <c r="R322" s="9">
        <f>SUM(Table1[[#This Row],[TEN-CDA]:[TEN-CDA WWT]])</f>
        <v>98779.537977357963</v>
      </c>
      <c r="S322" s="9">
        <v>436.04525197735262</v>
      </c>
      <c r="T322" s="9">
        <v>210.65747228089015</v>
      </c>
      <c r="U322" s="9">
        <v>32.999480556564805</v>
      </c>
      <c r="V322" s="42">
        <v>1.35</v>
      </c>
      <c r="W322" s="9">
        <v>0.12</v>
      </c>
      <c r="X322" s="9">
        <v>76199.050615891741</v>
      </c>
      <c r="Y322" s="9">
        <v>1749.7001831986522</v>
      </c>
      <c r="Z322" s="1">
        <v>63217.059092535565</v>
      </c>
      <c r="AA322" s="1">
        <v>2043.4825214965736</v>
      </c>
      <c r="AB322" s="1">
        <v>35503.311532247571</v>
      </c>
      <c r="AC322" s="1">
        <v>53689.965188020469</v>
      </c>
      <c r="AD322" s="1">
        <v>7152.99589857304</v>
      </c>
      <c r="AE322" s="1">
        <v>2427.3003000845765</v>
      </c>
      <c r="AF322" s="1">
        <v>5.9650584323064146</v>
      </c>
      <c r="AG322" s="1"/>
      <c r="AH322" s="1"/>
      <c r="AI322" s="1"/>
      <c r="AJ322" s="1"/>
      <c r="AK322" s="1"/>
      <c r="AL322" s="1"/>
      <c r="AM322" s="1"/>
      <c r="AN322" s="1"/>
      <c r="AO322" s="1"/>
      <c r="AP322" s="1"/>
      <c r="AQ322" s="1"/>
    </row>
    <row r="323" spans="1:43" x14ac:dyDescent="0.3">
      <c r="A323" s="9">
        <f t="shared" si="24"/>
        <v>2020</v>
      </c>
      <c r="B323" s="9">
        <f t="shared" si="25"/>
        <v>11</v>
      </c>
      <c r="C323" s="10">
        <v>44148</v>
      </c>
      <c r="D323" s="9">
        <v>0.20799999999999999</v>
      </c>
      <c r="E323" s="9">
        <v>0.14499999999999999</v>
      </c>
      <c r="F323" s="9">
        <v>14.211785200649794</v>
      </c>
      <c r="G323" s="9">
        <v>10769.46500910826</v>
      </c>
      <c r="H323" s="9">
        <v>56013.104639247918</v>
      </c>
      <c r="I323" s="9">
        <v>1700.2060968741869</v>
      </c>
      <c r="J323" s="20">
        <v>70.75</v>
      </c>
      <c r="K323" s="9">
        <v>71.87</v>
      </c>
      <c r="L323" s="31">
        <f>Table1[[#This Row],[TN550 I (O2)]]/(Table1[[#This Row],[Flowmeter A]]+Table1[[#This Row],[Flowmeter B]])</f>
        <v>2.1815157309749526E-2</v>
      </c>
      <c r="M323" s="33">
        <f>Table1[[#This Row],[TN120 Venting2]]/100</f>
        <v>4.0999999999999995E-3</v>
      </c>
      <c r="N323" s="31">
        <f>Table1[[#This Row],[TN550 I Venting2]]/100</f>
        <v>1E-4</v>
      </c>
      <c r="O323" s="31">
        <f>(Table1[[#This Row],[TN550 I (O2)]]-Table1[[#This Row],[O2]])/Table1[[#This Row],[TN550 I (O2)]]</f>
        <v>0.20008388591515261</v>
      </c>
      <c r="P323" s="9">
        <f>Table1[[#This Row],[M-N2]]+Table1[[#This Row],[TEN-N2]]</f>
        <v>65524.316950102468</v>
      </c>
      <c r="Q323" s="9">
        <v>1360.0222541549651</v>
      </c>
      <c r="R323" s="9">
        <f>SUM(Table1[[#This Row],[TEN-CDA]:[TEN-CDA WWT]])</f>
        <v>99522.82415129838</v>
      </c>
      <c r="S323" s="9">
        <v>433.70142563046227</v>
      </c>
      <c r="T323" s="9">
        <v>208.36837678547951</v>
      </c>
      <c r="U323" s="9">
        <v>33.473109193016967</v>
      </c>
      <c r="V323" s="42">
        <v>0.41</v>
      </c>
      <c r="W323" s="9">
        <v>0.01</v>
      </c>
      <c r="X323" s="9">
        <v>76187.211506766151</v>
      </c>
      <c r="Y323" s="9">
        <v>1749.705139456649</v>
      </c>
      <c r="Z323" s="1">
        <v>63510.29725993234</v>
      </c>
      <c r="AA323" s="1">
        <v>2014.0196901701293</v>
      </c>
      <c r="AB323" s="1">
        <v>36026.84551743581</v>
      </c>
      <c r="AC323" s="1">
        <v>53714.132346243925</v>
      </c>
      <c r="AD323" s="1">
        <v>7264.6881255150502</v>
      </c>
      <c r="AE323" s="1">
        <v>2511.8208041697389</v>
      </c>
      <c r="AF323" s="1">
        <v>5.3373579338637596</v>
      </c>
      <c r="AG323" s="1"/>
      <c r="AH323" s="1"/>
      <c r="AI323" s="1"/>
      <c r="AJ323" s="1"/>
      <c r="AK323" s="1"/>
      <c r="AL323" s="1"/>
      <c r="AM323" s="1"/>
      <c r="AN323" s="1"/>
      <c r="AO323" s="1"/>
      <c r="AP323" s="1"/>
      <c r="AQ323" s="1"/>
    </row>
    <row r="324" spans="1:43" x14ac:dyDescent="0.3">
      <c r="A324" s="9">
        <f t="shared" si="24"/>
        <v>2020</v>
      </c>
      <c r="B324" s="9">
        <f t="shared" si="25"/>
        <v>11</v>
      </c>
      <c r="C324" s="10">
        <v>44149</v>
      </c>
      <c r="D324" s="9">
        <v>0.20899999999999999</v>
      </c>
      <c r="E324" s="9">
        <v>0.14299999999999999</v>
      </c>
      <c r="F324" s="9">
        <v>13.709012226128564</v>
      </c>
      <c r="G324" s="9">
        <v>10887.819782540337</v>
      </c>
      <c r="H324" s="9">
        <v>56004.616352576333</v>
      </c>
      <c r="I324" s="9">
        <v>1699.7871412267957</v>
      </c>
      <c r="J324" s="20">
        <v>70.89</v>
      </c>
      <c r="K324" s="9">
        <v>71.84</v>
      </c>
      <c r="L324" s="31">
        <f>Table1[[#This Row],[TN550 I (O2)]]/(Table1[[#This Row],[Flowmeter A]]+Table1[[#This Row],[Flowmeter B]])</f>
        <v>2.18027881797433E-2</v>
      </c>
      <c r="M324" s="33">
        <f>Table1[[#This Row],[TN120 Venting2]]/100</f>
        <v>4.0000000000000002E-4</v>
      </c>
      <c r="N324" s="31">
        <f>Table1[[#This Row],[TN550 I Venting2]]/100</f>
        <v>0</v>
      </c>
      <c r="O324" s="31">
        <f>(Table1[[#This Row],[TN550 I (O2)]]-Table1[[#This Row],[O2]])/Table1[[#This Row],[TN550 I (O2)]]</f>
        <v>0.19509161029641769</v>
      </c>
      <c r="P324" s="9">
        <f>Table1[[#This Row],[M-N2]]+Table1[[#This Row],[TEN-N2]]</f>
        <v>65563.762431010371</v>
      </c>
      <c r="Q324" s="9">
        <v>1368.1729306837158</v>
      </c>
      <c r="R324" s="9">
        <f>SUM(Table1[[#This Row],[TEN-CDA]:[TEN-CDA WWT]])</f>
        <v>98780.429917791422</v>
      </c>
      <c r="S324" s="9">
        <v>430.53958530148066</v>
      </c>
      <c r="T324" s="9">
        <v>219.02863377949001</v>
      </c>
      <c r="U324" s="9">
        <v>32.80966911739479</v>
      </c>
      <c r="V324" s="42">
        <v>0.04</v>
      </c>
      <c r="W324" s="9">
        <v>0</v>
      </c>
      <c r="X324" s="9">
        <v>76211.995505508326</v>
      </c>
      <c r="Y324" s="9">
        <v>1749.9205216375349</v>
      </c>
      <c r="Z324" s="1">
        <v>63555.311185266306</v>
      </c>
      <c r="AA324" s="1">
        <v>2008.451245744058</v>
      </c>
      <c r="AB324" s="1">
        <v>35185.630969162041</v>
      </c>
      <c r="AC324" s="1">
        <v>53755.379123113293</v>
      </c>
      <c r="AD324" s="1">
        <v>7285.432485714131</v>
      </c>
      <c r="AE324" s="1">
        <v>2544.5724650375714</v>
      </c>
      <c r="AF324" s="1">
        <v>9.4148747643726018</v>
      </c>
      <c r="AG324" s="1"/>
      <c r="AH324" s="1"/>
      <c r="AI324" s="1"/>
      <c r="AJ324" s="1"/>
      <c r="AK324" s="1"/>
      <c r="AL324" s="1"/>
      <c r="AM324" s="1"/>
      <c r="AN324" s="1"/>
      <c r="AO324" s="1"/>
      <c r="AP324" s="1"/>
      <c r="AQ324" s="1"/>
    </row>
    <row r="325" spans="1:43" x14ac:dyDescent="0.3">
      <c r="A325" s="9">
        <f t="shared" si="24"/>
        <v>2020</v>
      </c>
      <c r="B325" s="9">
        <f t="shared" si="25"/>
        <v>11</v>
      </c>
      <c r="C325" s="10">
        <v>44150</v>
      </c>
      <c r="D325" s="9">
        <v>0.20899999999999999</v>
      </c>
      <c r="E325" s="9">
        <v>0.14799999999999999</v>
      </c>
      <c r="F325" s="9">
        <v>13.517907709152148</v>
      </c>
      <c r="G325" s="9">
        <v>11070.320975288429</v>
      </c>
      <c r="H325" s="9">
        <v>55991.167797970164</v>
      </c>
      <c r="I325" s="9">
        <v>1699.9317979355967</v>
      </c>
      <c r="J325" s="20">
        <v>70.94</v>
      </c>
      <c r="K325" s="9">
        <v>71.84</v>
      </c>
      <c r="L325" s="31">
        <f>Table1[[#This Row],[TN550 I (O2)]]/(Table1[[#This Row],[Flowmeter A]]+Table1[[#This Row],[Flowmeter B]])</f>
        <v>2.1810814516138449E-2</v>
      </c>
      <c r="M325" s="33">
        <f>Table1[[#This Row],[TN120 Venting2]]/100</f>
        <v>2.5999999999999999E-3</v>
      </c>
      <c r="N325" s="31">
        <f>Table1[[#This Row],[TN550 I Venting2]]/100</f>
        <v>0</v>
      </c>
      <c r="O325" s="31">
        <f>(Table1[[#This Row],[TN550 I (O2)]]-Table1[[#This Row],[O2]])/Table1[[#This Row],[TN550 I (O2)]]</f>
        <v>0.1949830658000703</v>
      </c>
      <c r="P325" s="9">
        <f>Table1[[#This Row],[M-N2]]+Table1[[#This Row],[TEN-N2]]</f>
        <v>65783.11020992366</v>
      </c>
      <c r="Q325" s="9">
        <v>1368.4738843230884</v>
      </c>
      <c r="R325" s="9">
        <f>SUM(Table1[[#This Row],[TEN-CDA]:[TEN-CDA WWT]])</f>
        <v>98860.701435526324</v>
      </c>
      <c r="S325" s="9">
        <v>426.35264512220249</v>
      </c>
      <c r="T325" s="9">
        <v>208.99267670249543</v>
      </c>
      <c r="U325" s="9">
        <v>32.829826693829361</v>
      </c>
      <c r="V325" s="42">
        <v>0.26</v>
      </c>
      <c r="W325" s="9">
        <v>0</v>
      </c>
      <c r="X325" s="9">
        <v>76190.48597978834</v>
      </c>
      <c r="Y325" s="9">
        <v>1749.372555882959</v>
      </c>
      <c r="Z325" s="1">
        <v>63654.195144430952</v>
      </c>
      <c r="AA325" s="1">
        <v>2128.9150654927134</v>
      </c>
      <c r="AB325" s="1">
        <v>35401.638090410306</v>
      </c>
      <c r="AC325" s="1">
        <v>53750.081001149374</v>
      </c>
      <c r="AD325" s="1">
        <v>7142.2301475212525</v>
      </c>
      <c r="AE325" s="1">
        <v>2558.1998691704439</v>
      </c>
      <c r="AF325" s="1">
        <v>8.5523272749349353</v>
      </c>
      <c r="AG325" s="1"/>
      <c r="AH325" s="1"/>
      <c r="AI325" s="1"/>
      <c r="AJ325" s="1"/>
      <c r="AK325" s="1"/>
      <c r="AL325" s="1"/>
      <c r="AM325" s="1"/>
      <c r="AN325" s="1"/>
      <c r="AO325" s="1"/>
      <c r="AP325" s="1"/>
      <c r="AQ325" s="1"/>
    </row>
    <row r="326" spans="1:43" x14ac:dyDescent="0.3">
      <c r="A326" s="9">
        <f t="shared" si="24"/>
        <v>2020</v>
      </c>
      <c r="B326" s="9">
        <f t="shared" si="25"/>
        <v>11</v>
      </c>
      <c r="C326" s="10">
        <v>44151</v>
      </c>
      <c r="D326" s="9">
        <v>0.20699999999999999</v>
      </c>
      <c r="E326" s="9">
        <v>0.14599999999999999</v>
      </c>
      <c r="F326" s="9">
        <v>13.356639296209371</v>
      </c>
      <c r="G326" s="9">
        <v>10859.734745022988</v>
      </c>
      <c r="H326" s="9">
        <v>55998.676892674361</v>
      </c>
      <c r="I326" s="9">
        <v>1699.9477362013956</v>
      </c>
      <c r="J326" s="20">
        <v>70.959999999999994</v>
      </c>
      <c r="K326" s="9">
        <v>71.84</v>
      </c>
      <c r="L326" s="31">
        <f>Table1[[#This Row],[TN550 I (O2)]]/(Table1[[#This Row],[Flowmeter A]]+Table1[[#This Row],[Flowmeter B]])</f>
        <v>2.1806918682824309E-2</v>
      </c>
      <c r="M326" s="33">
        <f>Table1[[#This Row],[TN120 Venting2]]/100</f>
        <v>1.34E-2</v>
      </c>
      <c r="N326" s="31">
        <f>Table1[[#This Row],[TN550 I Venting2]]/100</f>
        <v>2.0000000000000001E-4</v>
      </c>
      <c r="O326" s="31">
        <f>(Table1[[#This Row],[TN550 I (O2)]]-Table1[[#This Row],[O2]])/Table1[[#This Row],[TN550 I (O2)]]</f>
        <v>0.20091238812327072</v>
      </c>
      <c r="P326" s="9">
        <f>Table1[[#This Row],[M-N2]]+Table1[[#This Row],[TEN-N2]]</f>
        <v>65624.948709036558</v>
      </c>
      <c r="Q326" s="9">
        <v>1358.4071768364254</v>
      </c>
      <c r="R326" s="9">
        <f>SUM(Table1[[#This Row],[TEN-CDA]:[TEN-CDA WWT]])</f>
        <v>98876.38360534556</v>
      </c>
      <c r="S326" s="9">
        <v>424.79336113701424</v>
      </c>
      <c r="T326" s="9">
        <v>220.00869870632576</v>
      </c>
      <c r="U326" s="9">
        <v>32.879300723052701</v>
      </c>
      <c r="V326" s="42">
        <v>1.34</v>
      </c>
      <c r="W326" s="9">
        <v>0.02</v>
      </c>
      <c r="X326" s="9">
        <v>76203.914545020816</v>
      </c>
      <c r="Y326" s="9">
        <v>1750.5989250696673</v>
      </c>
      <c r="Z326" s="1">
        <v>63557.965177177306</v>
      </c>
      <c r="AA326" s="1">
        <v>2066.9835318592504</v>
      </c>
      <c r="AB326" s="1">
        <v>35351.704206605653</v>
      </c>
      <c r="AC326" s="1">
        <v>53792.59180365198</v>
      </c>
      <c r="AD326" s="1">
        <v>7174.3792766118368</v>
      </c>
      <c r="AE326" s="1">
        <v>2545.9449870356416</v>
      </c>
      <c r="AF326" s="1">
        <v>11.763331440434447</v>
      </c>
      <c r="AG326" s="1"/>
      <c r="AH326" s="1"/>
      <c r="AI326" s="1"/>
      <c r="AJ326" s="1"/>
      <c r="AK326" s="1"/>
      <c r="AL326" s="1"/>
      <c r="AM326" s="1"/>
      <c r="AN326" s="1"/>
      <c r="AO326" s="1"/>
      <c r="AP326" s="1"/>
      <c r="AQ326" s="1"/>
    </row>
    <row r="327" spans="1:43" x14ac:dyDescent="0.3">
      <c r="A327" s="9">
        <f t="shared" ref="A327:A390" si="26">YEAR(C327)</f>
        <v>2020</v>
      </c>
      <c r="B327" s="9">
        <f t="shared" ref="B327:B390" si="27">MONTH(C327)</f>
        <v>11</v>
      </c>
      <c r="C327" s="10">
        <v>44152</v>
      </c>
      <c r="D327" s="9">
        <v>0.23</v>
      </c>
      <c r="E327" s="9">
        <v>0.14699999999999999</v>
      </c>
      <c r="F327" s="9">
        <v>14.431889776882407</v>
      </c>
      <c r="G327" s="9">
        <v>11786.462664273942</v>
      </c>
      <c r="H327" s="9">
        <v>56539.405580434592</v>
      </c>
      <c r="I327" s="9">
        <v>1730.3138074484409</v>
      </c>
      <c r="J327" s="20">
        <v>71.45</v>
      </c>
      <c r="K327" s="9">
        <v>72</v>
      </c>
      <c r="L327" s="31">
        <f>Table1[[#This Row],[TN550 I (O2)]]/(Table1[[#This Row],[Flowmeter A]]+Table1[[#This Row],[Flowmeter B]])</f>
        <v>2.2034367617535369E-2</v>
      </c>
      <c r="M327" s="33">
        <f>Table1[[#This Row],[TN120 Venting2]]/100</f>
        <v>6.3E-3</v>
      </c>
      <c r="N327" s="31">
        <f>Table1[[#This Row],[TN550 I Venting2]]/100</f>
        <v>1E-4</v>
      </c>
      <c r="O327" s="31">
        <f>(Table1[[#This Row],[TN550 I (O2)]]-Table1[[#This Row],[O2]])/Table1[[#This Row],[TN550 I (O2)]]</f>
        <v>0.21460752292540536</v>
      </c>
      <c r="P327" s="9">
        <f>Table1[[#This Row],[M-N2]]+Table1[[#This Row],[TEN-N2]]</f>
        <v>65726.786699621982</v>
      </c>
      <c r="Q327" s="9">
        <v>1358.9754473483042</v>
      </c>
      <c r="R327" s="9">
        <f>SUM(Table1[[#This Row],[TEN-CDA]:[TEN-CDA WWT]])</f>
        <v>99417.855726826805</v>
      </c>
      <c r="S327" s="9">
        <v>422.4727477392002</v>
      </c>
      <c r="T327" s="9">
        <v>215.40130063546027</v>
      </c>
      <c r="U327" s="9">
        <v>33.366179612508503</v>
      </c>
      <c r="V327" s="42">
        <v>0.63</v>
      </c>
      <c r="W327" s="9">
        <v>0.01</v>
      </c>
      <c r="X327" s="9">
        <v>76747.195052264055</v>
      </c>
      <c r="Y327" s="9">
        <v>1780.7589822063671</v>
      </c>
      <c r="Z327" s="1">
        <v>63673.056191989075</v>
      </c>
      <c r="AA327" s="1">
        <v>2053.7305076329103</v>
      </c>
      <c r="AB327" s="1">
        <v>36173.939145450211</v>
      </c>
      <c r="AC327" s="1">
        <v>53614.163024267</v>
      </c>
      <c r="AD327" s="1">
        <v>7090.7412682029626</v>
      </c>
      <c r="AE327" s="1">
        <v>2528.6888060930451</v>
      </c>
      <c r="AF327" s="1">
        <v>10.323482813578588</v>
      </c>
      <c r="AG327" s="1"/>
      <c r="AH327" s="1"/>
      <c r="AI327" s="1"/>
      <c r="AJ327" s="1"/>
      <c r="AK327" s="1"/>
      <c r="AL327" s="1"/>
      <c r="AM327" s="1"/>
      <c r="AN327" s="1"/>
      <c r="AO327" s="1"/>
      <c r="AP327" s="1"/>
      <c r="AQ327" s="1"/>
    </row>
    <row r="328" spans="1:43" x14ac:dyDescent="0.3">
      <c r="A328" s="9">
        <f t="shared" si="26"/>
        <v>2020</v>
      </c>
      <c r="B328" s="9">
        <f t="shared" si="27"/>
        <v>11</v>
      </c>
      <c r="C328" s="10">
        <v>44153</v>
      </c>
      <c r="D328" s="9">
        <v>0.20300000000000001</v>
      </c>
      <c r="E328" s="9">
        <v>0.14699999999999999</v>
      </c>
      <c r="F328" s="9">
        <v>13.162094105621907</v>
      </c>
      <c r="G328" s="9">
        <v>12572.444352879944</v>
      </c>
      <c r="H328" s="9">
        <v>56903.230612421939</v>
      </c>
      <c r="I328" s="9">
        <v>1749.9728510881116</v>
      </c>
      <c r="J328" s="20">
        <v>71.86</v>
      </c>
      <c r="K328" s="9">
        <v>72.11</v>
      </c>
      <c r="L328" s="31">
        <f>Table1[[#This Row],[TN550 I (O2)]]/(Table1[[#This Row],[Flowmeter A]]+Table1[[#This Row],[Flowmeter B]])</f>
        <v>2.2177714357589865E-2</v>
      </c>
      <c r="M328" s="33">
        <f>Table1[[#This Row],[TN120 Venting2]]/100</f>
        <v>0</v>
      </c>
      <c r="N328" s="31">
        <f>Table1[[#This Row],[TN550 I Venting2]]/100</f>
        <v>0</v>
      </c>
      <c r="O328" s="31">
        <f>(Table1[[#This Row],[TN550 I (O2)]]-Table1[[#This Row],[O2]])/Table1[[#This Row],[TN550 I (O2)]]</f>
        <v>0.22105654304064121</v>
      </c>
      <c r="P328" s="9">
        <f>Table1[[#This Row],[M-N2]]+Table1[[#This Row],[TEN-N2]]</f>
        <v>65858.641569202431</v>
      </c>
      <c r="Q328" s="9">
        <v>1363.1299022115988</v>
      </c>
      <c r="R328" s="9">
        <f>SUM(Table1[[#This Row],[TEN-CDA]:[TEN-CDA WWT]])</f>
        <v>99090.527929345582</v>
      </c>
      <c r="S328" s="9">
        <v>422.56528980644271</v>
      </c>
      <c r="T328" s="9">
        <v>212.52321416681465</v>
      </c>
      <c r="U328" s="9">
        <v>32.521365008860478</v>
      </c>
      <c r="V328" s="42">
        <v>0</v>
      </c>
      <c r="W328" s="9">
        <v>0</v>
      </c>
      <c r="X328" s="9">
        <v>77107.033624653021</v>
      </c>
      <c r="Y328" s="9">
        <v>1799.7835013967351</v>
      </c>
      <c r="Z328" s="1">
        <v>63799.535430039905</v>
      </c>
      <c r="AA328" s="1">
        <v>2059.1061391625281</v>
      </c>
      <c r="AB328" s="1">
        <v>35842.49260496183</v>
      </c>
      <c r="AC328" s="1">
        <v>53621.275001626484</v>
      </c>
      <c r="AD328" s="1">
        <v>7082.4129642907483</v>
      </c>
      <c r="AE328" s="1">
        <v>2536.3178290764877</v>
      </c>
      <c r="AF328" s="1">
        <v>8.0295293900203077</v>
      </c>
      <c r="AG328" s="1"/>
      <c r="AH328" s="1"/>
      <c r="AI328" s="1"/>
      <c r="AJ328" s="1"/>
      <c r="AK328" s="1"/>
      <c r="AL328" s="1"/>
      <c r="AM328" s="1"/>
      <c r="AN328" s="1"/>
      <c r="AO328" s="1"/>
      <c r="AP328" s="1"/>
      <c r="AQ328" s="1"/>
    </row>
    <row r="329" spans="1:43" x14ac:dyDescent="0.3">
      <c r="A329" s="9">
        <f t="shared" si="26"/>
        <v>2020</v>
      </c>
      <c r="B329" s="9">
        <f t="shared" si="27"/>
        <v>11</v>
      </c>
      <c r="C329" s="10">
        <v>44154</v>
      </c>
      <c r="D329" s="9">
        <v>0.20699999999999999</v>
      </c>
      <c r="E329" s="9">
        <v>0.152</v>
      </c>
      <c r="F329" s="9">
        <v>12.404939238517173</v>
      </c>
      <c r="G329" s="9">
        <v>12574.353443789036</v>
      </c>
      <c r="H329" s="9">
        <v>56886.520165575123</v>
      </c>
      <c r="I329" s="9">
        <v>1749.9739736097708</v>
      </c>
      <c r="J329" s="20">
        <v>71.86</v>
      </c>
      <c r="K329" s="9">
        <v>72.08</v>
      </c>
      <c r="L329" s="31">
        <f>Table1[[#This Row],[TN550 I (O2)]]/(Table1[[#This Row],[Flowmeter A]]+Table1[[#This Row],[Flowmeter B]])</f>
        <v>2.2174294630983079E-2</v>
      </c>
      <c r="M329" s="33">
        <f>Table1[[#This Row],[TN120 Venting2]]/100</f>
        <v>0</v>
      </c>
      <c r="N329" s="31">
        <f>Table1[[#This Row],[TN550 I Venting2]]/100</f>
        <v>0</v>
      </c>
      <c r="O329" s="31">
        <f>(Table1[[#This Row],[TN550 I (O2)]]-Table1[[#This Row],[O2]])/Table1[[#This Row],[TN550 I (O2)]]</f>
        <v>0.22109276322328375</v>
      </c>
      <c r="P329" s="9">
        <f>Table1[[#This Row],[M-N2]]+Table1[[#This Row],[TEN-N2]]</f>
        <v>65869.291214105746</v>
      </c>
      <c r="Q329" s="9">
        <v>1363.0673922155568</v>
      </c>
      <c r="R329" s="9">
        <f>SUM(Table1[[#This Row],[TEN-CDA]:[TEN-CDA WWT]])</f>
        <v>98564.029624979987</v>
      </c>
      <c r="S329" s="9">
        <v>420.25237931219095</v>
      </c>
      <c r="T329" s="9">
        <v>220.90106321886793</v>
      </c>
      <c r="U329" s="9">
        <v>32.837992073180857</v>
      </c>
      <c r="V329" s="42">
        <v>0</v>
      </c>
      <c r="W329" s="9">
        <v>0</v>
      </c>
      <c r="X329" s="9">
        <v>77118.752878860163</v>
      </c>
      <c r="Y329" s="9">
        <v>1800.2839036950793</v>
      </c>
      <c r="Z329" s="1">
        <v>63848.808130204721</v>
      </c>
      <c r="AA329" s="1">
        <v>2020.4830839010181</v>
      </c>
      <c r="AB329" s="1">
        <v>35319.901651142871</v>
      </c>
      <c r="AC329" s="1">
        <v>53555.253450837095</v>
      </c>
      <c r="AD329" s="1">
        <v>7115.5427712010969</v>
      </c>
      <c r="AE329" s="1">
        <v>2561.801730535165</v>
      </c>
      <c r="AF329" s="1">
        <v>11.530021263747932</v>
      </c>
      <c r="AG329" s="1"/>
      <c r="AH329" s="1"/>
      <c r="AI329" s="1"/>
      <c r="AJ329" s="1"/>
      <c r="AK329" s="1"/>
      <c r="AL329" s="1"/>
      <c r="AM329" s="1"/>
      <c r="AN329" s="1"/>
      <c r="AO329" s="1"/>
      <c r="AP329" s="1"/>
      <c r="AQ329" s="1"/>
    </row>
    <row r="330" spans="1:43" x14ac:dyDescent="0.3">
      <c r="A330" s="9">
        <f t="shared" si="26"/>
        <v>2020</v>
      </c>
      <c r="B330" s="9">
        <f t="shared" si="27"/>
        <v>11</v>
      </c>
      <c r="C330" s="10">
        <v>44155</v>
      </c>
      <c r="D330" s="9">
        <v>0.20300000000000001</v>
      </c>
      <c r="E330" s="9">
        <v>0.14299999999999999</v>
      </c>
      <c r="F330" s="9">
        <v>12.014298857292475</v>
      </c>
      <c r="G330" s="9">
        <v>12576.648231479876</v>
      </c>
      <c r="H330" s="9">
        <v>56903.095346655966</v>
      </c>
      <c r="I330" s="9">
        <v>1750.0143648209794</v>
      </c>
      <c r="J330" s="20">
        <v>71.86</v>
      </c>
      <c r="K330" s="9">
        <v>72.12</v>
      </c>
      <c r="L330" s="31">
        <f>Table1[[#This Row],[TN550 I (O2)]]/(Table1[[#This Row],[Flowmeter A]]+Table1[[#This Row],[Flowmeter B]])</f>
        <v>2.2180466515913169E-2</v>
      </c>
      <c r="M330" s="33">
        <f>Table1[[#This Row],[TN120 Venting2]]/100</f>
        <v>0</v>
      </c>
      <c r="N330" s="31">
        <f>Table1[[#This Row],[TN550 I Venting2]]/100</f>
        <v>0</v>
      </c>
      <c r="O330" s="31">
        <f>(Table1[[#This Row],[TN550 I (O2)]]-Table1[[#This Row],[O2]])/Table1[[#This Row],[TN550 I (O2)]]</f>
        <v>0.22044210433638878</v>
      </c>
      <c r="P330" s="9">
        <f>Table1[[#This Row],[M-N2]]+Table1[[#This Row],[TEN-N2]]</f>
        <v>66327.220912448902</v>
      </c>
      <c r="Q330" s="9">
        <v>1364.2375156209339</v>
      </c>
      <c r="R330" s="9">
        <f>SUM(Table1[[#This Row],[TEN-CDA]:[TEN-CDA WWT]])</f>
        <v>98886.422678493182</v>
      </c>
      <c r="S330" s="9">
        <v>418.98796493456155</v>
      </c>
      <c r="T330" s="9">
        <v>217.50295686953436</v>
      </c>
      <c r="U330" s="9">
        <v>32.517575791443001</v>
      </c>
      <c r="V330" s="42">
        <v>0</v>
      </c>
      <c r="W330" s="9">
        <v>0</v>
      </c>
      <c r="X330" s="9">
        <v>77099.218820480572</v>
      </c>
      <c r="Y330" s="9">
        <v>1799.6791610135376</v>
      </c>
      <c r="Z330" s="1">
        <v>64299.395875802395</v>
      </c>
      <c r="AA330" s="1">
        <v>2027.8250366465072</v>
      </c>
      <c r="AB330" s="1">
        <v>35167.018907768041</v>
      </c>
      <c r="AC330" s="1">
        <v>53947.21613679736</v>
      </c>
      <c r="AD330" s="1">
        <v>7164.1184192157143</v>
      </c>
      <c r="AE330" s="1">
        <v>2596.8726458473393</v>
      </c>
      <c r="AF330" s="1">
        <v>11.196568864726673</v>
      </c>
      <c r="AG330" s="1"/>
      <c r="AH330" s="1"/>
      <c r="AI330" s="1"/>
      <c r="AJ330" s="1"/>
      <c r="AK330" s="1"/>
      <c r="AL330" s="1"/>
      <c r="AM330" s="1"/>
      <c r="AN330" s="1"/>
      <c r="AO330" s="1"/>
      <c r="AP330" s="1"/>
      <c r="AQ330" s="1"/>
    </row>
    <row r="331" spans="1:43" x14ac:dyDescent="0.3">
      <c r="A331" s="9">
        <f t="shared" si="26"/>
        <v>2020</v>
      </c>
      <c r="B331" s="9">
        <f t="shared" si="27"/>
        <v>11</v>
      </c>
      <c r="C331" s="10">
        <v>44156</v>
      </c>
      <c r="D331" s="9">
        <v>0.20399999999999999</v>
      </c>
      <c r="E331" s="9">
        <v>0.15</v>
      </c>
      <c r="F331" s="9">
        <v>12.076998083232429</v>
      </c>
      <c r="G331" s="9">
        <v>12574.840617003169</v>
      </c>
      <c r="H331" s="9">
        <v>56899.714900676605</v>
      </c>
      <c r="I331" s="9">
        <v>1750.1601160116943</v>
      </c>
      <c r="J331" s="20">
        <v>71.849999999999994</v>
      </c>
      <c r="K331" s="9">
        <v>72.12</v>
      </c>
      <c r="L331" s="31">
        <f>Table1[[#This Row],[TN550 I (O2)]]/(Table1[[#This Row],[Flowmeter A]]+Table1[[#This Row],[Flowmeter B]])</f>
        <v>2.2182050358100655E-2</v>
      </c>
      <c r="M331" s="33">
        <f>Table1[[#This Row],[TN120 Venting2]]/100</f>
        <v>0</v>
      </c>
      <c r="N331" s="31">
        <f>Table1[[#This Row],[TN550 I Venting2]]/100</f>
        <v>0</v>
      </c>
      <c r="O331" s="31">
        <f>(Table1[[#This Row],[TN550 I (O2)]]-Table1[[#This Row],[O2]])/Table1[[#This Row],[TN550 I (O2)]]</f>
        <v>0.21871928876751134</v>
      </c>
      <c r="P331" s="9">
        <f>Table1[[#This Row],[M-N2]]+Table1[[#This Row],[TEN-N2]]</f>
        <v>66310.464360382059</v>
      </c>
      <c r="Q331" s="9">
        <v>1367.3663402083514</v>
      </c>
      <c r="R331" s="9">
        <f>SUM(Table1[[#This Row],[TEN-CDA]:[TEN-CDA WWT]])</f>
        <v>99683.939118264083</v>
      </c>
      <c r="S331" s="9">
        <v>422.54548228870738</v>
      </c>
      <c r="T331" s="9">
        <v>228.47851761573719</v>
      </c>
      <c r="U331" s="9">
        <v>32.465487226688722</v>
      </c>
      <c r="V331" s="42">
        <v>0</v>
      </c>
      <c r="W331" s="9">
        <v>0</v>
      </c>
      <c r="X331" s="9">
        <v>77099.334690536081</v>
      </c>
      <c r="Y331" s="9">
        <v>1800.5004355055355</v>
      </c>
      <c r="Z331" s="1">
        <v>64340.597908353571</v>
      </c>
      <c r="AA331" s="1">
        <v>1969.8664520284849</v>
      </c>
      <c r="AB331" s="1">
        <v>35740.033784589694</v>
      </c>
      <c r="AC331" s="1">
        <v>54149.300119816966</v>
      </c>
      <c r="AD331" s="1">
        <v>7152.1711024245315</v>
      </c>
      <c r="AE331" s="1">
        <v>2633.5970597065298</v>
      </c>
      <c r="AF331" s="1">
        <v>8.837051726355476</v>
      </c>
      <c r="AG331" s="1"/>
      <c r="AH331" s="1"/>
      <c r="AI331" s="1"/>
      <c r="AJ331" s="1"/>
      <c r="AK331" s="1"/>
      <c r="AL331" s="1"/>
      <c r="AM331" s="1"/>
      <c r="AN331" s="1"/>
      <c r="AO331" s="1"/>
      <c r="AP331" s="1"/>
      <c r="AQ331" s="1"/>
    </row>
    <row r="332" spans="1:43" x14ac:dyDescent="0.3">
      <c r="A332" s="9">
        <f t="shared" si="26"/>
        <v>2020</v>
      </c>
      <c r="B332" s="9">
        <f t="shared" si="27"/>
        <v>11</v>
      </c>
      <c r="C332" s="10">
        <v>44157</v>
      </c>
      <c r="D332" s="9">
        <v>0.19600000000000001</v>
      </c>
      <c r="E332" s="9">
        <v>0.14299999999999999</v>
      </c>
      <c r="F332" s="9">
        <v>12.57550013685789</v>
      </c>
      <c r="G332" s="9">
        <v>12561.370329306905</v>
      </c>
      <c r="H332" s="9">
        <v>56900.764101535395</v>
      </c>
      <c r="I332" s="9">
        <v>1749.8723229243471</v>
      </c>
      <c r="J332" s="20">
        <v>71.78</v>
      </c>
      <c r="K332" s="9">
        <v>72.099999999999994</v>
      </c>
      <c r="L332" s="31">
        <f>Table1[[#This Row],[TN550 I (O2)]]/(Table1[[#This Row],[Flowmeter A]]+Table1[[#This Row],[Flowmeter B]])</f>
        <v>2.2174115208184922E-2</v>
      </c>
      <c r="M332" s="33">
        <f>Table1[[#This Row],[TN120 Venting2]]/100</f>
        <v>0</v>
      </c>
      <c r="N332" s="31">
        <f>Table1[[#This Row],[TN550 I Venting2]]/100</f>
        <v>0</v>
      </c>
      <c r="O332" s="31">
        <f>(Table1[[#This Row],[TN550 I (O2)]]-Table1[[#This Row],[O2]])/Table1[[#This Row],[TN550 I (O2)]]</f>
        <v>0.22012428678327164</v>
      </c>
      <c r="P332" s="9">
        <f>Table1[[#This Row],[M-N2]]+Table1[[#This Row],[TEN-N2]]</f>
        <v>66470.51159210522</v>
      </c>
      <c r="Q332" s="9">
        <v>1364.6829258788384</v>
      </c>
      <c r="R332" s="9">
        <f>SUM(Table1[[#This Row],[TEN-CDA]:[TEN-CDA WWT]])</f>
        <v>99376.727060381687</v>
      </c>
      <c r="S332" s="9">
        <v>428.52103529433094</v>
      </c>
      <c r="T332" s="9">
        <v>230.87349733224269</v>
      </c>
      <c r="U332" s="9">
        <v>32.064790644966671</v>
      </c>
      <c r="V332" s="42">
        <v>0</v>
      </c>
      <c r="W332" s="9">
        <v>0</v>
      </c>
      <c r="X332" s="9">
        <v>77115.810835574259</v>
      </c>
      <c r="Y332" s="9">
        <v>1799.2803189279634</v>
      </c>
      <c r="Z332" s="1">
        <v>64511.876669847326</v>
      </c>
      <c r="AA332" s="1">
        <v>1958.6349222578992</v>
      </c>
      <c r="AB332" s="1">
        <v>35549.965388619014</v>
      </c>
      <c r="AC332" s="1">
        <v>54182.885479918463</v>
      </c>
      <c r="AD332" s="1">
        <v>6999.0599969232517</v>
      </c>
      <c r="AE332" s="1">
        <v>2633.9806298726471</v>
      </c>
      <c r="AF332" s="1">
        <v>10.835565048319692</v>
      </c>
      <c r="AG332" s="1"/>
      <c r="AH332" s="1"/>
      <c r="AI332" s="1"/>
      <c r="AJ332" s="1"/>
      <c r="AK332" s="1"/>
      <c r="AL332" s="1"/>
      <c r="AM332" s="1"/>
      <c r="AN332" s="1"/>
      <c r="AO332" s="1"/>
      <c r="AP332" s="1"/>
      <c r="AQ332" s="1"/>
    </row>
    <row r="333" spans="1:43" x14ac:dyDescent="0.3">
      <c r="A333" s="9">
        <f t="shared" si="26"/>
        <v>2020</v>
      </c>
      <c r="B333" s="9">
        <f t="shared" si="27"/>
        <v>11</v>
      </c>
      <c r="C333" s="10">
        <v>44158</v>
      </c>
      <c r="D333" s="9">
        <v>0.19900000000000001</v>
      </c>
      <c r="E333" s="9">
        <v>0.14599999999999999</v>
      </c>
      <c r="F333" s="9">
        <v>12.909302099308649</v>
      </c>
      <c r="G333" s="9">
        <v>12011.459775926009</v>
      </c>
      <c r="H333" s="9">
        <v>56549.738137578061</v>
      </c>
      <c r="I333" s="9">
        <v>1730.511587022494</v>
      </c>
      <c r="J333" s="20">
        <v>71.41</v>
      </c>
      <c r="K333" s="9">
        <v>72.069999999999993</v>
      </c>
      <c r="L333" s="31">
        <f>Table1[[#This Row],[TN550 I (O2)]]/(Table1[[#This Row],[Flowmeter A]]+Table1[[#This Row],[Flowmeter B]])</f>
        <v>2.2054150968044577E-2</v>
      </c>
      <c r="M333" s="33">
        <f>Table1[[#This Row],[TN120 Venting2]]/100</f>
        <v>8.9999999999999998E-4</v>
      </c>
      <c r="N333" s="31">
        <f>Table1[[#This Row],[TN550 I Venting2]]/100</f>
        <v>0</v>
      </c>
      <c r="O333" s="31">
        <f>(Table1[[#This Row],[TN550 I (O2)]]-Table1[[#This Row],[O2]])/Table1[[#This Row],[TN550 I (O2)]]</f>
        <v>0.21251707673583592</v>
      </c>
      <c r="P333" s="9">
        <f>Table1[[#This Row],[M-N2]]+Table1[[#This Row],[TEN-N2]]</f>
        <v>66179.48746428531</v>
      </c>
      <c r="Q333" s="9">
        <v>1362.7483232909815</v>
      </c>
      <c r="R333" s="9">
        <f>SUM(Table1[[#This Row],[TEN-CDA]:[TEN-CDA WWT]])</f>
        <v>99896.992123766584</v>
      </c>
      <c r="S333" s="9">
        <v>426.8104530562137</v>
      </c>
      <c r="T333" s="9">
        <v>222.70543289978747</v>
      </c>
      <c r="U333" s="9">
        <v>33.415427839979372</v>
      </c>
      <c r="V333" s="42">
        <v>0.09</v>
      </c>
      <c r="W333" s="9">
        <v>0</v>
      </c>
      <c r="X333" s="9">
        <v>76666.301917071483</v>
      </c>
      <c r="Y333" s="9">
        <v>1800.1776826158321</v>
      </c>
      <c r="Z333" s="1">
        <v>64162.691604137741</v>
      </c>
      <c r="AA333" s="1">
        <v>2016.7958601475757</v>
      </c>
      <c r="AB333" s="1">
        <v>35923.967001539728</v>
      </c>
      <c r="AC333" s="1">
        <v>54147.860955391225</v>
      </c>
      <c r="AD333" s="1">
        <v>7145.3792132470944</v>
      </c>
      <c r="AE333" s="1">
        <v>2660.1049020252321</v>
      </c>
      <c r="AF333" s="1">
        <v>19.680051563288252</v>
      </c>
      <c r="AG333" s="1"/>
      <c r="AH333" s="1"/>
      <c r="AI333" s="1"/>
      <c r="AJ333" s="1"/>
      <c r="AK333" s="1"/>
      <c r="AL333" s="1"/>
      <c r="AM333" s="1"/>
      <c r="AN333" s="1"/>
      <c r="AO333" s="1"/>
      <c r="AP333" s="1"/>
      <c r="AQ333" s="1"/>
    </row>
    <row r="334" spans="1:43" x14ac:dyDescent="0.3">
      <c r="A334" s="9">
        <f t="shared" si="26"/>
        <v>2020</v>
      </c>
      <c r="B334" s="9">
        <f t="shared" si="27"/>
        <v>11</v>
      </c>
      <c r="C334" s="10">
        <v>44159</v>
      </c>
      <c r="D334" s="9">
        <v>0.20599999999999999</v>
      </c>
      <c r="E334" s="9">
        <v>0.14299999999999999</v>
      </c>
      <c r="F334" s="9">
        <v>13.011198428239716</v>
      </c>
      <c r="G334" s="9">
        <v>11203.742598864936</v>
      </c>
      <c r="H334" s="9">
        <v>55833.607956271699</v>
      </c>
      <c r="I334" s="9">
        <v>1700.080339304606</v>
      </c>
      <c r="J334" s="20">
        <v>70.77</v>
      </c>
      <c r="K334" s="9">
        <v>71.760000000000005</v>
      </c>
      <c r="L334" s="31">
        <f>Table1[[#This Row],[TN550 I (O2)]]/(Table1[[#This Row],[Flowmeter A]]+Table1[[#This Row],[Flowmeter B]])</f>
        <v>2.1848836489656256E-2</v>
      </c>
      <c r="M334" s="33">
        <f>Table1[[#This Row],[TN120 Venting2]]/100</f>
        <v>2.0000000000000001E-4</v>
      </c>
      <c r="N334" s="31">
        <f>Table1[[#This Row],[TN550 I Venting2]]/100</f>
        <v>0</v>
      </c>
      <c r="O334" s="31">
        <f>(Table1[[#This Row],[TN550 I (O2)]]-Table1[[#This Row],[O2]])/Table1[[#This Row],[TN550 I (O2)]]</f>
        <v>0.19315319687882462</v>
      </c>
      <c r="P334" s="9">
        <f>Table1[[#This Row],[M-N2]]+Table1[[#This Row],[TEN-N2]]</f>
        <v>65894.876562245685</v>
      </c>
      <c r="Q334" s="9">
        <v>1371.7043868170845</v>
      </c>
      <c r="R334" s="9">
        <f>SUM(Table1[[#This Row],[TEN-CDA]:[TEN-CDA WWT]])</f>
        <v>99841.526837476093</v>
      </c>
      <c r="S334" s="9">
        <v>423.41345375908742</v>
      </c>
      <c r="T334" s="9">
        <v>235.87423707114328</v>
      </c>
      <c r="U334" s="9">
        <v>31.959221812089289</v>
      </c>
      <c r="V334" s="42">
        <v>0.02</v>
      </c>
      <c r="W334" s="9">
        <v>0</v>
      </c>
      <c r="X334" s="9">
        <v>76011.243229166663</v>
      </c>
      <c r="Y334" s="9">
        <v>1799.7807175530329</v>
      </c>
      <c r="Z334" s="1">
        <v>63838.184044053822</v>
      </c>
      <c r="AA334" s="1">
        <v>2056.6925181918673</v>
      </c>
      <c r="AB334" s="1">
        <v>36099.407191297745</v>
      </c>
      <c r="AC334" s="1">
        <v>53888.766805013023</v>
      </c>
      <c r="AD334" s="1">
        <v>7117.7857506646051</v>
      </c>
      <c r="AE334" s="1">
        <v>2710.662908935547</v>
      </c>
      <c r="AF334" s="1">
        <v>24.904181565168415</v>
      </c>
      <c r="AG334" s="1"/>
      <c r="AH334" s="1"/>
      <c r="AI334" s="1"/>
      <c r="AJ334" s="1"/>
      <c r="AK334" s="1"/>
      <c r="AL334" s="1"/>
      <c r="AM334" s="1"/>
      <c r="AN334" s="1"/>
      <c r="AO334" s="1"/>
      <c r="AP334" s="1"/>
      <c r="AQ334" s="1"/>
    </row>
    <row r="335" spans="1:43" x14ac:dyDescent="0.3">
      <c r="A335" s="9">
        <f t="shared" si="26"/>
        <v>2020</v>
      </c>
      <c r="B335" s="9">
        <f t="shared" si="27"/>
        <v>11</v>
      </c>
      <c r="C335" s="10">
        <v>44160</v>
      </c>
      <c r="D335" s="9">
        <v>0.20799999999999999</v>
      </c>
      <c r="E335" s="9">
        <v>0.14799999999999999</v>
      </c>
      <c r="F335" s="9">
        <v>13.017585815281439</v>
      </c>
      <c r="G335" s="9">
        <v>11464.72510680517</v>
      </c>
      <c r="H335" s="9">
        <v>55798.807260040769</v>
      </c>
      <c r="I335" s="9">
        <v>1699.8642301963157</v>
      </c>
      <c r="J335" s="20">
        <v>70.900000000000006</v>
      </c>
      <c r="K335" s="9">
        <v>71.709999999999994</v>
      </c>
      <c r="L335" s="31">
        <f>Table1[[#This Row],[TN550 I (O2)]]/(Table1[[#This Row],[Flowmeter A]]+Table1[[#This Row],[Flowmeter B]])</f>
        <v>2.184509321250367E-2</v>
      </c>
      <c r="M335" s="33">
        <f>Table1[[#This Row],[TN120 Venting2]]/100</f>
        <v>1E-4</v>
      </c>
      <c r="N335" s="31">
        <f>Table1[[#This Row],[TN550 I Venting2]]/100</f>
        <v>0</v>
      </c>
      <c r="O335" s="31">
        <f>(Table1[[#This Row],[TN550 I (O2)]]-Table1[[#This Row],[O2]])/Table1[[#This Row],[TN550 I (O2)]]</f>
        <v>0.17841019088356139</v>
      </c>
      <c r="P335" s="9">
        <f>Table1[[#This Row],[M-N2]]+Table1[[#This Row],[TEN-N2]]</f>
        <v>66324.383630057651</v>
      </c>
      <c r="Q335" s="9">
        <v>1396.5911284108529</v>
      </c>
      <c r="R335" s="9">
        <f>SUM(Table1[[#This Row],[TEN-CDA]:[TEN-CDA WWT]])</f>
        <v>99403.653912219015</v>
      </c>
      <c r="S335" s="9">
        <v>421.51881488109115</v>
      </c>
      <c r="T335" s="9">
        <v>229.55626435448607</v>
      </c>
      <c r="U335" s="9">
        <v>32.233701433265153</v>
      </c>
      <c r="V335" s="42">
        <v>0.01</v>
      </c>
      <c r="W335" s="9">
        <v>0</v>
      </c>
      <c r="X335" s="9">
        <v>76013.865322475714</v>
      </c>
      <c r="Y335" s="9">
        <v>1800.5991735306156</v>
      </c>
      <c r="Z335" s="1">
        <v>64251.939188822864</v>
      </c>
      <c r="AA335" s="1">
        <v>2072.4444412347925</v>
      </c>
      <c r="AB335" s="1">
        <v>35817.344359928</v>
      </c>
      <c r="AC335" s="1">
        <v>53684.163354983517</v>
      </c>
      <c r="AD335" s="1">
        <v>7184.7851660766182</v>
      </c>
      <c r="AE335" s="1">
        <v>2700.475240819906</v>
      </c>
      <c r="AF335" s="1">
        <v>16.885790410970895</v>
      </c>
      <c r="AG335" s="1"/>
      <c r="AH335" s="1"/>
      <c r="AI335" s="1"/>
      <c r="AJ335" s="1"/>
      <c r="AK335" s="1"/>
      <c r="AL335" s="1"/>
      <c r="AM335" s="1"/>
      <c r="AN335" s="1"/>
      <c r="AO335" s="1"/>
      <c r="AP335" s="1"/>
      <c r="AQ335" s="1"/>
    </row>
    <row r="336" spans="1:43" x14ac:dyDescent="0.3">
      <c r="A336" s="9">
        <f t="shared" si="26"/>
        <v>2020</v>
      </c>
      <c r="B336" s="9">
        <f t="shared" si="27"/>
        <v>11</v>
      </c>
      <c r="C336" s="10">
        <v>44161</v>
      </c>
      <c r="D336" s="9">
        <v>0.20699999999999999</v>
      </c>
      <c r="E336" s="9">
        <v>0.14699999999999999</v>
      </c>
      <c r="F336" s="9">
        <v>12.927259087810739</v>
      </c>
      <c r="G336" s="9">
        <v>11382.52506736316</v>
      </c>
      <c r="H336" s="9">
        <v>55799.323394669504</v>
      </c>
      <c r="I336" s="9">
        <v>1700.0737458016622</v>
      </c>
      <c r="J336" s="20">
        <v>70.709999999999994</v>
      </c>
      <c r="K336" s="9">
        <v>71.72</v>
      </c>
      <c r="L336" s="31">
        <f>Table1[[#This Row],[TN550 I (O2)]]/(Table1[[#This Row],[Flowmeter A]]+Table1[[#This Row],[Flowmeter B]])</f>
        <v>2.1852795988505164E-2</v>
      </c>
      <c r="M336" s="33">
        <f>Table1[[#This Row],[TN120 Venting2]]/100</f>
        <v>2.3999999999999998E-3</v>
      </c>
      <c r="N336" s="31">
        <f>Table1[[#This Row],[TN550 I Venting2]]/100</f>
        <v>0</v>
      </c>
      <c r="O336" s="31">
        <f>(Table1[[#This Row],[TN550 I (O2)]]-Table1[[#This Row],[O2]])/Table1[[#This Row],[TN550 I (O2)]]</f>
        <v>0.17803957198625434</v>
      </c>
      <c r="P336" s="9">
        <f>Table1[[#This Row],[M-N2]]+Table1[[#This Row],[TEN-N2]]</f>
        <v>65951.338807295964</v>
      </c>
      <c r="Q336" s="9">
        <v>1397.3933437540661</v>
      </c>
      <c r="R336" s="9">
        <f>SUM(Table1[[#This Row],[TEN-CDA]:[TEN-CDA WWT]])</f>
        <v>98890.901697455018</v>
      </c>
      <c r="S336" s="9">
        <v>424.09048114593952</v>
      </c>
      <c r="T336" s="9">
        <v>236.41109022343019</v>
      </c>
      <c r="U336" s="9">
        <v>31.305480642007673</v>
      </c>
      <c r="V336" s="42">
        <v>0.24</v>
      </c>
      <c r="W336" s="9">
        <v>0</v>
      </c>
      <c r="X336" s="9">
        <v>75996.136439538517</v>
      </c>
      <c r="Y336" s="9">
        <v>1800.4872371718586</v>
      </c>
      <c r="Z336" s="1">
        <v>63868.360348174014</v>
      </c>
      <c r="AA336" s="1">
        <v>2082.9784591219477</v>
      </c>
      <c r="AB336" s="1">
        <v>35482.626368949517</v>
      </c>
      <c r="AC336" s="1">
        <v>53701.758403452463</v>
      </c>
      <c r="AD336" s="1">
        <v>6991.5957068523376</v>
      </c>
      <c r="AE336" s="1">
        <v>2695.0244062689753</v>
      </c>
      <c r="AF336" s="1">
        <v>19.896811931735936</v>
      </c>
      <c r="AG336" s="1"/>
      <c r="AH336" s="1"/>
      <c r="AI336" s="1"/>
      <c r="AJ336" s="1"/>
      <c r="AK336" s="1"/>
      <c r="AL336" s="1"/>
      <c r="AM336" s="1"/>
      <c r="AN336" s="1"/>
      <c r="AO336" s="1"/>
      <c r="AP336" s="1"/>
      <c r="AQ336" s="1"/>
    </row>
    <row r="337" spans="1:43" x14ac:dyDescent="0.3">
      <c r="A337" s="9">
        <f t="shared" si="26"/>
        <v>2020</v>
      </c>
      <c r="B337" s="9">
        <f t="shared" si="27"/>
        <v>11</v>
      </c>
      <c r="C337" s="10">
        <v>44162</v>
      </c>
      <c r="D337" s="9">
        <v>0.20699999999999999</v>
      </c>
      <c r="E337" s="9">
        <v>0.14000000000000001</v>
      </c>
      <c r="F337" s="9">
        <v>12.01686661049858</v>
      </c>
      <c r="G337" s="9">
        <v>11475.275516676787</v>
      </c>
      <c r="H337" s="9">
        <v>55805.945800442401</v>
      </c>
      <c r="I337" s="9">
        <v>1699.9866191961962</v>
      </c>
      <c r="J337" s="20">
        <v>70.64</v>
      </c>
      <c r="K337" s="9">
        <v>71.73</v>
      </c>
      <c r="L337" s="31">
        <f>Table1[[#This Row],[TN550 I (O2)]]/(Table1[[#This Row],[Flowmeter A]]+Table1[[#This Row],[Flowmeter B]])</f>
        <v>2.1849810466982297E-2</v>
      </c>
      <c r="M337" s="33">
        <f>Table1[[#This Row],[TN120 Venting2]]/100</f>
        <v>1.5E-3</v>
      </c>
      <c r="N337" s="31">
        <f>Table1[[#This Row],[TN550 I Venting2]]/100</f>
        <v>0</v>
      </c>
      <c r="O337" s="31">
        <f>(Table1[[#This Row],[TN550 I (O2)]]-Table1[[#This Row],[O2]])/Table1[[#This Row],[TN550 I (O2)]]</f>
        <v>0.18095060987590503</v>
      </c>
      <c r="P337" s="9">
        <f>Table1[[#This Row],[M-N2]]+Table1[[#This Row],[TEN-N2]]</f>
        <v>66117.902368147115</v>
      </c>
      <c r="Q337" s="9">
        <v>1392.3730036717666</v>
      </c>
      <c r="R337" s="9">
        <f>SUM(Table1[[#This Row],[TEN-CDA]:[TEN-CDA WWT]])</f>
        <v>98709.491228183848</v>
      </c>
      <c r="S337" s="9">
        <v>424.69743019967007</v>
      </c>
      <c r="T337" s="9">
        <v>230.70400719308424</v>
      </c>
      <c r="U337" s="9">
        <v>32.603201624587705</v>
      </c>
      <c r="V337" s="42">
        <v>0.15</v>
      </c>
      <c r="W337" s="9">
        <v>0</v>
      </c>
      <c r="X337" s="9">
        <v>76003.388309984381</v>
      </c>
      <c r="Y337" s="9">
        <v>1799.8778448905653</v>
      </c>
      <c r="Z337" s="1">
        <v>64041.09222111381</v>
      </c>
      <c r="AA337" s="1">
        <v>2076.8101470333104</v>
      </c>
      <c r="AB337" s="1">
        <v>35396.208478812456</v>
      </c>
      <c r="AC337" s="1">
        <v>53609.046690666211</v>
      </c>
      <c r="AD337" s="1">
        <v>7016.1531800290595</v>
      </c>
      <c r="AE337" s="1">
        <v>2669.8067717595204</v>
      </c>
      <c r="AF337" s="1">
        <v>18.276106916595506</v>
      </c>
      <c r="AG337" s="1"/>
      <c r="AH337" s="1"/>
      <c r="AI337" s="1"/>
      <c r="AJ337" s="1"/>
      <c r="AK337" s="1"/>
      <c r="AL337" s="1"/>
      <c r="AM337" s="1"/>
      <c r="AN337" s="1"/>
      <c r="AO337" s="1"/>
      <c r="AP337" s="1"/>
      <c r="AQ337" s="1"/>
    </row>
    <row r="338" spans="1:43" x14ac:dyDescent="0.3">
      <c r="A338" s="9">
        <f t="shared" si="26"/>
        <v>2020</v>
      </c>
      <c r="B338" s="9">
        <f t="shared" si="27"/>
        <v>11</v>
      </c>
      <c r="C338" s="10">
        <v>44163</v>
      </c>
      <c r="D338" s="9">
        <v>0.20699999999999999</v>
      </c>
      <c r="E338" s="9">
        <v>0.14399999999999999</v>
      </c>
      <c r="F338" s="9">
        <v>12.382102691655684</v>
      </c>
      <c r="G338" s="9">
        <v>11565.911879635452</v>
      </c>
      <c r="H338" s="9">
        <v>55801.071903734381</v>
      </c>
      <c r="I338" s="9">
        <v>1700.1201089704143</v>
      </c>
      <c r="J338" s="20">
        <v>70.8</v>
      </c>
      <c r="K338" s="9">
        <v>71.73</v>
      </c>
      <c r="L338" s="31">
        <f>Table1[[#This Row],[TN550 I (O2)]]/(Table1[[#This Row],[Flowmeter A]]+Table1[[#This Row],[Flowmeter B]])</f>
        <v>2.1853297412761569E-2</v>
      </c>
      <c r="M338" s="33">
        <f>Table1[[#This Row],[TN120 Venting2]]/100</f>
        <v>5.9999999999999995E-4</v>
      </c>
      <c r="N338" s="31">
        <f>Table1[[#This Row],[TN550 I Venting2]]/100</f>
        <v>0</v>
      </c>
      <c r="O338" s="31">
        <f>(Table1[[#This Row],[TN550 I (O2)]]-Table1[[#This Row],[O2]])/Table1[[#This Row],[TN550 I (O2)]]</f>
        <v>0.18473216158219072</v>
      </c>
      <c r="P338" s="9">
        <f>Table1[[#This Row],[M-N2]]+Table1[[#This Row],[TEN-N2]]</f>
        <v>66096.116227286955</v>
      </c>
      <c r="Q338" s="9">
        <v>1386.05324629096</v>
      </c>
      <c r="R338" s="9">
        <f>SUM(Table1[[#This Row],[TEN-CDA]:[TEN-CDA WWT]])</f>
        <v>98801.662224620173</v>
      </c>
      <c r="S338" s="9">
        <v>425.54998906365211</v>
      </c>
      <c r="T338" s="9">
        <v>220.0070617591069</v>
      </c>
      <c r="U338" s="9">
        <v>33.116682474849789</v>
      </c>
      <c r="V338" s="42">
        <v>0.06</v>
      </c>
      <c r="W338" s="9">
        <v>0</v>
      </c>
      <c r="X338" s="9">
        <v>75997.093977706449</v>
      </c>
      <c r="Y338" s="9">
        <v>1799.8662182227513</v>
      </c>
      <c r="Z338" s="1">
        <v>64019.40284795715</v>
      </c>
      <c r="AA338" s="1">
        <v>2076.7133793298112</v>
      </c>
      <c r="AB338" s="1">
        <v>35234.271743255551</v>
      </c>
      <c r="AC338" s="1">
        <v>53778.524529948823</v>
      </c>
      <c r="AD338" s="1">
        <v>7100.3025981577466</v>
      </c>
      <c r="AE338" s="1">
        <v>2670.2891516172581</v>
      </c>
      <c r="AF338" s="1">
        <v>18.274201640780397</v>
      </c>
      <c r="AG338" s="1"/>
      <c r="AH338" s="1"/>
      <c r="AI338" s="1"/>
      <c r="AJ338" s="1"/>
      <c r="AK338" s="1"/>
      <c r="AL338" s="1"/>
      <c r="AM338" s="1"/>
      <c r="AN338" s="1"/>
      <c r="AO338" s="1"/>
      <c r="AP338" s="1"/>
      <c r="AQ338" s="1"/>
    </row>
    <row r="339" spans="1:43" x14ac:dyDescent="0.3">
      <c r="A339" s="9">
        <f t="shared" si="26"/>
        <v>2020</v>
      </c>
      <c r="B339" s="9">
        <f t="shared" si="27"/>
        <v>11</v>
      </c>
      <c r="C339" s="10">
        <v>44164</v>
      </c>
      <c r="D339" s="9">
        <v>0.20699999999999999</v>
      </c>
      <c r="E339" s="9">
        <v>0.14599999999999999</v>
      </c>
      <c r="F339" s="9">
        <v>13.157066774732284</v>
      </c>
      <c r="G339" s="9">
        <v>11217.265578916553</v>
      </c>
      <c r="H339" s="9">
        <v>55795.010536845075</v>
      </c>
      <c r="I339" s="9">
        <v>1699.9767619125716</v>
      </c>
      <c r="J339" s="20">
        <v>70.739999999999995</v>
      </c>
      <c r="K339" s="9">
        <v>71.709999999999994</v>
      </c>
      <c r="L339" s="31">
        <f>Table1[[#This Row],[TN550 I (O2)]]/(Table1[[#This Row],[Flowmeter A]]+Table1[[#This Row],[Flowmeter B]])</f>
        <v>2.1848348699335666E-2</v>
      </c>
      <c r="M339" s="33">
        <f>Table1[[#This Row],[TN120 Venting2]]/100</f>
        <v>6.8999999999999999E-3</v>
      </c>
      <c r="N339" s="31">
        <f>Table1[[#This Row],[TN550 I Venting2]]/100</f>
        <v>0</v>
      </c>
      <c r="O339" s="31">
        <f>(Table1[[#This Row],[TN550 I (O2)]]-Table1[[#This Row],[O2]])/Table1[[#This Row],[TN550 I (O2)]]</f>
        <v>0.18225001265994117</v>
      </c>
      <c r="P339" s="9">
        <f>Table1[[#This Row],[M-N2]]+Table1[[#This Row],[TEN-N2]]</f>
        <v>65734.180825015719</v>
      </c>
      <c r="Q339" s="9">
        <v>1390.1559755323997</v>
      </c>
      <c r="R339" s="9">
        <f>SUM(Table1[[#This Row],[TEN-CDA]:[TEN-CDA WWT]])</f>
        <v>98790.191550055475</v>
      </c>
      <c r="S339" s="9">
        <v>426.2656601132162</v>
      </c>
      <c r="T339" s="9">
        <v>225.07867036669887</v>
      </c>
      <c r="U339" s="9">
        <v>33.032187363242706</v>
      </c>
      <c r="V339" s="42">
        <v>0.69</v>
      </c>
      <c r="W339" s="9">
        <v>0</v>
      </c>
      <c r="X339" s="9">
        <v>76007.830505074598</v>
      </c>
      <c r="Y339" s="9">
        <v>1800.189922769561</v>
      </c>
      <c r="Z339" s="1">
        <v>63682.985657204197</v>
      </c>
      <c r="AA339" s="1">
        <v>2051.1951678115238</v>
      </c>
      <c r="AB339" s="1">
        <v>35472.583313454197</v>
      </c>
      <c r="AC339" s="1">
        <v>53605.280699709401</v>
      </c>
      <c r="AD339" s="1">
        <v>7030.8256734282832</v>
      </c>
      <c r="AE339" s="1">
        <v>2665.326950380324</v>
      </c>
      <c r="AF339" s="1">
        <v>16.17491308327229</v>
      </c>
      <c r="AG339" s="1"/>
      <c r="AH339" s="1"/>
      <c r="AI339" s="1"/>
      <c r="AJ339" s="1"/>
      <c r="AK339" s="1"/>
      <c r="AL339" s="1"/>
      <c r="AM339" s="1"/>
      <c r="AN339" s="1"/>
      <c r="AO339" s="1"/>
      <c r="AP339" s="1"/>
      <c r="AQ339" s="1"/>
    </row>
    <row r="340" spans="1:43" x14ac:dyDescent="0.3">
      <c r="A340" s="9">
        <f t="shared" si="26"/>
        <v>2020</v>
      </c>
      <c r="B340" s="9">
        <f t="shared" si="27"/>
        <v>11</v>
      </c>
      <c r="C340" s="10">
        <v>44165</v>
      </c>
      <c r="D340" s="9">
        <v>0.20899999999999999</v>
      </c>
      <c r="E340" s="9">
        <v>0.14599999999999999</v>
      </c>
      <c r="F340" s="9">
        <v>12.992218384223213</v>
      </c>
      <c r="G340" s="9">
        <v>11447.045607027454</v>
      </c>
      <c r="H340" s="9">
        <v>55806.208915249823</v>
      </c>
      <c r="I340" s="9">
        <v>1699.9236805563085</v>
      </c>
      <c r="J340" s="20">
        <v>70.78</v>
      </c>
      <c r="K340" s="9">
        <v>71.72</v>
      </c>
      <c r="L340" s="31">
        <f>Table1[[#This Row],[TN550 I (O2)]]/(Table1[[#This Row],[Flowmeter A]]+Table1[[#This Row],[Flowmeter B]])</f>
        <v>2.1848143076878185E-2</v>
      </c>
      <c r="M340" s="33">
        <f>Table1[[#This Row],[TN120 Venting2]]/100</f>
        <v>8.9999999999999998E-4</v>
      </c>
      <c r="N340" s="31">
        <f>Table1[[#This Row],[TN550 I Venting2]]/100</f>
        <v>0</v>
      </c>
      <c r="O340" s="31">
        <f>(Table1[[#This Row],[TN550 I (O2)]]-Table1[[#This Row],[O2]])/Table1[[#This Row],[TN550 I (O2)]]</f>
        <v>0.18662821372310082</v>
      </c>
      <c r="P340" s="9">
        <f>Table1[[#This Row],[M-N2]]+Table1[[#This Row],[TEN-N2]]</f>
        <v>66198.081016566997</v>
      </c>
      <c r="Q340" s="9">
        <v>1382.6699605884855</v>
      </c>
      <c r="R340" s="9">
        <f>SUM(Table1[[#This Row],[TEN-CDA]:[TEN-CDA WWT]])</f>
        <v>98608.53616496762</v>
      </c>
      <c r="S340" s="9">
        <v>427.00543854585715</v>
      </c>
      <c r="T340" s="9">
        <v>219.81562956598879</v>
      </c>
      <c r="U340" s="9">
        <v>32.969622759584084</v>
      </c>
      <c r="V340" s="42">
        <v>0.09</v>
      </c>
      <c r="W340" s="9">
        <v>0</v>
      </c>
      <c r="X340" s="9">
        <v>76005.849843858436</v>
      </c>
      <c r="Y340" s="9">
        <v>1800.4733102283571</v>
      </c>
      <c r="Z340" s="1">
        <v>64176.70645385149</v>
      </c>
      <c r="AA340" s="1">
        <v>2021.3745627155081</v>
      </c>
      <c r="AB340" s="1">
        <v>35210.531773182687</v>
      </c>
      <c r="AC340" s="1">
        <v>53693.40736413515</v>
      </c>
      <c r="AD340" s="1">
        <v>7037.0135692037866</v>
      </c>
      <c r="AE340" s="1">
        <v>2650.3260609019885</v>
      </c>
      <c r="AF340" s="1">
        <v>17.25739754400346</v>
      </c>
      <c r="AG340" s="1"/>
      <c r="AH340" s="1"/>
      <c r="AI340" s="1"/>
      <c r="AJ340" s="1"/>
      <c r="AK340" s="1"/>
      <c r="AL340" s="1"/>
      <c r="AM340" s="1"/>
      <c r="AN340" s="1"/>
      <c r="AO340" s="1"/>
      <c r="AP340" s="1"/>
      <c r="AQ340" s="1"/>
    </row>
    <row r="341" spans="1:43" x14ac:dyDescent="0.3">
      <c r="A341" s="9">
        <f t="shared" si="26"/>
        <v>2020</v>
      </c>
      <c r="B341" s="9">
        <f t="shared" si="27"/>
        <v>12</v>
      </c>
      <c r="C341" s="10">
        <v>44166</v>
      </c>
      <c r="D341" s="9">
        <v>0.2</v>
      </c>
      <c r="E341" s="9">
        <v>0.14000000000000001</v>
      </c>
      <c r="F341" s="9">
        <v>13.001029461973827</v>
      </c>
      <c r="G341" s="9">
        <v>11051.623576834663</v>
      </c>
      <c r="H341" s="9">
        <v>54908.996101882374</v>
      </c>
      <c r="I341" s="9">
        <v>1665.1305593243085</v>
      </c>
      <c r="J341" s="20">
        <v>70.77</v>
      </c>
      <c r="K341" s="9">
        <v>71.709999999999994</v>
      </c>
      <c r="L341" s="31">
        <f>Table1[[#This Row],[TN550 I (O2)]]/(Table1[[#This Row],[Flowmeter A]]+Table1[[#This Row],[Flowmeter B]])</f>
        <v>2.1745044660683482E-2</v>
      </c>
      <c r="M341" s="33">
        <f>Table1[[#This Row],[TN120 Venting2]]/100</f>
        <v>6.7000000000000002E-3</v>
      </c>
      <c r="N341" s="31">
        <f>Table1[[#This Row],[TN550 I Venting2]]/100</f>
        <v>2.0000000000000001E-4</v>
      </c>
      <c r="O341" s="31">
        <f>(Table1[[#This Row],[TN550 I (O2)]]-Table1[[#This Row],[O2]])/Table1[[#This Row],[TN550 I (O2)]]</f>
        <v>0.17109144939651841</v>
      </c>
      <c r="P341" s="9">
        <f>Table1[[#This Row],[M-N2]]+Table1[[#This Row],[TEN-N2]]</f>
        <v>66135.228749007176</v>
      </c>
      <c r="Q341" s="9">
        <v>1380.2409584950772</v>
      </c>
      <c r="R341" s="9">
        <f>SUM(Table1[[#This Row],[TEN-CDA]:[TEN-CDA WWT]])</f>
        <v>98406.493281176634</v>
      </c>
      <c r="S341" s="9">
        <v>427.71586499819733</v>
      </c>
      <c r="T341" s="9">
        <v>224.61095388757943</v>
      </c>
      <c r="U341" s="9">
        <v>33.313596950480708</v>
      </c>
      <c r="V341" s="42">
        <v>0.67</v>
      </c>
      <c r="W341" s="9">
        <v>0.02</v>
      </c>
      <c r="X341" s="9">
        <v>74775.108193095075</v>
      </c>
      <c r="Y341" s="9">
        <v>1800.0649237013956</v>
      </c>
      <c r="Z341" s="1">
        <v>64104.832185765095</v>
      </c>
      <c r="AA341" s="1">
        <v>2030.3965632420793</v>
      </c>
      <c r="AB341" s="1">
        <v>35007.600090540422</v>
      </c>
      <c r="AC341" s="1">
        <v>53623.864056536258</v>
      </c>
      <c r="AD341" s="1">
        <v>7139.4911201259974</v>
      </c>
      <c r="AE341" s="1">
        <v>2618.5084066715281</v>
      </c>
      <c r="AF341" s="1">
        <v>17.029607302421997</v>
      </c>
      <c r="AG341" s="1"/>
      <c r="AH341" s="1"/>
      <c r="AI341" s="1"/>
      <c r="AJ341" s="1"/>
      <c r="AK341" s="1"/>
      <c r="AL341" s="1"/>
      <c r="AM341" s="1"/>
      <c r="AN341" s="1"/>
      <c r="AO341" s="1"/>
      <c r="AP341" s="1"/>
      <c r="AQ341" s="1"/>
    </row>
    <row r="342" spans="1:43" x14ac:dyDescent="0.3">
      <c r="A342" s="9">
        <f t="shared" si="26"/>
        <v>2020</v>
      </c>
      <c r="B342" s="9">
        <f t="shared" si="27"/>
        <v>12</v>
      </c>
      <c r="C342" s="10">
        <v>44167</v>
      </c>
      <c r="D342" s="9">
        <v>0.19800000000000001</v>
      </c>
      <c r="E342" s="9">
        <v>0.14299999999999999</v>
      </c>
      <c r="F342" s="9">
        <v>12.997705576735848</v>
      </c>
      <c r="G342" s="9">
        <v>10549.232293790121</v>
      </c>
      <c r="H342" s="9">
        <v>53296.466529862075</v>
      </c>
      <c r="I342" s="9">
        <v>1599.9001107358172</v>
      </c>
      <c r="J342" s="20">
        <v>71.099999999999994</v>
      </c>
      <c r="K342" s="9">
        <v>71.64</v>
      </c>
      <c r="L342" s="31">
        <f>Table1[[#This Row],[TN550 I (O2)]]/(Table1[[#This Row],[Flowmeter A]]+Table1[[#This Row],[Flowmeter B]])</f>
        <v>2.1505732539541515E-2</v>
      </c>
      <c r="M342" s="33">
        <f>Table1[[#This Row],[TN120 Venting2]]/100</f>
        <v>1.8500000000000003E-2</v>
      </c>
      <c r="N342" s="31">
        <f>Table1[[#This Row],[TN550 I Venting2]]/100</f>
        <v>0</v>
      </c>
      <c r="O342" s="31">
        <f>(Table1[[#This Row],[TN550 I (O2)]]-Table1[[#This Row],[O2]])/Table1[[#This Row],[TN550 I (O2)]]</f>
        <v>0.13624876320640367</v>
      </c>
      <c r="P342" s="9">
        <f>Table1[[#This Row],[M-N2]]+Table1[[#This Row],[TEN-N2]]</f>
        <v>66301.30475594748</v>
      </c>
      <c r="Q342" s="9">
        <v>1381.9156993942738</v>
      </c>
      <c r="R342" s="9">
        <f>SUM(Table1[[#This Row],[TEN-CDA]:[TEN-CDA WWT]])</f>
        <v>98939.602575675541</v>
      </c>
      <c r="S342" s="9">
        <v>428.36418017374814</v>
      </c>
      <c r="T342" s="9">
        <v>223.432693746171</v>
      </c>
      <c r="U342" s="9">
        <v>32.590202025784791</v>
      </c>
      <c r="V342" s="42">
        <v>1.85</v>
      </c>
      <c r="W342" s="9">
        <v>0</v>
      </c>
      <c r="X342" s="9">
        <v>72593.870386233524</v>
      </c>
      <c r="Y342" s="9">
        <v>1800.2525665262026</v>
      </c>
      <c r="Z342" s="1">
        <v>64226.921528018735</v>
      </c>
      <c r="AA342" s="1">
        <v>2074.3832279287385</v>
      </c>
      <c r="AB342" s="1">
        <v>35600.107897618844</v>
      </c>
      <c r="AC342" s="1">
        <v>53615.774201943095</v>
      </c>
      <c r="AD342" s="1">
        <v>7113.3824831388793</v>
      </c>
      <c r="AE342" s="1">
        <v>2590.5930831453852</v>
      </c>
      <c r="AF342" s="1">
        <v>19.744909829331469</v>
      </c>
      <c r="AG342" s="1"/>
      <c r="AH342" s="1"/>
      <c r="AI342" s="1"/>
      <c r="AJ342" s="1"/>
      <c r="AK342" s="1"/>
      <c r="AL342" s="1"/>
      <c r="AM342" s="1"/>
      <c r="AN342" s="1"/>
      <c r="AO342" s="1"/>
      <c r="AP342" s="1"/>
      <c r="AQ342" s="1"/>
    </row>
    <row r="343" spans="1:43" x14ac:dyDescent="0.3">
      <c r="A343" s="9">
        <f t="shared" si="26"/>
        <v>2020</v>
      </c>
      <c r="B343" s="9">
        <f t="shared" si="27"/>
        <v>12</v>
      </c>
      <c r="C343" s="10">
        <v>44168</v>
      </c>
      <c r="D343" s="9">
        <v>0.19600000000000001</v>
      </c>
      <c r="E343" s="9">
        <v>0.14199999999999999</v>
      </c>
      <c r="F343" s="9">
        <v>12.851178374412902</v>
      </c>
      <c r="G343" s="9">
        <v>10230.831867247138</v>
      </c>
      <c r="H343" s="9">
        <v>53298.608041290769</v>
      </c>
      <c r="I343" s="9">
        <v>1599.9869153501261</v>
      </c>
      <c r="J343" s="20">
        <v>70.25</v>
      </c>
      <c r="K343" s="9">
        <v>71.64</v>
      </c>
      <c r="L343" s="31">
        <f>Table1[[#This Row],[TN550 I (O2)]]/(Table1[[#This Row],[Flowmeter A]]+Table1[[#This Row],[Flowmeter B]])</f>
        <v>2.1505490899618809E-2</v>
      </c>
      <c r="M343" s="33">
        <f>Table1[[#This Row],[TN120 Venting2]]/100</f>
        <v>7.3800000000000004E-2</v>
      </c>
      <c r="N343" s="31">
        <f>Table1[[#This Row],[TN550 I Venting2]]/100</f>
        <v>2.9999999999999997E-4</v>
      </c>
      <c r="O343" s="31">
        <f>(Table1[[#This Row],[TN550 I (O2)]]-Table1[[#This Row],[O2]])/Table1[[#This Row],[TN550 I (O2)]]</f>
        <v>0.13905110233226237</v>
      </c>
      <c r="P343" s="9">
        <f>Table1[[#This Row],[M-N2]]+Table1[[#This Row],[TEN-N2]]</f>
        <v>66297.452950153966</v>
      </c>
      <c r="Q343" s="9">
        <v>1377.5069710534949</v>
      </c>
      <c r="R343" s="9">
        <f>SUM(Table1[[#This Row],[TEN-CDA]:[TEN-CDA WWT]])</f>
        <v>99107.484029503365</v>
      </c>
      <c r="S343" s="9">
        <v>431.7668724298311</v>
      </c>
      <c r="T343" s="9">
        <v>216.47801136490705</v>
      </c>
      <c r="U343" s="9">
        <v>32.746960856366869</v>
      </c>
      <c r="V343" s="42">
        <v>7.38</v>
      </c>
      <c r="W343" s="9">
        <v>0.03</v>
      </c>
      <c r="X343" s="9">
        <v>72598.750336138095</v>
      </c>
      <c r="Y343" s="9">
        <v>1800.2449166736696</v>
      </c>
      <c r="Z343" s="1">
        <v>64232.023011905789</v>
      </c>
      <c r="AA343" s="1">
        <v>2065.4299382481781</v>
      </c>
      <c r="AB343" s="1">
        <v>35263.909107173837</v>
      </c>
      <c r="AC343" s="1">
        <v>53790.822399809163</v>
      </c>
      <c r="AD343" s="1">
        <v>7318.071655019301</v>
      </c>
      <c r="AE343" s="1">
        <v>2707.2993557127211</v>
      </c>
      <c r="AF343" s="1">
        <v>27.381511788352508</v>
      </c>
      <c r="AG343" s="1"/>
      <c r="AH343" s="1"/>
      <c r="AI343" s="1"/>
      <c r="AJ343" s="1"/>
      <c r="AK343" s="1"/>
      <c r="AL343" s="1"/>
      <c r="AM343" s="1"/>
      <c r="AN343" s="1"/>
      <c r="AO343" s="1"/>
      <c r="AP343" s="1"/>
      <c r="AQ343" s="1"/>
    </row>
    <row r="344" spans="1:43" x14ac:dyDescent="0.3">
      <c r="A344" s="9">
        <f t="shared" si="26"/>
        <v>2020</v>
      </c>
      <c r="B344" s="9">
        <f t="shared" si="27"/>
        <v>12</v>
      </c>
      <c r="C344" s="10">
        <v>44169</v>
      </c>
      <c r="D344" s="9">
        <v>0.19800000000000001</v>
      </c>
      <c r="E344" s="9">
        <v>0.13900000000000001</v>
      </c>
      <c r="F344" s="9">
        <v>12.683837376395337</v>
      </c>
      <c r="G344" s="9">
        <v>10440.212354193793</v>
      </c>
      <c r="H344" s="9">
        <v>53122.153891611728</v>
      </c>
      <c r="I344" s="9">
        <v>1599.9683583753958</v>
      </c>
      <c r="J344" s="20">
        <v>70.040000000000006</v>
      </c>
      <c r="K344" s="9">
        <v>71.599999999999994</v>
      </c>
      <c r="L344" s="31">
        <f>Table1[[#This Row],[TN550 I (O2)]]/(Table1[[#This Row],[Flowmeter A]]+Table1[[#This Row],[Flowmeter B]])</f>
        <v>2.1564226831868778E-2</v>
      </c>
      <c r="M344" s="33">
        <f>Table1[[#This Row],[TN120 Venting2]]/100</f>
        <v>4.0999999999999995E-2</v>
      </c>
      <c r="N344" s="31">
        <f>Table1[[#This Row],[TN550 I Venting2]]/100</f>
        <v>4.0000000000000002E-4</v>
      </c>
      <c r="O344" s="31">
        <f>(Table1[[#This Row],[TN550 I (O2)]]-Table1[[#This Row],[O2]])/Table1[[#This Row],[TN550 I (O2)]]</f>
        <v>0.13457932693595909</v>
      </c>
      <c r="P344" s="9">
        <f>Table1[[#This Row],[M-N2]]+Table1[[#This Row],[TEN-N2]]</f>
        <v>66044.945738856608</v>
      </c>
      <c r="Q344" s="9">
        <v>1384.6456935864037</v>
      </c>
      <c r="R344" s="9">
        <f>SUM(Table1[[#This Row],[TEN-CDA]:[TEN-CDA WWT]])</f>
        <v>98550.532198847155</v>
      </c>
      <c r="S344" s="9">
        <v>426.16303108633599</v>
      </c>
      <c r="T344" s="9">
        <v>231.32960410717044</v>
      </c>
      <c r="U344" s="9">
        <v>31.704514664299865</v>
      </c>
      <c r="V344" s="42">
        <v>4.0999999999999996</v>
      </c>
      <c r="W344" s="9">
        <v>0.04</v>
      </c>
      <c r="X344" s="9">
        <v>72395.418323863632</v>
      </c>
      <c r="Y344" s="9">
        <v>1800.0708466952744</v>
      </c>
      <c r="Z344" s="1">
        <v>63972.761436827721</v>
      </c>
      <c r="AA344" s="1">
        <v>2072.1843020288916</v>
      </c>
      <c r="AB344" s="1">
        <v>34728.654051548401</v>
      </c>
      <c r="AC344" s="1">
        <v>53687.040135973286</v>
      </c>
      <c r="AD344" s="1">
        <v>7305.5020053077278</v>
      </c>
      <c r="AE344" s="1">
        <v>2806.10261072904</v>
      </c>
      <c r="AF344" s="1">
        <v>23.233395288701608</v>
      </c>
      <c r="AG344" s="1"/>
      <c r="AH344" s="1"/>
      <c r="AI344" s="1"/>
      <c r="AJ344" s="1"/>
      <c r="AK344" s="1"/>
      <c r="AL344" s="1"/>
      <c r="AM344" s="1"/>
      <c r="AN344" s="1"/>
      <c r="AO344" s="1"/>
      <c r="AP344" s="1"/>
      <c r="AQ344" s="1"/>
    </row>
    <row r="345" spans="1:43" x14ac:dyDescent="0.3">
      <c r="A345" s="9">
        <f t="shared" si="26"/>
        <v>2020</v>
      </c>
      <c r="B345" s="9">
        <f t="shared" si="27"/>
        <v>12</v>
      </c>
      <c r="C345" s="10">
        <v>44170</v>
      </c>
      <c r="D345" s="9">
        <v>0.19700000000000001</v>
      </c>
      <c r="E345" s="9">
        <v>0.14099999999999999</v>
      </c>
      <c r="F345" s="9">
        <v>12.867337299146152</v>
      </c>
      <c r="G345" s="9">
        <v>10527.343526508084</v>
      </c>
      <c r="H345" s="9">
        <v>53197.30889193702</v>
      </c>
      <c r="I345" s="9">
        <v>1599.9798570430421</v>
      </c>
      <c r="J345" s="20">
        <v>71.010000000000005</v>
      </c>
      <c r="K345" s="9">
        <v>71.53</v>
      </c>
      <c r="L345" s="31">
        <f>Table1[[#This Row],[TN550 I (O2)]]/(Table1[[#This Row],[Flowmeter A]]+Table1[[#This Row],[Flowmeter B]])</f>
        <v>2.1512099707057971E-2</v>
      </c>
      <c r="M345" s="33">
        <f>Table1[[#This Row],[TN120 Venting2]]/100</f>
        <v>7.8700000000000006E-2</v>
      </c>
      <c r="N345" s="31">
        <f>Table1[[#This Row],[TN550 I Venting2]]/100</f>
        <v>0</v>
      </c>
      <c r="O345" s="31">
        <f>(Table1[[#This Row],[TN550 I (O2)]]-Table1[[#This Row],[O2]])/Table1[[#This Row],[TN550 I (O2)]]</f>
        <v>0.13432740700594914</v>
      </c>
      <c r="P345" s="9">
        <f>Table1[[#This Row],[M-N2]]+Table1[[#This Row],[TEN-N2]]</f>
        <v>66193.913536098247</v>
      </c>
      <c r="Q345" s="9">
        <v>1385.0587115847011</v>
      </c>
      <c r="R345" s="9">
        <f>SUM(Table1[[#This Row],[TEN-CDA]:[TEN-CDA WWT]])</f>
        <v>98626.674306370769</v>
      </c>
      <c r="S345" s="9">
        <v>425.58841236757786</v>
      </c>
      <c r="T345" s="9">
        <v>231.76625903921769</v>
      </c>
      <c r="U345" s="9">
        <v>32.761601521520461</v>
      </c>
      <c r="V345" s="42">
        <v>7.87</v>
      </c>
      <c r="W345" s="9">
        <v>0</v>
      </c>
      <c r="X345" s="9">
        <v>72575.886168459401</v>
      </c>
      <c r="Y345" s="9">
        <v>1799.9245999380585</v>
      </c>
      <c r="Z345" s="1">
        <v>64136.446448321469</v>
      </c>
      <c r="AA345" s="1">
        <v>2057.4670877767717</v>
      </c>
      <c r="AB345" s="1">
        <v>34886.969598477619</v>
      </c>
      <c r="AC345" s="1">
        <v>53741.715182598891</v>
      </c>
      <c r="AD345" s="1">
        <v>7217.747940476449</v>
      </c>
      <c r="AE345" s="1">
        <v>2760.4871808382309</v>
      </c>
      <c r="AF345" s="1">
        <v>19.754403979595718</v>
      </c>
      <c r="AG345" s="1"/>
      <c r="AH345" s="1"/>
      <c r="AI345" s="1"/>
      <c r="AJ345" s="1"/>
      <c r="AK345" s="1"/>
      <c r="AL345" s="1"/>
      <c r="AM345" s="1"/>
      <c r="AN345" s="1"/>
      <c r="AO345" s="1"/>
      <c r="AP345" s="1"/>
      <c r="AQ345" s="1"/>
    </row>
    <row r="346" spans="1:43" x14ac:dyDescent="0.3">
      <c r="A346" s="9">
        <f t="shared" si="26"/>
        <v>2020</v>
      </c>
      <c r="B346" s="9">
        <f t="shared" si="27"/>
        <v>12</v>
      </c>
      <c r="C346" s="10">
        <v>44171</v>
      </c>
      <c r="D346" s="9">
        <v>0.19600000000000001</v>
      </c>
      <c r="E346" s="9">
        <v>0.13900000000000001</v>
      </c>
      <c r="F346" s="9">
        <v>13.007494582971049</v>
      </c>
      <c r="G346" s="9">
        <v>10535.528181384456</v>
      </c>
      <c r="H346" s="9">
        <v>53201.075210899551</v>
      </c>
      <c r="I346" s="9">
        <v>1600.2376886032921</v>
      </c>
      <c r="J346" s="20">
        <v>71.040000000000006</v>
      </c>
      <c r="K346" s="9">
        <v>71.599999999999994</v>
      </c>
      <c r="L346" s="31">
        <f>Table1[[#This Row],[TN550 I (O2)]]/(Table1[[#This Row],[Flowmeter A]]+Table1[[#This Row],[Flowmeter B]])</f>
        <v>2.1535394379430351E-2</v>
      </c>
      <c r="M346" s="33">
        <f>Table1[[#This Row],[TN120 Venting2]]/100</f>
        <v>7.2300000000000003E-2</v>
      </c>
      <c r="N346" s="31">
        <f>Table1[[#This Row],[TN550 I Venting2]]/100</f>
        <v>0</v>
      </c>
      <c r="O346" s="31">
        <f>(Table1[[#This Row],[TN550 I (O2)]]-Table1[[#This Row],[O2]])/Table1[[#This Row],[TN550 I (O2)]]</f>
        <v>0.13577579471221576</v>
      </c>
      <c r="P346" s="9">
        <f>Table1[[#This Row],[M-N2]]+Table1[[#This Row],[TEN-N2]]</f>
        <v>66344.914217523372</v>
      </c>
      <c r="Q346" s="9">
        <v>1382.9641447047409</v>
      </c>
      <c r="R346" s="9">
        <f>SUM(Table1[[#This Row],[TEN-CDA]:[TEN-CDA WWT]])</f>
        <v>97789.591500060807</v>
      </c>
      <c r="S346" s="9">
        <v>424.0391180712179</v>
      </c>
      <c r="T346" s="9">
        <v>244.61316528955655</v>
      </c>
      <c r="U346" s="9">
        <v>33.124342698011858</v>
      </c>
      <c r="V346" s="42">
        <v>7.23</v>
      </c>
      <c r="W346" s="9">
        <v>0</v>
      </c>
      <c r="X346" s="9">
        <v>72507.664582971891</v>
      </c>
      <c r="Y346" s="9">
        <v>1799.6668923117898</v>
      </c>
      <c r="Z346" s="1">
        <v>64256.527663623354</v>
      </c>
      <c r="AA346" s="1">
        <v>2088.3865539000153</v>
      </c>
      <c r="AB346" s="1">
        <v>33957.624365674877</v>
      </c>
      <c r="AC346" s="1">
        <v>53783.048089434422</v>
      </c>
      <c r="AD346" s="1">
        <v>7281.8787547845459</v>
      </c>
      <c r="AE346" s="1">
        <v>2749.1728237768912</v>
      </c>
      <c r="AF346" s="1">
        <v>17.867466390081201</v>
      </c>
      <c r="AG346" s="1"/>
      <c r="AH346" s="1"/>
      <c r="AI346" s="1"/>
      <c r="AJ346" s="1"/>
      <c r="AK346" s="1"/>
      <c r="AL346" s="1"/>
      <c r="AM346" s="1"/>
      <c r="AN346" s="1"/>
      <c r="AO346" s="1"/>
      <c r="AP346" s="1"/>
      <c r="AQ346" s="1"/>
    </row>
    <row r="347" spans="1:43" x14ac:dyDescent="0.3">
      <c r="A347" s="9">
        <f t="shared" si="26"/>
        <v>2020</v>
      </c>
      <c r="B347" s="9">
        <f t="shared" si="27"/>
        <v>12</v>
      </c>
      <c r="C347" s="10">
        <v>44172</v>
      </c>
      <c r="D347" s="9">
        <v>0.19900000000000001</v>
      </c>
      <c r="E347" s="9">
        <v>0.13800000000000001</v>
      </c>
      <c r="F347" s="9">
        <v>12.987196940833044</v>
      </c>
      <c r="G347" s="9">
        <v>10927.529138971417</v>
      </c>
      <c r="H347" s="9">
        <v>52994.060992800136</v>
      </c>
      <c r="I347" s="9">
        <v>1600.0107864072802</v>
      </c>
      <c r="J347" s="20">
        <v>71.02</v>
      </c>
      <c r="K347" s="9">
        <v>71.680000000000007</v>
      </c>
      <c r="L347" s="31">
        <f>Table1[[#This Row],[TN550 I (O2)]]/(Table1[[#This Row],[Flowmeter A]]+Table1[[#This Row],[Flowmeter B]])</f>
        <v>2.1642220453382165E-2</v>
      </c>
      <c r="M347" s="33">
        <f>Table1[[#This Row],[TN120 Venting2]]/100</f>
        <v>3.5200000000000002E-2</v>
      </c>
      <c r="N347" s="31">
        <f>Table1[[#This Row],[TN550 I Venting2]]/100</f>
        <v>0</v>
      </c>
      <c r="O347" s="31">
        <f>(Table1[[#This Row],[TN550 I (O2)]]-Table1[[#This Row],[O2]])/Table1[[#This Row],[TN550 I (O2)]]</f>
        <v>0.14012997995886994</v>
      </c>
      <c r="P347" s="9">
        <f>Table1[[#This Row],[M-N2]]+Table1[[#This Row],[TEN-N2]]</f>
        <v>66444.633612691658</v>
      </c>
      <c r="Q347" s="9">
        <v>1375.8013069740523</v>
      </c>
      <c r="R347" s="9">
        <f>SUM(Table1[[#This Row],[TEN-CDA]:[TEN-CDA WWT]])</f>
        <v>98265.835784361334</v>
      </c>
      <c r="S347" s="9">
        <v>427.50845745650537</v>
      </c>
      <c r="T347" s="9">
        <v>232.63866241899817</v>
      </c>
      <c r="U347" s="9">
        <v>32.201347879201982</v>
      </c>
      <c r="V347" s="42">
        <v>3.52</v>
      </c>
      <c r="W347" s="9">
        <v>0</v>
      </c>
      <c r="X347" s="9">
        <v>72130.769338783837</v>
      </c>
      <c r="Y347" s="9">
        <v>1799.2966566966029</v>
      </c>
      <c r="Z347" s="1">
        <v>64378.908903864503</v>
      </c>
      <c r="AA347" s="1">
        <v>2065.7247088271492</v>
      </c>
      <c r="AB347" s="1">
        <v>34442.254920085878</v>
      </c>
      <c r="AC347" s="1">
        <v>53820.171053630293</v>
      </c>
      <c r="AD347" s="1">
        <v>7224.9612882086012</v>
      </c>
      <c r="AE347" s="1">
        <v>2760.6161326634065</v>
      </c>
      <c r="AF347" s="1">
        <v>17.832389773158543</v>
      </c>
      <c r="AG347" s="1"/>
      <c r="AH347" s="1"/>
      <c r="AI347" s="1"/>
      <c r="AJ347" s="1"/>
      <c r="AK347" s="1"/>
      <c r="AL347" s="1"/>
      <c r="AM347" s="1"/>
      <c r="AN347" s="1"/>
      <c r="AO347" s="1"/>
      <c r="AP347" s="1"/>
      <c r="AQ347" s="1"/>
    </row>
    <row r="348" spans="1:43" x14ac:dyDescent="0.3">
      <c r="A348" s="9">
        <f t="shared" si="26"/>
        <v>2020</v>
      </c>
      <c r="B348" s="9">
        <f t="shared" si="27"/>
        <v>12</v>
      </c>
      <c r="C348" s="10">
        <v>44173</v>
      </c>
      <c r="D348" s="9">
        <v>0.193</v>
      </c>
      <c r="E348" s="9">
        <v>0.13900000000000001</v>
      </c>
      <c r="F348" s="9">
        <v>12.796741974676424</v>
      </c>
      <c r="G348" s="9">
        <v>10505.429243607954</v>
      </c>
      <c r="H348" s="9">
        <v>53602.074080499653</v>
      </c>
      <c r="I348" s="9">
        <v>1600.0006367817759</v>
      </c>
      <c r="J348" s="20">
        <v>70.91</v>
      </c>
      <c r="K348" s="9">
        <v>71.86</v>
      </c>
      <c r="L348" s="31">
        <f>Table1[[#This Row],[TN550 I (O2)]]/(Table1[[#This Row],[Flowmeter A]]+Table1[[#This Row],[Flowmeter B]])</f>
        <v>2.145039691281473E-2</v>
      </c>
      <c r="M348" s="33">
        <f>Table1[[#This Row],[TN120 Venting2]]/100</f>
        <v>4.6799999999999994E-2</v>
      </c>
      <c r="N348" s="31">
        <f>Table1[[#This Row],[TN550 I Venting2]]/100</f>
        <v>0</v>
      </c>
      <c r="O348" s="31">
        <f>(Table1[[#This Row],[TN550 I (O2)]]-Table1[[#This Row],[O2]])/Table1[[#This Row],[TN550 I (O2)]]</f>
        <v>0.14456896977289241</v>
      </c>
      <c r="P348" s="9">
        <f>Table1[[#This Row],[M-N2]]+Table1[[#This Row],[TEN-N2]]</f>
        <v>66335.709609635916</v>
      </c>
      <c r="Q348" s="9">
        <v>1368.6901930862628</v>
      </c>
      <c r="R348" s="9">
        <f>SUM(Table1[[#This Row],[TEN-CDA]:[TEN-CDA WWT]])</f>
        <v>98602.761418897906</v>
      </c>
      <c r="S348" s="9">
        <v>430.87634326053279</v>
      </c>
      <c r="T348" s="9">
        <v>212.1207429990431</v>
      </c>
      <c r="U348" s="9">
        <v>32.170768143483784</v>
      </c>
      <c r="V348" s="42">
        <v>4.68</v>
      </c>
      <c r="W348" s="9">
        <v>0</v>
      </c>
      <c r="X348" s="9">
        <v>72790.432821174531</v>
      </c>
      <c r="Y348" s="9">
        <v>1800.291223932355</v>
      </c>
      <c r="Z348" s="1">
        <v>64259.138955152674</v>
      </c>
      <c r="AA348" s="1">
        <v>2076.5706544832419</v>
      </c>
      <c r="AB348" s="1">
        <v>34732.346149050136</v>
      </c>
      <c r="AC348" s="1">
        <v>53804.742756766136</v>
      </c>
      <c r="AD348" s="1">
        <v>7267.9687889676225</v>
      </c>
      <c r="AE348" s="1">
        <v>2779.4882460097156</v>
      </c>
      <c r="AF348" s="1">
        <v>18.215478104287804</v>
      </c>
      <c r="AG348" s="1"/>
      <c r="AH348" s="1"/>
      <c r="AI348" s="1"/>
      <c r="AJ348" s="1"/>
      <c r="AK348" s="1"/>
      <c r="AL348" s="1"/>
      <c r="AM348" s="1"/>
      <c r="AN348" s="1"/>
      <c r="AO348" s="1"/>
      <c r="AP348" s="1"/>
      <c r="AQ348" s="1"/>
    </row>
    <row r="349" spans="1:43" x14ac:dyDescent="0.3">
      <c r="A349" s="9">
        <f t="shared" si="26"/>
        <v>2020</v>
      </c>
      <c r="B349" s="9">
        <f t="shared" si="27"/>
        <v>12</v>
      </c>
      <c r="C349" s="10">
        <v>44174</v>
      </c>
      <c r="D349" s="9">
        <v>0.19600000000000001</v>
      </c>
      <c r="E349" s="9">
        <v>0.13900000000000001</v>
      </c>
      <c r="F349" s="9">
        <v>13.0009046199833</v>
      </c>
      <c r="G349" s="9">
        <v>10447.556502374651</v>
      </c>
      <c r="H349" s="9">
        <v>53040.550813779497</v>
      </c>
      <c r="I349" s="9">
        <v>1600.0471197336103</v>
      </c>
      <c r="J349" s="20">
        <v>71.040000000000006</v>
      </c>
      <c r="K349" s="9">
        <v>71.77</v>
      </c>
      <c r="L349" s="31">
        <f>Table1[[#This Row],[TN550 I (O2)]]/(Table1[[#This Row],[Flowmeter A]]+Table1[[#This Row],[Flowmeter B]])</f>
        <v>2.165048943282245E-2</v>
      </c>
      <c r="M349" s="33">
        <f>Table1[[#This Row],[TN120 Venting2]]/100</f>
        <v>5.5800000000000002E-2</v>
      </c>
      <c r="N349" s="31">
        <f>Table1[[#This Row],[TN550 I Venting2]]/100</f>
        <v>0</v>
      </c>
      <c r="O349" s="31">
        <f>(Table1[[#This Row],[TN550 I (O2)]]-Table1[[#This Row],[O2]])/Table1[[#This Row],[TN550 I (O2)]]</f>
        <v>0.14914404912934673</v>
      </c>
      <c r="P349" s="9">
        <f>Table1[[#This Row],[M-N2]]+Table1[[#This Row],[TEN-N2]]</f>
        <v>66063.741533606357</v>
      </c>
      <c r="Q349" s="9">
        <v>1361.409613498791</v>
      </c>
      <c r="R349" s="9">
        <f>SUM(Table1[[#This Row],[TEN-CDA]:[TEN-CDA WWT]])</f>
        <v>98060.401971516505</v>
      </c>
      <c r="S349" s="9">
        <v>436.6297873630034</v>
      </c>
      <c r="T349" s="9">
        <v>205.0902171614764</v>
      </c>
      <c r="U349" s="9">
        <v>32.100388923343232</v>
      </c>
      <c r="V349" s="42">
        <v>5.58</v>
      </c>
      <c r="W349" s="9">
        <v>0</v>
      </c>
      <c r="X349" s="9">
        <v>72103.238311068708</v>
      </c>
      <c r="Y349" s="9">
        <v>1800.2697226996229</v>
      </c>
      <c r="Z349" s="1">
        <v>63935.67003437283</v>
      </c>
      <c r="AA349" s="1">
        <v>2128.0714992335238</v>
      </c>
      <c r="AB349" s="1">
        <v>34304.943292960619</v>
      </c>
      <c r="AC349" s="1">
        <v>53571.398678760408</v>
      </c>
      <c r="AD349" s="1">
        <v>7388.3835481409396</v>
      </c>
      <c r="AE349" s="1">
        <v>2777.8740522396556</v>
      </c>
      <c r="AF349" s="1">
        <v>17.802399414879098</v>
      </c>
      <c r="AG349" s="1"/>
      <c r="AH349" s="1"/>
      <c r="AI349" s="1"/>
      <c r="AJ349" s="1"/>
      <c r="AK349" s="1"/>
      <c r="AL349" s="1"/>
      <c r="AM349" s="1"/>
      <c r="AN349" s="1"/>
      <c r="AO349" s="1"/>
      <c r="AP349" s="1"/>
      <c r="AQ349" s="1"/>
    </row>
    <row r="350" spans="1:43" x14ac:dyDescent="0.3">
      <c r="A350" s="9">
        <f t="shared" si="26"/>
        <v>2020</v>
      </c>
      <c r="B350" s="9">
        <f t="shared" si="27"/>
        <v>12</v>
      </c>
      <c r="C350" s="10">
        <v>44175</v>
      </c>
      <c r="D350" s="9">
        <v>0.19900000000000001</v>
      </c>
      <c r="E350" s="9">
        <v>0.14099999999999999</v>
      </c>
      <c r="F350" s="9">
        <v>12.992426734596055</v>
      </c>
      <c r="G350" s="9">
        <v>10697.117470777672</v>
      </c>
      <c r="H350" s="9">
        <v>53140.371484103918</v>
      </c>
      <c r="I350" s="9">
        <v>1599.9905416262309</v>
      </c>
      <c r="J350" s="20">
        <v>71.099999999999994</v>
      </c>
      <c r="K350" s="9">
        <v>71.7</v>
      </c>
      <c r="L350" s="31">
        <f>Table1[[#This Row],[TN550 I (O2)]]/(Table1[[#This Row],[Flowmeter A]]+Table1[[#This Row],[Flowmeter B]])</f>
        <v>2.158706211228377E-2</v>
      </c>
      <c r="M350" s="33">
        <f>Table1[[#This Row],[TN120 Venting2]]/100</f>
        <v>2.5699999999999997E-2</v>
      </c>
      <c r="N350" s="31">
        <f>Table1[[#This Row],[TN550 I Venting2]]/100</f>
        <v>0</v>
      </c>
      <c r="O350" s="31">
        <f>(Table1[[#This Row],[TN550 I (O2)]]-Table1[[#This Row],[O2]])/Table1[[#This Row],[TN550 I (O2)]]</f>
        <v>0.15367080316834456</v>
      </c>
      <c r="P350" s="9">
        <f>Table1[[#This Row],[M-N2]]+Table1[[#This Row],[TEN-N2]]</f>
        <v>66420.057936298443</v>
      </c>
      <c r="Q350" s="9">
        <v>1354.1187100327734</v>
      </c>
      <c r="R350" s="9">
        <f>SUM(Table1[[#This Row],[TEN-CDA]:[TEN-CDA WWT]])</f>
        <v>97843.589998541647</v>
      </c>
      <c r="S350" s="9">
        <v>428.47521017525946</v>
      </c>
      <c r="T350" s="9">
        <v>194.42907680958865</v>
      </c>
      <c r="U350" s="9">
        <v>32.290218643146119</v>
      </c>
      <c r="V350" s="42">
        <v>2.57</v>
      </c>
      <c r="W350" s="9">
        <v>0</v>
      </c>
      <c r="X350" s="9">
        <v>72318.169549141239</v>
      </c>
      <c r="Y350" s="9">
        <v>1799.8615800591497</v>
      </c>
      <c r="Z350" s="1">
        <v>64282.077067791462</v>
      </c>
      <c r="AA350" s="1">
        <v>2137.9808685069775</v>
      </c>
      <c r="AB350" s="1">
        <v>34212.724889941877</v>
      </c>
      <c r="AC350" s="1">
        <v>53556.021344769259</v>
      </c>
      <c r="AD350" s="1">
        <v>7280.575856067835</v>
      </c>
      <c r="AE350" s="1">
        <v>2778.95207677096</v>
      </c>
      <c r="AF350" s="1">
        <v>15.315830991710721</v>
      </c>
      <c r="AG350" s="1"/>
      <c r="AH350" s="1"/>
      <c r="AI350" s="1"/>
      <c r="AJ350" s="1"/>
      <c r="AK350" s="1"/>
      <c r="AL350" s="1"/>
      <c r="AM350" s="1"/>
      <c r="AN350" s="1"/>
      <c r="AO350" s="1"/>
      <c r="AP350" s="1"/>
      <c r="AQ350" s="1"/>
    </row>
    <row r="351" spans="1:43" x14ac:dyDescent="0.3">
      <c r="A351" s="9">
        <f t="shared" si="26"/>
        <v>2020</v>
      </c>
      <c r="B351" s="9">
        <f t="shared" si="27"/>
        <v>12</v>
      </c>
      <c r="C351" s="10">
        <v>44176</v>
      </c>
      <c r="D351" s="9">
        <v>0.19900000000000001</v>
      </c>
      <c r="E351" s="9">
        <v>0.13800000000000001</v>
      </c>
      <c r="F351" s="9">
        <v>13.149897899667394</v>
      </c>
      <c r="G351" s="9">
        <v>10665.418982585878</v>
      </c>
      <c r="H351" s="9">
        <v>53590.950349149898</v>
      </c>
      <c r="I351" s="9">
        <v>1600.0053252644375</v>
      </c>
      <c r="J351" s="20">
        <v>71.06</v>
      </c>
      <c r="K351" s="9">
        <v>71.84</v>
      </c>
      <c r="L351" s="31">
        <f>Table1[[#This Row],[TN550 I (O2)]]/(Table1[[#This Row],[Flowmeter A]]+Table1[[#This Row],[Flowmeter B]])</f>
        <v>2.1449367543598632E-2</v>
      </c>
      <c r="M351" s="33">
        <f>Table1[[#This Row],[TN120 Venting2]]/100</f>
        <v>6.3799999999999996E-2</v>
      </c>
      <c r="N351" s="31">
        <f>Table1[[#This Row],[TN550 I Venting2]]/100</f>
        <v>2.0000000000000001E-4</v>
      </c>
      <c r="O351" s="31">
        <f>(Table1[[#This Row],[TN550 I (O2)]]-Table1[[#This Row],[O2]])/Table1[[#This Row],[TN550 I (O2)]]</f>
        <v>0.15957806300358379</v>
      </c>
      <c r="P351" s="9">
        <f>Table1[[#This Row],[M-N2]]+Table1[[#This Row],[TEN-N2]]</f>
        <v>66183.244353506816</v>
      </c>
      <c r="Q351" s="9">
        <v>1344.6795746633195</v>
      </c>
      <c r="R351" s="9">
        <f>SUM(Table1[[#This Row],[TEN-CDA]:[TEN-CDA WWT]])</f>
        <v>98421.796346875766</v>
      </c>
      <c r="S351" s="9">
        <v>433.70644391898389</v>
      </c>
      <c r="T351" s="9">
        <v>210.69956891856037</v>
      </c>
      <c r="U351" s="9">
        <v>32.606965711594952</v>
      </c>
      <c r="V351" s="42">
        <v>6.38</v>
      </c>
      <c r="W351" s="9">
        <v>0.02</v>
      </c>
      <c r="X351" s="9">
        <v>72794.25422883415</v>
      </c>
      <c r="Y351" s="9">
        <v>1800.2680577656031</v>
      </c>
      <c r="Z351" s="1">
        <v>64020.308572063674</v>
      </c>
      <c r="AA351" s="1">
        <v>2162.9357814431437</v>
      </c>
      <c r="AB351" s="1">
        <v>34708.223950652755</v>
      </c>
      <c r="AC351" s="1">
        <v>53665.205640614156</v>
      </c>
      <c r="AD351" s="1">
        <v>7266.4734982894915</v>
      </c>
      <c r="AE351" s="1">
        <v>2767.8665901094082</v>
      </c>
      <c r="AF351" s="1">
        <v>14.02666720997162</v>
      </c>
      <c r="AG351" s="1"/>
      <c r="AH351" s="1"/>
      <c r="AI351" s="1"/>
      <c r="AJ351" s="1"/>
      <c r="AK351" s="1"/>
      <c r="AL351" s="1"/>
      <c r="AM351" s="1"/>
      <c r="AN351" s="1"/>
      <c r="AO351" s="1"/>
      <c r="AP351" s="1"/>
      <c r="AQ351" s="1"/>
    </row>
    <row r="352" spans="1:43" x14ac:dyDescent="0.3">
      <c r="A352" s="9">
        <f t="shared" si="26"/>
        <v>2020</v>
      </c>
      <c r="B352" s="9">
        <f t="shared" si="27"/>
        <v>12</v>
      </c>
      <c r="C352" s="10">
        <v>44177</v>
      </c>
      <c r="D352" s="9">
        <v>0.19600000000000001</v>
      </c>
      <c r="E352" s="9">
        <v>0.13900000000000001</v>
      </c>
      <c r="F352" s="9">
        <v>13.5101117783334</v>
      </c>
      <c r="G352" s="9">
        <v>10566.732118266396</v>
      </c>
      <c r="H352" s="9">
        <v>53544.484646079109</v>
      </c>
      <c r="I352" s="9">
        <v>1599.8966954778582</v>
      </c>
      <c r="J352" s="20">
        <v>71.06</v>
      </c>
      <c r="K352" s="9">
        <v>71.77</v>
      </c>
      <c r="L352" s="31">
        <f>Table1[[#This Row],[TN550 I (O2)]]/(Table1[[#This Row],[Flowmeter A]]+Table1[[#This Row],[Flowmeter B]])</f>
        <v>2.144450944094909E-2</v>
      </c>
      <c r="M352" s="33">
        <f>Table1[[#This Row],[TN120 Venting2]]/100</f>
        <v>5.8299999999999998E-2</v>
      </c>
      <c r="N352" s="31">
        <f>Table1[[#This Row],[TN550 I Venting2]]/100</f>
        <v>0</v>
      </c>
      <c r="O352" s="31">
        <f>(Table1[[#This Row],[TN550 I (O2)]]-Table1[[#This Row],[O2]])/Table1[[#This Row],[TN550 I (O2)]]</f>
        <v>0.16359408096300107</v>
      </c>
      <c r="P352" s="9">
        <f>Table1[[#This Row],[M-N2]]+Table1[[#This Row],[TEN-N2]]</f>
        <v>66234.543680756222</v>
      </c>
      <c r="Q352" s="9">
        <v>1338.1630659454156</v>
      </c>
      <c r="R352" s="9">
        <f>SUM(Table1[[#This Row],[TEN-CDA]:[TEN-CDA WWT]])</f>
        <v>98171.034924580541</v>
      </c>
      <c r="S352" s="9">
        <v>438.2632042847103</v>
      </c>
      <c r="T352" s="9">
        <v>204.73908579374336</v>
      </c>
      <c r="U352" s="9">
        <v>32.400812923370509</v>
      </c>
      <c r="V352" s="42">
        <v>5.83</v>
      </c>
      <c r="W352" s="9">
        <v>0</v>
      </c>
      <c r="X352" s="9">
        <v>72806.016199687714</v>
      </c>
      <c r="Y352" s="9">
        <v>1800.339328445551</v>
      </c>
      <c r="Z352" s="1">
        <v>64051.194873351837</v>
      </c>
      <c r="AA352" s="1">
        <v>2183.3488074043903</v>
      </c>
      <c r="AB352" s="1">
        <v>34606.700892663517</v>
      </c>
      <c r="AC352" s="1">
        <v>53632.085452268388</v>
      </c>
      <c r="AD352" s="1">
        <v>7177.4204047346675</v>
      </c>
      <c r="AE352" s="1">
        <v>2739.4674828745769</v>
      </c>
      <c r="AF352" s="1">
        <v>15.36069203940098</v>
      </c>
      <c r="AG352" s="1"/>
      <c r="AH352" s="1"/>
      <c r="AI352" s="1"/>
      <c r="AJ352" s="1"/>
      <c r="AK352" s="1"/>
      <c r="AL352" s="1"/>
      <c r="AM352" s="1"/>
      <c r="AN352" s="1"/>
      <c r="AO352" s="1"/>
      <c r="AP352" s="1"/>
      <c r="AQ352" s="1"/>
    </row>
    <row r="353" spans="1:43" x14ac:dyDescent="0.3">
      <c r="A353" s="9">
        <f t="shared" si="26"/>
        <v>2020</v>
      </c>
      <c r="B353" s="9">
        <f t="shared" si="27"/>
        <v>12</v>
      </c>
      <c r="C353" s="10">
        <v>44178</v>
      </c>
      <c r="D353" s="9">
        <v>0.19400000000000001</v>
      </c>
      <c r="E353" s="9">
        <v>0.13900000000000001</v>
      </c>
      <c r="F353" s="9">
        <v>13.214615308932345</v>
      </c>
      <c r="G353" s="9">
        <v>10883.689934290423</v>
      </c>
      <c r="H353" s="9">
        <v>53496.051177025503</v>
      </c>
      <c r="I353" s="9">
        <v>1599.9974391495164</v>
      </c>
      <c r="J353" s="20">
        <v>71.17</v>
      </c>
      <c r="K353" s="9">
        <v>71.72</v>
      </c>
      <c r="L353" s="31">
        <f>Table1[[#This Row],[TN550 I (O2)]]/(Table1[[#This Row],[Flowmeter A]]+Table1[[#This Row],[Flowmeter B]])</f>
        <v>2.1450591915715574E-2</v>
      </c>
      <c r="M353" s="33">
        <f>Table1[[#This Row],[TN120 Venting2]]/100</f>
        <v>2.4799999999999999E-2</v>
      </c>
      <c r="N353" s="31">
        <f>Table1[[#This Row],[TN550 I Venting2]]/100</f>
        <v>0</v>
      </c>
      <c r="O353" s="31">
        <f>(Table1[[#This Row],[TN550 I (O2)]]-Table1[[#This Row],[O2]])/Table1[[#This Row],[TN550 I (O2)]]</f>
        <v>0.16243034057136405</v>
      </c>
      <c r="P353" s="9">
        <f>Table1[[#This Row],[M-N2]]+Table1[[#This Row],[TEN-N2]]</f>
        <v>66927.109574666712</v>
      </c>
      <c r="Q353" s="9">
        <v>1340.1093101951501</v>
      </c>
      <c r="R353" s="9">
        <f>SUM(Table1[[#This Row],[TEN-CDA]:[TEN-CDA WWT]])</f>
        <v>97813.107557427138</v>
      </c>
      <c r="S353" s="9">
        <v>437.65846683414838</v>
      </c>
      <c r="T353" s="9">
        <v>197.94837991898461</v>
      </c>
      <c r="U353" s="9">
        <v>32.564751313346527</v>
      </c>
      <c r="V353" s="42">
        <v>2.48</v>
      </c>
      <c r="W353" s="9">
        <v>0</v>
      </c>
      <c r="X353" s="9">
        <v>72789.807072996176</v>
      </c>
      <c r="Y353" s="9">
        <v>1800.0898135924488</v>
      </c>
      <c r="Z353" s="1">
        <v>64714.99284080066</v>
      </c>
      <c r="AA353" s="1">
        <v>2212.1167338660489</v>
      </c>
      <c r="AB353" s="1">
        <v>34109.294362096633</v>
      </c>
      <c r="AC353" s="1">
        <v>53774.758601340218</v>
      </c>
      <c r="AD353" s="1">
        <v>7200.8331352196828</v>
      </c>
      <c r="AE353" s="1">
        <v>2703.9030148402258</v>
      </c>
      <c r="AF353" s="1">
        <v>24.318443930394416</v>
      </c>
      <c r="AG353" s="1"/>
      <c r="AH353" s="1"/>
      <c r="AI353" s="1"/>
      <c r="AJ353" s="1"/>
      <c r="AK353" s="1"/>
      <c r="AL353" s="1"/>
      <c r="AM353" s="1"/>
      <c r="AN353" s="1"/>
      <c r="AO353" s="1"/>
      <c r="AP353" s="1"/>
      <c r="AQ353" s="1"/>
    </row>
    <row r="354" spans="1:43" x14ac:dyDescent="0.3">
      <c r="A354" s="9">
        <f t="shared" si="26"/>
        <v>2020</v>
      </c>
      <c r="B354" s="9">
        <f t="shared" si="27"/>
        <v>12</v>
      </c>
      <c r="C354" s="10">
        <v>44179</v>
      </c>
      <c r="D354" s="9">
        <v>0.19700000000000001</v>
      </c>
      <c r="E354" s="9">
        <v>0.13900000000000001</v>
      </c>
      <c r="F354" s="9">
        <v>13.3065452688192</v>
      </c>
      <c r="G354" s="9">
        <v>10750.887584847762</v>
      </c>
      <c r="H354" s="9">
        <v>53500.528476860687</v>
      </c>
      <c r="I354" s="9">
        <v>1600.0949579115795</v>
      </c>
      <c r="J354" s="20">
        <v>70.91</v>
      </c>
      <c r="K354" s="9">
        <v>71.709999999999994</v>
      </c>
      <c r="L354" s="31">
        <f>Table1[[#This Row],[TN550 I (O2)]]/(Table1[[#This Row],[Flowmeter A]]+Table1[[#This Row],[Flowmeter B]])</f>
        <v>2.1447186591395769E-2</v>
      </c>
      <c r="M354" s="33">
        <f>Table1[[#This Row],[TN120 Venting2]]/100</f>
        <v>0.03</v>
      </c>
      <c r="N354" s="31">
        <f>Table1[[#This Row],[TN550 I Venting2]]/100</f>
        <v>0</v>
      </c>
      <c r="O354" s="31">
        <f>(Table1[[#This Row],[TN550 I (O2)]]-Table1[[#This Row],[O2]])/Table1[[#This Row],[TN550 I (O2)]]</f>
        <v>0.16137513721389651</v>
      </c>
      <c r="P354" s="9">
        <f>Table1[[#This Row],[M-N2]]+Table1[[#This Row],[TEN-N2]]</f>
        <v>66821.297867996676</v>
      </c>
      <c r="Q354" s="9">
        <v>1341.8794145233344</v>
      </c>
      <c r="R354" s="9">
        <f>SUM(Table1[[#This Row],[TEN-CDA]:[TEN-CDA WWT]])</f>
        <v>97907.730497839511</v>
      </c>
      <c r="S354" s="9">
        <v>441.24120403345381</v>
      </c>
      <c r="T354" s="9">
        <v>206.80054062493224</v>
      </c>
      <c r="U354" s="9">
        <v>32.552891786192788</v>
      </c>
      <c r="V354" s="42">
        <v>3</v>
      </c>
      <c r="W354" s="9">
        <v>0</v>
      </c>
      <c r="X354" s="9">
        <v>72806.293074470857</v>
      </c>
      <c r="Y354" s="9">
        <v>1799.9939130032585</v>
      </c>
      <c r="Z354" s="1">
        <v>64667.295484364156</v>
      </c>
      <c r="AA354" s="1">
        <v>2154.0023836325145</v>
      </c>
      <c r="AB354" s="1">
        <v>34158.362172536436</v>
      </c>
      <c r="AC354" s="1">
        <v>53799.399193810721</v>
      </c>
      <c r="AD354" s="1">
        <v>7196.6273949839524</v>
      </c>
      <c r="AE354" s="1">
        <v>2729.719271319017</v>
      </c>
      <c r="AF354" s="1">
        <v>23.62246518938348</v>
      </c>
      <c r="AG354" s="1"/>
      <c r="AH354" s="1"/>
      <c r="AI354" s="1"/>
      <c r="AJ354" s="1"/>
      <c r="AK354" s="1"/>
      <c r="AL354" s="1"/>
      <c r="AM354" s="1"/>
      <c r="AN354" s="1"/>
      <c r="AO354" s="1"/>
      <c r="AP354" s="1"/>
      <c r="AQ354" s="1"/>
    </row>
    <row r="355" spans="1:43" x14ac:dyDescent="0.3">
      <c r="A355" s="9">
        <f t="shared" si="26"/>
        <v>2020</v>
      </c>
      <c r="B355" s="9">
        <f t="shared" si="27"/>
        <v>12</v>
      </c>
      <c r="C355" s="10">
        <v>44180</v>
      </c>
      <c r="D355" s="9">
        <v>0.19400000000000001</v>
      </c>
      <c r="E355" s="9">
        <v>0.13600000000000001</v>
      </c>
      <c r="F355" s="9">
        <v>13.591131537263379</v>
      </c>
      <c r="G355" s="9">
        <v>10485.903259319701</v>
      </c>
      <c r="H355" s="9">
        <v>53498.152785608952</v>
      </c>
      <c r="I355" s="9">
        <v>1645.8452264493244</v>
      </c>
      <c r="J355" s="20">
        <v>69.819999999999993</v>
      </c>
      <c r="K355" s="9">
        <v>71.73</v>
      </c>
      <c r="L355" s="31">
        <f>Table1[[#This Row],[TN550 I (O2)]]/(Table1[[#This Row],[Flowmeter A]]+Table1[[#This Row],[Flowmeter B]])</f>
        <v>2.2066042374024684E-2</v>
      </c>
      <c r="M355" s="33">
        <f>Table1[[#This Row],[TN120 Venting2]]/100</f>
        <v>3.2400000000000005E-2</v>
      </c>
      <c r="N355" s="31">
        <f>Table1[[#This Row],[TN550 I Venting2]]/100</f>
        <v>0</v>
      </c>
      <c r="O355" s="31">
        <f>(Table1[[#This Row],[TN550 I (O2)]]-Table1[[#This Row],[O2]])/Table1[[#This Row],[TN550 I (O2)]]</f>
        <v>0.1887267781363888</v>
      </c>
      <c r="P355" s="9">
        <f>Table1[[#This Row],[M-N2]]+Table1[[#This Row],[TEN-N2]]</f>
        <v>66987.285348292615</v>
      </c>
      <c r="Q355" s="9">
        <v>1335.2301595503882</v>
      </c>
      <c r="R355" s="9">
        <f>SUM(Table1[[#This Row],[TEN-CDA]:[TEN-CDA WWT]])</f>
        <v>97681.62202825796</v>
      </c>
      <c r="S355" s="9">
        <v>442.4021568113032</v>
      </c>
      <c r="T355" s="9">
        <v>201.68476746960863</v>
      </c>
      <c r="U355" s="9">
        <v>32.497241562228496</v>
      </c>
      <c r="V355" s="42">
        <v>3.24</v>
      </c>
      <c r="W355" s="9">
        <v>0</v>
      </c>
      <c r="X355" s="9">
        <v>72787.868488679742</v>
      </c>
      <c r="Y355" s="9">
        <v>1799.3727824034415</v>
      </c>
      <c r="Z355" s="1">
        <v>64852.996752472245</v>
      </c>
      <c r="AA355" s="1">
        <v>2134.2885958203669</v>
      </c>
      <c r="AB355" s="1">
        <v>33780.786067075816</v>
      </c>
      <c r="AC355" s="1">
        <v>53873.447833535742</v>
      </c>
      <c r="AD355" s="1">
        <v>7215.1381636016658</v>
      </c>
      <c r="AE355" s="1">
        <v>2787.2287548523159</v>
      </c>
      <c r="AF355" s="1">
        <v>25.021209192433183</v>
      </c>
      <c r="AG355" s="1"/>
      <c r="AH355" s="1"/>
      <c r="AI355" s="1"/>
      <c r="AJ355" s="1"/>
      <c r="AK355" s="1"/>
      <c r="AL355" s="1"/>
      <c r="AM355" s="1"/>
      <c r="AN355" s="1"/>
      <c r="AO355" s="1"/>
      <c r="AP355" s="1"/>
      <c r="AQ355" s="1"/>
    </row>
    <row r="356" spans="1:43" x14ac:dyDescent="0.3">
      <c r="A356" s="9">
        <f t="shared" si="26"/>
        <v>2020</v>
      </c>
      <c r="B356" s="9">
        <f t="shared" si="27"/>
        <v>12</v>
      </c>
      <c r="C356" s="10">
        <v>44181</v>
      </c>
      <c r="D356" s="9">
        <v>0.19400000000000001</v>
      </c>
      <c r="E356" s="9">
        <v>0.14000000000000001</v>
      </c>
      <c r="F356" s="9">
        <v>13.844873015372642</v>
      </c>
      <c r="G356" s="9">
        <v>10465.288777866932</v>
      </c>
      <c r="H356" s="9">
        <v>53501.11562608432</v>
      </c>
      <c r="I356" s="9">
        <v>1750.0046906851796</v>
      </c>
      <c r="J356" s="20">
        <v>70.08</v>
      </c>
      <c r="K356" s="9">
        <v>71.72</v>
      </c>
      <c r="L356" s="31">
        <f>Table1[[#This Row],[TN550 I (O2)]]/(Table1[[#This Row],[Flowmeter A]]+Table1[[#This Row],[Flowmeter B]])</f>
        <v>2.3459641353941213E-2</v>
      </c>
      <c r="M356" s="33">
        <f>Table1[[#This Row],[TN120 Venting2]]/100</f>
        <v>3.95E-2</v>
      </c>
      <c r="N356" s="31">
        <f>Table1[[#This Row],[TN550 I Venting2]]/100</f>
        <v>0</v>
      </c>
      <c r="O356" s="31">
        <f>(Table1[[#This Row],[TN550 I (O2)]]-Table1[[#This Row],[O2]])/Table1[[#This Row],[TN550 I (O2)]]</f>
        <v>0.23528312213541813</v>
      </c>
      <c r="P356" s="9">
        <f>Table1[[#This Row],[M-N2]]+Table1[[#This Row],[TEN-N2]]</f>
        <v>66588.571215701711</v>
      </c>
      <c r="Q356" s="9">
        <v>1338.2581233091439</v>
      </c>
      <c r="R356" s="9">
        <f>SUM(Table1[[#This Row],[TEN-CDA]:[TEN-CDA WWT]])</f>
        <v>98343.191441043818</v>
      </c>
      <c r="S356" s="9">
        <v>441.17132792846758</v>
      </c>
      <c r="T356" s="9">
        <v>208.52670208668229</v>
      </c>
      <c r="U356" s="9">
        <v>32.633189094802887</v>
      </c>
      <c r="V356" s="42">
        <v>3.95</v>
      </c>
      <c r="W356" s="9">
        <v>0</v>
      </c>
      <c r="X356" s="9">
        <v>72795.876198169673</v>
      </c>
      <c r="Y356" s="9">
        <v>1800.5195558165444</v>
      </c>
      <c r="Z356" s="1">
        <v>64468.708836636877</v>
      </c>
      <c r="AA356" s="1">
        <v>2119.8623790648312</v>
      </c>
      <c r="AB356" s="1">
        <v>34506.216245229007</v>
      </c>
      <c r="AC356" s="1">
        <v>53927.384498612075</v>
      </c>
      <c r="AD356" s="1">
        <v>7178.4280129087874</v>
      </c>
      <c r="AE356" s="1">
        <v>2715.7002507142938</v>
      </c>
      <c r="AF356" s="1">
        <v>15.462433579655096</v>
      </c>
      <c r="AG356" s="1"/>
      <c r="AH356" s="1"/>
      <c r="AI356" s="1"/>
      <c r="AJ356" s="1"/>
      <c r="AK356" s="1"/>
      <c r="AL356" s="1"/>
      <c r="AM356" s="1"/>
      <c r="AN356" s="1"/>
      <c r="AO356" s="1"/>
      <c r="AP356" s="1"/>
      <c r="AQ356" s="1"/>
    </row>
    <row r="357" spans="1:43" x14ac:dyDescent="0.3">
      <c r="A357" s="9">
        <f t="shared" si="26"/>
        <v>2020</v>
      </c>
      <c r="B357" s="9">
        <f t="shared" si="27"/>
        <v>12</v>
      </c>
      <c r="C357" s="10">
        <v>44182</v>
      </c>
      <c r="D357" s="9">
        <v>0.19400000000000001</v>
      </c>
      <c r="E357" s="9">
        <v>0.14000000000000001</v>
      </c>
      <c r="F357" s="9">
        <v>14.472224334806803</v>
      </c>
      <c r="G357" s="9">
        <v>10564.855653083796</v>
      </c>
      <c r="H357" s="9">
        <v>53502.126862313497</v>
      </c>
      <c r="I357" s="9">
        <v>1750.0363743270459</v>
      </c>
      <c r="J357" s="20">
        <v>70.33</v>
      </c>
      <c r="K357" s="9">
        <v>71.73</v>
      </c>
      <c r="L357" s="31">
        <f>Table1[[#This Row],[TN550 I (O2)]]/(Table1[[#This Row],[Flowmeter A]]+Table1[[#This Row],[Flowmeter B]])</f>
        <v>2.3462519841375845E-2</v>
      </c>
      <c r="M357" s="33">
        <f>Table1[[#This Row],[TN120 Venting2]]/100</f>
        <v>3.2000000000000001E-2</v>
      </c>
      <c r="N357" s="31">
        <f>Table1[[#This Row],[TN550 I Venting2]]/100</f>
        <v>0</v>
      </c>
      <c r="O357" s="31">
        <f>(Table1[[#This Row],[TN550 I (O2)]]-Table1[[#This Row],[O2]])/Table1[[#This Row],[TN550 I (O2)]]</f>
        <v>0.23682176066827673</v>
      </c>
      <c r="P357" s="9">
        <f>Table1[[#This Row],[M-N2]]+Table1[[#This Row],[TEN-N2]]</f>
        <v>66402.045901974809</v>
      </c>
      <c r="Q357" s="9">
        <v>1335.5896789253875</v>
      </c>
      <c r="R357" s="9">
        <f>SUM(Table1[[#This Row],[TEN-CDA]:[TEN-CDA WWT]])</f>
        <v>98754.304116000625</v>
      </c>
      <c r="S357" s="9">
        <v>445.30728912883706</v>
      </c>
      <c r="T357" s="9">
        <v>206.47326632056328</v>
      </c>
      <c r="U357" s="9">
        <v>33.064873564814924</v>
      </c>
      <c r="V357" s="42">
        <v>3.2</v>
      </c>
      <c r="W357" s="9">
        <v>0</v>
      </c>
      <c r="X357" s="9">
        <v>72788.780930126653</v>
      </c>
      <c r="Y357" s="9">
        <v>1799.8133964247377</v>
      </c>
      <c r="Z357" s="1">
        <v>64247.502060350067</v>
      </c>
      <c r="AA357" s="1">
        <v>2154.5438416247398</v>
      </c>
      <c r="AB357" s="1">
        <v>34979.467995044673</v>
      </c>
      <c r="AC357" s="1">
        <v>53844.794892014856</v>
      </c>
      <c r="AD357" s="1">
        <v>7319.7073729450804</v>
      </c>
      <c r="AE357" s="1">
        <v>2596.853321873371</v>
      </c>
      <c r="AF357" s="1">
        <v>13.4805341226454</v>
      </c>
      <c r="AG357" s="1"/>
      <c r="AH357" s="1"/>
      <c r="AI357" s="1"/>
      <c r="AJ357" s="1"/>
      <c r="AK357" s="1"/>
      <c r="AL357" s="1"/>
      <c r="AM357" s="1"/>
      <c r="AN357" s="1"/>
      <c r="AO357" s="1"/>
      <c r="AP357" s="1"/>
      <c r="AQ357" s="1"/>
    </row>
    <row r="358" spans="1:43" x14ac:dyDescent="0.3">
      <c r="A358" s="9">
        <f t="shared" si="26"/>
        <v>2020</v>
      </c>
      <c r="B358" s="9">
        <f t="shared" si="27"/>
        <v>12</v>
      </c>
      <c r="C358" s="10">
        <v>44183</v>
      </c>
      <c r="D358" s="9">
        <v>0.19900000000000001</v>
      </c>
      <c r="E358" s="9">
        <v>0.14000000000000001</v>
      </c>
      <c r="F358" s="9">
        <v>15.511891611907981</v>
      </c>
      <c r="G358" s="9">
        <v>10666.742564299966</v>
      </c>
      <c r="H358" s="9">
        <v>53627.651918155789</v>
      </c>
      <c r="I358" s="9">
        <v>1750.0848056599964</v>
      </c>
      <c r="J358" s="20">
        <v>70.63</v>
      </c>
      <c r="K358" s="9">
        <v>71.69</v>
      </c>
      <c r="L358" s="31">
        <f>Table1[[#This Row],[TN550 I (O2)]]/(Table1[[#This Row],[Flowmeter A]]+Table1[[#This Row],[Flowmeter B]])</f>
        <v>2.3394202282416395E-2</v>
      </c>
      <c r="M358" s="33">
        <f>Table1[[#This Row],[TN120 Venting2]]/100</f>
        <v>2.7999999999999997E-2</v>
      </c>
      <c r="N358" s="31">
        <f>Table1[[#This Row],[TN550 I Venting2]]/100</f>
        <v>0</v>
      </c>
      <c r="O358" s="31">
        <f>(Table1[[#This Row],[TN550 I (O2)]]-Table1[[#This Row],[O2]])/Table1[[#This Row],[TN550 I (O2)]]</f>
        <v>0.23667348997603499</v>
      </c>
      <c r="P358" s="9">
        <f>Table1[[#This Row],[M-N2]]+Table1[[#This Row],[TEN-N2]]</f>
        <v>66326.977418178154</v>
      </c>
      <c r="Q358" s="9">
        <v>1335.8861269504141</v>
      </c>
      <c r="R358" s="9">
        <f>SUM(Table1[[#This Row],[TEN-CDA]:[TEN-CDA WWT]])</f>
        <v>99106.262336185013</v>
      </c>
      <c r="S358" s="9">
        <v>448.07794740082574</v>
      </c>
      <c r="T358" s="9">
        <v>204.33132455946256</v>
      </c>
      <c r="U358" s="9">
        <v>33.018657325622854</v>
      </c>
      <c r="V358" s="42">
        <v>2.8</v>
      </c>
      <c r="W358" s="9">
        <v>0</v>
      </c>
      <c r="X358" s="9">
        <v>73008.880589651279</v>
      </c>
      <c r="Y358" s="9">
        <v>1799.6033472171018</v>
      </c>
      <c r="Z358" s="1">
        <v>64152.167638033483</v>
      </c>
      <c r="AA358" s="1">
        <v>2174.8097801446747</v>
      </c>
      <c r="AB358" s="1">
        <v>35351.624861749653</v>
      </c>
      <c r="AC358" s="1">
        <v>53881.529615392959</v>
      </c>
      <c r="AD358" s="1">
        <v>7291.2865462081454</v>
      </c>
      <c r="AE358" s="1">
        <v>2564.3350192195089</v>
      </c>
      <c r="AF358" s="1">
        <v>17.486293614753453</v>
      </c>
      <c r="AG358" s="1"/>
      <c r="AH358" s="1"/>
      <c r="AI358" s="1"/>
      <c r="AJ358" s="1"/>
      <c r="AK358" s="1"/>
      <c r="AL358" s="1"/>
      <c r="AM358" s="1"/>
      <c r="AN358" s="1"/>
      <c r="AO358" s="1"/>
      <c r="AP358" s="1"/>
      <c r="AQ358" s="1"/>
    </row>
    <row r="359" spans="1:43" x14ac:dyDescent="0.3">
      <c r="A359" s="9">
        <f t="shared" si="26"/>
        <v>2020</v>
      </c>
      <c r="B359" s="9">
        <f t="shared" si="27"/>
        <v>12</v>
      </c>
      <c r="C359" s="10">
        <v>44184</v>
      </c>
      <c r="D359" s="9">
        <v>0.19600000000000001</v>
      </c>
      <c r="E359" s="9">
        <v>0.13700000000000001</v>
      </c>
      <c r="F359" s="9">
        <v>14.408959268944534</v>
      </c>
      <c r="G359" s="9">
        <v>10869.70862722827</v>
      </c>
      <c r="H359" s="9">
        <v>53997.344793654578</v>
      </c>
      <c r="I359" s="9">
        <v>1749.9039233788114</v>
      </c>
      <c r="J359" s="20">
        <v>71.02</v>
      </c>
      <c r="K359" s="9">
        <v>71.61</v>
      </c>
      <c r="L359" s="31">
        <f>Table1[[#This Row],[TN550 I (O2)]]/(Table1[[#This Row],[Flowmeter A]]+Table1[[#This Row],[Flowmeter B]])</f>
        <v>2.3208073835345868E-2</v>
      </c>
      <c r="M359" s="33">
        <f>Table1[[#This Row],[TN120 Venting2]]/100</f>
        <v>6.0400000000000002E-2</v>
      </c>
      <c r="N359" s="31">
        <f>Table1[[#This Row],[TN550 I Venting2]]/100</f>
        <v>0</v>
      </c>
      <c r="O359" s="31">
        <f>(Table1[[#This Row],[TN550 I (O2)]]-Table1[[#This Row],[O2]])/Table1[[#This Row],[TN550 I (O2)]]</f>
        <v>0.23589494580549952</v>
      </c>
      <c r="P359" s="9">
        <f>Table1[[#This Row],[M-N2]]+Table1[[#This Row],[TEN-N2]]</f>
        <v>66436.104413659268</v>
      </c>
      <c r="Q359" s="9">
        <v>1337.1104322085357</v>
      </c>
      <c r="R359" s="9">
        <f>SUM(Table1[[#This Row],[TEN-CDA]:[TEN-CDA WWT]])</f>
        <v>98322.434173801346</v>
      </c>
      <c r="S359" s="9">
        <v>442.72049695662872</v>
      </c>
      <c r="T359" s="9">
        <v>216.58692231135265</v>
      </c>
      <c r="U359" s="9">
        <v>32.474230706071289</v>
      </c>
      <c r="V359" s="42">
        <v>6.04</v>
      </c>
      <c r="W359" s="9">
        <v>0</v>
      </c>
      <c r="X359" s="9">
        <v>73600.686383154054</v>
      </c>
      <c r="Y359" s="9">
        <v>1799.9666737881407</v>
      </c>
      <c r="Z359" s="1">
        <v>64275.797324991327</v>
      </c>
      <c r="AA359" s="1">
        <v>2160.3070886679443</v>
      </c>
      <c r="AB359" s="1">
        <v>34613.027244806122</v>
      </c>
      <c r="AC359" s="1">
        <v>53949.54345940319</v>
      </c>
      <c r="AD359" s="1">
        <v>7128.7390538254685</v>
      </c>
      <c r="AE359" s="1">
        <v>2608.2768993496811</v>
      </c>
      <c r="AF359" s="1">
        <v>22.847516416882907</v>
      </c>
      <c r="AG359" s="1"/>
      <c r="AH359" s="1"/>
      <c r="AI359" s="1"/>
      <c r="AJ359" s="1"/>
      <c r="AK359" s="1"/>
      <c r="AL359" s="1"/>
      <c r="AM359" s="1"/>
      <c r="AN359" s="1"/>
      <c r="AO359" s="1"/>
      <c r="AP359" s="1"/>
      <c r="AQ359" s="1"/>
    </row>
    <row r="360" spans="1:43" x14ac:dyDescent="0.3">
      <c r="A360" s="9">
        <f t="shared" si="26"/>
        <v>2020</v>
      </c>
      <c r="B360" s="9">
        <f t="shared" si="27"/>
        <v>12</v>
      </c>
      <c r="C360" s="10">
        <v>44185</v>
      </c>
      <c r="D360" s="9">
        <v>0.19800000000000001</v>
      </c>
      <c r="E360" s="9">
        <v>0.14099999999999999</v>
      </c>
      <c r="F360" s="9">
        <v>14.078734153678727</v>
      </c>
      <c r="G360" s="9">
        <v>10936.893588572389</v>
      </c>
      <c r="H360" s="9">
        <v>53997.727893498435</v>
      </c>
      <c r="I360" s="9">
        <v>1749.9879073302502</v>
      </c>
      <c r="J360" s="20">
        <v>71.040000000000006</v>
      </c>
      <c r="K360" s="9">
        <v>71.61</v>
      </c>
      <c r="L360" s="31">
        <f>Table1[[#This Row],[TN550 I (O2)]]/(Table1[[#This Row],[Flowmeter A]]+Table1[[#This Row],[Flowmeter B]])</f>
        <v>2.3209114305524376E-2</v>
      </c>
      <c r="M360" s="33">
        <f>Table1[[#This Row],[TN120 Venting2]]/100</f>
        <v>4.4999999999999998E-2</v>
      </c>
      <c r="N360" s="31">
        <f>Table1[[#This Row],[TN550 I Venting2]]/100</f>
        <v>0</v>
      </c>
      <c r="O360" s="31">
        <f>(Table1[[#This Row],[TN550 I (O2)]]-Table1[[#This Row],[O2]])/Table1[[#This Row],[TN550 I (O2)]]</f>
        <v>0.23320993434842111</v>
      </c>
      <c r="P360" s="9">
        <f>Table1[[#This Row],[M-N2]]+Table1[[#This Row],[TEN-N2]]</f>
        <v>66649.248322105006</v>
      </c>
      <c r="Q360" s="9">
        <v>1341.8733423512317</v>
      </c>
      <c r="R360" s="9">
        <f>SUM(Table1[[#This Row],[TEN-CDA]:[TEN-CDA WWT]])</f>
        <v>98418.691286616828</v>
      </c>
      <c r="S360" s="9">
        <v>445.82027768327657</v>
      </c>
      <c r="T360" s="9">
        <v>206.80613760382329</v>
      </c>
      <c r="U360" s="9">
        <v>33.118181665435095</v>
      </c>
      <c r="V360" s="42">
        <v>4.5</v>
      </c>
      <c r="W360" s="9">
        <v>0</v>
      </c>
      <c r="X360" s="9">
        <v>73600.215822345606</v>
      </c>
      <c r="Y360" s="9">
        <v>1800.6755814985795</v>
      </c>
      <c r="Z360" s="1">
        <v>64463.825606675055</v>
      </c>
      <c r="AA360" s="1">
        <v>2185.4227154299588</v>
      </c>
      <c r="AB360" s="1">
        <v>34569.942016178</v>
      </c>
      <c r="AC360" s="1">
        <v>54059.503442704721</v>
      </c>
      <c r="AD360" s="1">
        <v>7140.6613361218342</v>
      </c>
      <c r="AE360" s="1">
        <v>2627.6330630787538</v>
      </c>
      <c r="AF360" s="1">
        <v>20.951428533510398</v>
      </c>
      <c r="AG360" s="1"/>
      <c r="AH360" s="1"/>
      <c r="AI360" s="1"/>
      <c r="AJ360" s="1"/>
      <c r="AK360" s="1"/>
      <c r="AL360" s="1"/>
      <c r="AM360" s="1"/>
      <c r="AN360" s="1"/>
      <c r="AO360" s="1"/>
      <c r="AP360" s="1"/>
      <c r="AQ360" s="1"/>
    </row>
    <row r="361" spans="1:43" x14ac:dyDescent="0.3">
      <c r="A361" s="9">
        <f t="shared" si="26"/>
        <v>2020</v>
      </c>
      <c r="B361" s="9">
        <f t="shared" si="27"/>
        <v>12</v>
      </c>
      <c r="C361" s="10">
        <v>44186</v>
      </c>
      <c r="D361" s="9">
        <v>0.19500000000000001</v>
      </c>
      <c r="E361" s="9">
        <v>0.13700000000000001</v>
      </c>
      <c r="F361" s="9">
        <v>13.704783021369632</v>
      </c>
      <c r="G361" s="9">
        <v>10757.33610285826</v>
      </c>
      <c r="H361" s="9">
        <v>53935.687318376993</v>
      </c>
      <c r="I361" s="9">
        <v>1750.1060275118191</v>
      </c>
      <c r="J361" s="20">
        <v>71.03</v>
      </c>
      <c r="K361" s="9">
        <v>71.63</v>
      </c>
      <c r="L361" s="31">
        <f>Table1[[#This Row],[TN550 I (O2)]]/(Table1[[#This Row],[Flowmeter A]]+Table1[[#This Row],[Flowmeter B]])</f>
        <v>2.3242720646959838E-2</v>
      </c>
      <c r="M361" s="33">
        <f>Table1[[#This Row],[TN120 Venting2]]/100</f>
        <v>7.1500000000000008E-2</v>
      </c>
      <c r="N361" s="31">
        <f>Table1[[#This Row],[TN550 I Venting2]]/100</f>
        <v>0</v>
      </c>
      <c r="O361" s="31">
        <f>(Table1[[#This Row],[TN550 I (O2)]]-Table1[[#This Row],[O2]])/Table1[[#This Row],[TN550 I (O2)]]</f>
        <v>0.23536043734787648</v>
      </c>
      <c r="P361" s="9">
        <f>Table1[[#This Row],[M-N2]]+Table1[[#This Row],[TEN-N2]]</f>
        <v>66544.282185646502</v>
      </c>
      <c r="Q361" s="9">
        <v>1338.2003074714826</v>
      </c>
      <c r="R361" s="9">
        <f>SUM(Table1[[#This Row],[TEN-CDA]:[TEN-CDA WWT]])</f>
        <v>98714.446220200596</v>
      </c>
      <c r="S361" s="9">
        <v>447.55769143776297</v>
      </c>
      <c r="T361" s="9">
        <v>210.01539316382531</v>
      </c>
      <c r="U361" s="9">
        <v>32.432749194291461</v>
      </c>
      <c r="V361" s="42">
        <v>7.15</v>
      </c>
      <c r="W361" s="9">
        <v>0</v>
      </c>
      <c r="X361" s="9">
        <v>73496.625401197089</v>
      </c>
      <c r="Y361" s="9">
        <v>1800.3268831188193</v>
      </c>
      <c r="Z361" s="1">
        <v>64332.380876995143</v>
      </c>
      <c r="AA361" s="1">
        <v>2211.9013086513546</v>
      </c>
      <c r="AB361" s="1">
        <v>35084.057512144347</v>
      </c>
      <c r="AC361" s="1">
        <v>53834.511252493925</v>
      </c>
      <c r="AD361" s="1">
        <v>7166.1280242263401</v>
      </c>
      <c r="AE361" s="1">
        <v>2608.7023869871182</v>
      </c>
      <c r="AF361" s="1">
        <v>21.047044348865192</v>
      </c>
      <c r="AG361" s="1"/>
      <c r="AH361" s="1"/>
      <c r="AI361" s="1"/>
      <c r="AJ361" s="1"/>
      <c r="AK361" s="1"/>
      <c r="AL361" s="1"/>
      <c r="AM361" s="1"/>
      <c r="AN361" s="1"/>
      <c r="AO361" s="1"/>
      <c r="AP361" s="1"/>
      <c r="AQ361" s="1"/>
    </row>
    <row r="362" spans="1:43" x14ac:dyDescent="0.3">
      <c r="A362" s="9">
        <f t="shared" si="26"/>
        <v>2020</v>
      </c>
      <c r="B362" s="9">
        <f t="shared" si="27"/>
        <v>12</v>
      </c>
      <c r="C362" s="10">
        <v>44187</v>
      </c>
      <c r="D362" s="9">
        <v>0.19900000000000001</v>
      </c>
      <c r="E362" s="9">
        <v>0.13700000000000001</v>
      </c>
      <c r="F362" s="9">
        <v>13.786178782778761</v>
      </c>
      <c r="G362" s="9">
        <v>10821.287458389355</v>
      </c>
      <c r="H362" s="9">
        <v>53663.660836658571</v>
      </c>
      <c r="I362" s="9">
        <v>1750.1131626528886</v>
      </c>
      <c r="J362" s="20">
        <v>70.88</v>
      </c>
      <c r="K362" s="9">
        <v>71.67</v>
      </c>
      <c r="L362" s="31">
        <f>Table1[[#This Row],[TN550 I (O2)]]/(Table1[[#This Row],[Flowmeter A]]+Table1[[#This Row],[Flowmeter B]])</f>
        <v>2.3374218868717579E-2</v>
      </c>
      <c r="M362" s="33">
        <f>Table1[[#This Row],[TN120 Venting2]]/100</f>
        <v>2.1899999999999999E-2</v>
      </c>
      <c r="N362" s="31">
        <f>Table1[[#This Row],[TN550 I Venting2]]/100</f>
        <v>0</v>
      </c>
      <c r="O362" s="31">
        <f>(Table1[[#This Row],[TN550 I (O2)]]-Table1[[#This Row],[O2]])/Table1[[#This Row],[TN550 I (O2)]]</f>
        <v>0.23585029960287765</v>
      </c>
      <c r="P362" s="9">
        <f>Table1[[#This Row],[M-N2]]+Table1[[#This Row],[TEN-N2]]</f>
        <v>66366.054746205569</v>
      </c>
      <c r="Q362" s="9">
        <v>1337.3484489022651</v>
      </c>
      <c r="R362" s="9">
        <f>SUM(Table1[[#This Row],[TEN-CDA]:[TEN-CDA WWT]])</f>
        <v>98815.9156253697</v>
      </c>
      <c r="S362" s="9">
        <v>437.65532767450043</v>
      </c>
      <c r="T362" s="9">
        <v>207.78753338085124</v>
      </c>
      <c r="U362" s="9">
        <v>33.254431316208958</v>
      </c>
      <c r="V362" s="42">
        <v>2.19</v>
      </c>
      <c r="W362" s="9">
        <v>0</v>
      </c>
      <c r="X362" s="9">
        <v>73073.916431731443</v>
      </c>
      <c r="Y362" s="9">
        <v>1799.736993115946</v>
      </c>
      <c r="Z362" s="1">
        <v>64132.690660782442</v>
      </c>
      <c r="AA362" s="1">
        <v>2233.3640854231276</v>
      </c>
      <c r="AB362" s="1">
        <v>35157.385563952987</v>
      </c>
      <c r="AC362" s="1">
        <v>53757.618426331537</v>
      </c>
      <c r="AD362" s="1">
        <v>7290.5976504895698</v>
      </c>
      <c r="AE362" s="1">
        <v>2594.6536466239809</v>
      </c>
      <c r="AF362" s="1">
        <v>15.660337971646202</v>
      </c>
      <c r="AG362" s="1"/>
      <c r="AH362" s="1"/>
      <c r="AI362" s="1"/>
      <c r="AJ362" s="1"/>
      <c r="AK362" s="1"/>
      <c r="AL362" s="1"/>
      <c r="AM362" s="1"/>
      <c r="AN362" s="1"/>
      <c r="AO362" s="1"/>
      <c r="AP362" s="1"/>
      <c r="AQ362" s="1"/>
    </row>
    <row r="363" spans="1:43" x14ac:dyDescent="0.3">
      <c r="A363" s="9">
        <f t="shared" si="26"/>
        <v>2020</v>
      </c>
      <c r="B363" s="9">
        <f t="shared" si="27"/>
        <v>12</v>
      </c>
      <c r="C363" s="10">
        <v>44188</v>
      </c>
      <c r="D363" s="9">
        <v>0.19700000000000001</v>
      </c>
      <c r="E363" s="9">
        <v>0.13900000000000001</v>
      </c>
      <c r="F363" s="9">
        <v>14.804661309363359</v>
      </c>
      <c r="G363" s="9">
        <v>10819.486864183944</v>
      </c>
      <c r="H363" s="9">
        <v>53699.466879554129</v>
      </c>
      <c r="I363" s="9">
        <v>1750.0672687898486</v>
      </c>
      <c r="J363" s="20">
        <v>70.98</v>
      </c>
      <c r="K363" s="9">
        <v>71.69</v>
      </c>
      <c r="L363" s="31">
        <f>Table1[[#This Row],[TN550 I (O2)]]/(Table1[[#This Row],[Flowmeter A]]+Table1[[#This Row],[Flowmeter B]])</f>
        <v>2.3363251925274366E-2</v>
      </c>
      <c r="M363" s="33">
        <f>Table1[[#This Row],[TN120 Venting2]]/100</f>
        <v>2.1099999999999997E-2</v>
      </c>
      <c r="N363" s="31">
        <f>Table1[[#This Row],[TN550 I Venting2]]/100</f>
        <v>2.5999999999999999E-3</v>
      </c>
      <c r="O363" s="31">
        <f>(Table1[[#This Row],[TN550 I (O2)]]-Table1[[#This Row],[O2]])/Table1[[#This Row],[TN550 I (O2)]]</f>
        <v>0.23568486293029622</v>
      </c>
      <c r="P363" s="9">
        <f>Table1[[#This Row],[M-N2]]+Table1[[#This Row],[TEN-N2]]</f>
        <v>66154.600761630645</v>
      </c>
      <c r="Q363" s="9">
        <v>1337.6029044263153</v>
      </c>
      <c r="R363" s="9">
        <f>SUM(Table1[[#This Row],[TEN-CDA]:[TEN-CDA WWT]])</f>
        <v>98004.391015592904</v>
      </c>
      <c r="S363" s="9">
        <v>440.72521383906303</v>
      </c>
      <c r="T363" s="9">
        <v>202.37692267095605</v>
      </c>
      <c r="U363" s="9">
        <v>32.436433316931634</v>
      </c>
      <c r="V363" s="42">
        <v>2.11</v>
      </c>
      <c r="W363" s="9">
        <v>0.26</v>
      </c>
      <c r="X363" s="9">
        <v>73107.080374956626</v>
      </c>
      <c r="Y363" s="9">
        <v>1799.7551283932328</v>
      </c>
      <c r="Z363" s="1">
        <v>63949.732987074945</v>
      </c>
      <c r="AA363" s="1">
        <v>2204.8677745557015</v>
      </c>
      <c r="AB363" s="1">
        <v>34061.932388803347</v>
      </c>
      <c r="AC363" s="1">
        <v>53824.725253187891</v>
      </c>
      <c r="AD363" s="1">
        <v>7528.8229111321343</v>
      </c>
      <c r="AE363" s="1">
        <v>2571.7483079580693</v>
      </c>
      <c r="AF363" s="1">
        <v>17.162154511458095</v>
      </c>
      <c r="AG363" s="1"/>
      <c r="AH363" s="1"/>
      <c r="AI363" s="1"/>
      <c r="AJ363" s="1"/>
      <c r="AK363" s="1"/>
      <c r="AL363" s="1"/>
      <c r="AM363" s="1"/>
      <c r="AN363" s="1"/>
      <c r="AO363" s="1"/>
      <c r="AP363" s="1"/>
      <c r="AQ363" s="1"/>
    </row>
    <row r="364" spans="1:43" x14ac:dyDescent="0.3">
      <c r="A364" s="9">
        <f t="shared" si="26"/>
        <v>2020</v>
      </c>
      <c r="B364" s="9">
        <f t="shared" si="27"/>
        <v>12</v>
      </c>
      <c r="C364" s="10">
        <v>44189</v>
      </c>
      <c r="D364" s="9">
        <v>0.19700000000000001</v>
      </c>
      <c r="E364" s="9">
        <v>0.14099999999999999</v>
      </c>
      <c r="F364" s="9">
        <v>14.57502970341425</v>
      </c>
      <c r="G364" s="9">
        <v>10869.655146708015</v>
      </c>
      <c r="H364" s="9">
        <v>53699.742992604959</v>
      </c>
      <c r="I364" s="9">
        <v>1749.9246543233053</v>
      </c>
      <c r="J364" s="20">
        <v>71.09</v>
      </c>
      <c r="K364" s="9">
        <v>71.69</v>
      </c>
      <c r="L364" s="31">
        <f>Table1[[#This Row],[TN550 I (O2)]]/(Table1[[#This Row],[Flowmeter A]]+Table1[[#This Row],[Flowmeter B]])</f>
        <v>2.3363377865242896E-2</v>
      </c>
      <c r="M364" s="33">
        <f>Table1[[#This Row],[TN120 Venting2]]/100</f>
        <v>2.8000000000000004E-3</v>
      </c>
      <c r="N364" s="31">
        <f>Table1[[#This Row],[TN550 I Venting2]]/100</f>
        <v>1.1699999999999999E-2</v>
      </c>
      <c r="O364" s="31">
        <f>(Table1[[#This Row],[TN550 I (O2)]]-Table1[[#This Row],[O2]])/Table1[[#This Row],[TN550 I (O2)]]</f>
        <v>0.23417671773307722</v>
      </c>
      <c r="P364" s="9">
        <f>Table1[[#This Row],[M-N2]]+Table1[[#This Row],[TEN-N2]]</f>
        <v>66242.668828833193</v>
      </c>
      <c r="Q364" s="9">
        <v>1340.1330424936839</v>
      </c>
      <c r="R364" s="9">
        <f>SUM(Table1[[#This Row],[TEN-CDA]:[TEN-CDA WWT]])</f>
        <v>98220.280942234676</v>
      </c>
      <c r="S364" s="9">
        <v>437.30500163409874</v>
      </c>
      <c r="T364" s="9">
        <v>211.131640167554</v>
      </c>
      <c r="U364" s="9">
        <v>33.177536178843006</v>
      </c>
      <c r="V364" s="42">
        <v>0.28000000000000003</v>
      </c>
      <c r="W364" s="9">
        <v>1.17</v>
      </c>
      <c r="X364" s="9">
        <v>73100.65962222415</v>
      </c>
      <c r="Y364" s="9">
        <v>1799.6679081807613</v>
      </c>
      <c r="Z364" s="1">
        <v>63998.26179465215</v>
      </c>
      <c r="AA364" s="1">
        <v>2244.4070341810429</v>
      </c>
      <c r="AB364" s="1">
        <v>34565.552010593769</v>
      </c>
      <c r="AC364" s="1">
        <v>53791.294324145558</v>
      </c>
      <c r="AD364" s="1">
        <v>7293.601003060483</v>
      </c>
      <c r="AE364" s="1">
        <v>2553.8283964179604</v>
      </c>
      <c r="AF364" s="1">
        <v>16.005208016905126</v>
      </c>
      <c r="AG364" s="1"/>
      <c r="AH364" s="1"/>
      <c r="AI364" s="1"/>
      <c r="AJ364" s="1"/>
      <c r="AK364" s="1"/>
      <c r="AL364" s="1"/>
      <c r="AM364" s="1"/>
      <c r="AN364" s="1"/>
      <c r="AO364" s="1"/>
      <c r="AP364" s="1"/>
      <c r="AQ364" s="1"/>
    </row>
    <row r="365" spans="1:43" x14ac:dyDescent="0.3">
      <c r="A365" s="9">
        <f t="shared" si="26"/>
        <v>2020</v>
      </c>
      <c r="B365" s="9">
        <f t="shared" si="27"/>
        <v>12</v>
      </c>
      <c r="C365" s="10">
        <v>44190</v>
      </c>
      <c r="D365" s="9">
        <v>0.19900000000000001</v>
      </c>
      <c r="E365" s="9">
        <v>0.13900000000000001</v>
      </c>
      <c r="F365" s="9">
        <v>13.066282331902148</v>
      </c>
      <c r="G365" s="9">
        <v>11210.825020466473</v>
      </c>
      <c r="H365" s="9">
        <v>53920.704659307776</v>
      </c>
      <c r="I365" s="9">
        <v>1749.9820502424802</v>
      </c>
      <c r="J365" s="20">
        <v>70.760000000000005</v>
      </c>
      <c r="K365" s="9">
        <v>71.709999999999994</v>
      </c>
      <c r="L365" s="31">
        <f>Table1[[#This Row],[TN550 I (O2)]]/(Table1[[#This Row],[Flowmeter A]]+Table1[[#This Row],[Flowmeter B]])</f>
        <v>2.3273960501440032E-2</v>
      </c>
      <c r="M365" s="33">
        <f>Table1[[#This Row],[TN120 Venting2]]/100</f>
        <v>4.3E-3</v>
      </c>
      <c r="N365" s="31">
        <f>Table1[[#This Row],[TN550 I Venting2]]/100</f>
        <v>7.4000000000000003E-3</v>
      </c>
      <c r="O365" s="31">
        <f>(Table1[[#This Row],[TN550 I (O2)]]-Table1[[#This Row],[O2]])/Table1[[#This Row],[TN550 I (O2)]]</f>
        <v>0.2333147792574666</v>
      </c>
      <c r="P365" s="9">
        <f>Table1[[#This Row],[M-N2]]+Table1[[#This Row],[TEN-N2]]</f>
        <v>66529.345923376779</v>
      </c>
      <c r="Q365" s="9">
        <v>1341.6853744856271</v>
      </c>
      <c r="R365" s="9">
        <f>SUM(Table1[[#This Row],[TEN-CDA]:[TEN-CDA WWT]])</f>
        <v>98142.750076089287</v>
      </c>
      <c r="S365" s="9">
        <v>437.08531209083998</v>
      </c>
      <c r="T365" s="9">
        <v>205.37834923537056</v>
      </c>
      <c r="U365" s="9">
        <v>32.34936910863555</v>
      </c>
      <c r="V365" s="42">
        <v>0.43</v>
      </c>
      <c r="W365" s="9">
        <v>0.74</v>
      </c>
      <c r="X365" s="9">
        <v>73390.802264052734</v>
      </c>
      <c r="Y365" s="9">
        <v>1799.7545874209804</v>
      </c>
      <c r="Z365" s="1">
        <v>64245.600703179218</v>
      </c>
      <c r="AA365" s="1">
        <v>2283.7452201975625</v>
      </c>
      <c r="AB365" s="1">
        <v>34432.20897759802</v>
      </c>
      <c r="AC365" s="1">
        <v>53852.976047449687</v>
      </c>
      <c r="AD365" s="1">
        <v>7290.6379026880204</v>
      </c>
      <c r="AE365" s="1">
        <v>2550.7005062063563</v>
      </c>
      <c r="AF365" s="1">
        <v>16.226642147202941</v>
      </c>
      <c r="AG365" s="1"/>
      <c r="AH365" s="1"/>
      <c r="AI365" s="1"/>
      <c r="AJ365" s="1"/>
      <c r="AK365" s="1"/>
      <c r="AL365" s="1"/>
      <c r="AM365" s="1"/>
      <c r="AN365" s="1"/>
      <c r="AO365" s="1"/>
      <c r="AP365" s="1"/>
      <c r="AQ365" s="1"/>
    </row>
    <row r="366" spans="1:43" x14ac:dyDescent="0.3">
      <c r="A366" s="9">
        <f t="shared" si="26"/>
        <v>2020</v>
      </c>
      <c r="B366" s="9">
        <f t="shared" si="27"/>
        <v>12</v>
      </c>
      <c r="C366" s="10">
        <v>44191</v>
      </c>
      <c r="D366" s="9">
        <v>0.19900000000000001</v>
      </c>
      <c r="E366" s="9">
        <v>0.13800000000000001</v>
      </c>
      <c r="F366" s="9">
        <v>13.009695681824113</v>
      </c>
      <c r="G366" s="9">
        <v>11135.32261057317</v>
      </c>
      <c r="H366" s="9">
        <v>54201.920701227449</v>
      </c>
      <c r="I366" s="9">
        <v>1750.2289631596709</v>
      </c>
      <c r="J366" s="20">
        <v>71</v>
      </c>
      <c r="K366" s="9">
        <v>71.7</v>
      </c>
      <c r="L366" s="31">
        <f>Table1[[#This Row],[TN550 I (O2)]]/(Table1[[#This Row],[Flowmeter A]]+Table1[[#This Row],[Flowmeter B]])</f>
        <v>2.3151489616663152E-2</v>
      </c>
      <c r="M366" s="33">
        <f>Table1[[#This Row],[TN120 Venting2]]/100</f>
        <v>2.81E-2</v>
      </c>
      <c r="N366" s="31">
        <f>Table1[[#This Row],[TN550 I Venting2]]/100</f>
        <v>0</v>
      </c>
      <c r="O366" s="31">
        <f>(Table1[[#This Row],[TN550 I (O2)]]-Table1[[#This Row],[O2]])/Table1[[#This Row],[TN550 I (O2)]]</f>
        <v>0.23362821018160235</v>
      </c>
      <c r="P366" s="9">
        <f>Table1[[#This Row],[M-N2]]+Table1[[#This Row],[TEN-N2]]</f>
        <v>66255.350771118421</v>
      </c>
      <c r="Q366" s="9">
        <v>1341.3261030886754</v>
      </c>
      <c r="R366" s="9">
        <f>SUM(Table1[[#This Row],[TEN-CDA]:[TEN-CDA WWT]])</f>
        <v>98155.812367769351</v>
      </c>
      <c r="S366" s="9">
        <v>436.43211274739355</v>
      </c>
      <c r="T366" s="9">
        <v>217.12037935065032</v>
      </c>
      <c r="U366" s="9">
        <v>33.645450948097078</v>
      </c>
      <c r="V366" s="42">
        <v>2.81</v>
      </c>
      <c r="W366" s="9">
        <v>0</v>
      </c>
      <c r="X366" s="9">
        <v>73799.036172796667</v>
      </c>
      <c r="Y366" s="9">
        <v>1799.9422143198897</v>
      </c>
      <c r="Z366" s="1">
        <v>63971.406624089177</v>
      </c>
      <c r="AA366" s="1">
        <v>2283.944147029244</v>
      </c>
      <c r="AB366" s="1">
        <v>34574.03412479398</v>
      </c>
      <c r="AC366" s="1">
        <v>53884.364303218259</v>
      </c>
      <c r="AD366" s="1">
        <v>7158.971830475256</v>
      </c>
      <c r="AE366" s="1">
        <v>2521.1591879892976</v>
      </c>
      <c r="AF366" s="1">
        <v>17.28292129255216</v>
      </c>
      <c r="AG366" s="1"/>
      <c r="AH366" s="1"/>
      <c r="AI366" s="1"/>
      <c r="AJ366" s="1"/>
      <c r="AK366" s="1"/>
      <c r="AL366" s="1"/>
      <c r="AM366" s="1"/>
      <c r="AN366" s="1"/>
      <c r="AO366" s="1"/>
      <c r="AP366" s="1"/>
      <c r="AQ366" s="1"/>
    </row>
    <row r="367" spans="1:43" x14ac:dyDescent="0.3">
      <c r="A367" s="9">
        <f t="shared" si="26"/>
        <v>2020</v>
      </c>
      <c r="B367" s="9">
        <f t="shared" si="27"/>
        <v>12</v>
      </c>
      <c r="C367" s="10">
        <v>44192</v>
      </c>
      <c r="D367" s="9">
        <v>0.2</v>
      </c>
      <c r="E367" s="9">
        <v>0.13900000000000001</v>
      </c>
      <c r="F367" s="9">
        <v>13.036266164759809</v>
      </c>
      <c r="G367" s="9">
        <v>11053.636872587396</v>
      </c>
      <c r="H367" s="9">
        <v>54201.243038688408</v>
      </c>
      <c r="I367" s="9">
        <v>1749.9105476204677</v>
      </c>
      <c r="J367" s="20">
        <v>71.040000000000006</v>
      </c>
      <c r="K367" s="9">
        <v>71.69</v>
      </c>
      <c r="L367" s="31">
        <f>Table1[[#This Row],[TN550 I (O2)]]/(Table1[[#This Row],[Flowmeter A]]+Table1[[#This Row],[Flowmeter B]])</f>
        <v>2.3144092305270501E-2</v>
      </c>
      <c r="M367" s="33">
        <f>Table1[[#This Row],[TN120 Venting2]]/100</f>
        <v>3.73E-2</v>
      </c>
      <c r="N367" s="31">
        <f>Table1[[#This Row],[TN550 I Venting2]]/100</f>
        <v>0</v>
      </c>
      <c r="O367" s="31">
        <f>(Table1[[#This Row],[TN550 I (O2)]]-Table1[[#This Row],[O2]])/Table1[[#This Row],[TN550 I (O2)]]</f>
        <v>0.23359927379623258</v>
      </c>
      <c r="P367" s="9">
        <f>Table1[[#This Row],[M-N2]]+Table1[[#This Row],[TEN-N2]]</f>
        <v>66339.20957600516</v>
      </c>
      <c r="Q367" s="9">
        <v>1341.1327144879588</v>
      </c>
      <c r="R367" s="9">
        <f>SUM(Table1[[#This Row],[TEN-CDA]:[TEN-CDA WWT]])</f>
        <v>97896.780271757088</v>
      </c>
      <c r="S367" s="9">
        <v>440.19913054339838</v>
      </c>
      <c r="T367" s="9">
        <v>214.51976007889081</v>
      </c>
      <c r="U367" s="9">
        <v>32.521166345462625</v>
      </c>
      <c r="V367" s="42">
        <v>3.73</v>
      </c>
      <c r="W367" s="9">
        <v>0</v>
      </c>
      <c r="X367" s="9">
        <v>73809.161899288694</v>
      </c>
      <c r="Y367" s="9">
        <v>1800.2214603675559</v>
      </c>
      <c r="Z367" s="1">
        <v>64047.287240848367</v>
      </c>
      <c r="AA367" s="1">
        <v>2291.9223351567921</v>
      </c>
      <c r="AB367" s="1">
        <v>34367.983277129599</v>
      </c>
      <c r="AC367" s="1">
        <v>53887.448776891048</v>
      </c>
      <c r="AD367" s="1">
        <v>7094.7511561524116</v>
      </c>
      <c r="AE367" s="1">
        <v>2528.0707631690234</v>
      </c>
      <c r="AF367" s="1">
        <v>18.526298415021795</v>
      </c>
      <c r="AG367" s="1"/>
      <c r="AH367" s="1"/>
      <c r="AI367" s="1"/>
      <c r="AJ367" s="1"/>
      <c r="AK367" s="1"/>
      <c r="AL367" s="1"/>
      <c r="AM367" s="1"/>
      <c r="AN367" s="1"/>
      <c r="AO367" s="1"/>
      <c r="AP367" s="1"/>
      <c r="AQ367" s="1"/>
    </row>
    <row r="368" spans="1:43" x14ac:dyDescent="0.3">
      <c r="A368" s="9">
        <f t="shared" si="26"/>
        <v>2020</v>
      </c>
      <c r="B368" s="9">
        <f t="shared" si="27"/>
        <v>12</v>
      </c>
      <c r="C368" s="10">
        <v>44193</v>
      </c>
      <c r="D368" s="9">
        <v>0.19500000000000001</v>
      </c>
      <c r="E368" s="9">
        <v>0.13700000000000001</v>
      </c>
      <c r="F368" s="9">
        <v>13.020117361292421</v>
      </c>
      <c r="G368" s="9">
        <v>10805.802676770689</v>
      </c>
      <c r="H368" s="9">
        <v>54200.04005736034</v>
      </c>
      <c r="I368" s="9">
        <v>1750.1056998449428</v>
      </c>
      <c r="J368" s="20">
        <v>71.05</v>
      </c>
      <c r="K368" s="9">
        <v>71.69</v>
      </c>
      <c r="L368" s="31">
        <f>Table1[[#This Row],[TN550 I (O2)]]/(Table1[[#This Row],[Flowmeter A]]+Table1[[#This Row],[Flowmeter B]])</f>
        <v>2.3149596403085743E-2</v>
      </c>
      <c r="M368" s="33">
        <f>Table1[[#This Row],[TN120 Venting2]]/100</f>
        <v>7.2900000000000006E-2</v>
      </c>
      <c r="N368" s="31">
        <f>Table1[[#This Row],[TN550 I Venting2]]/100</f>
        <v>0</v>
      </c>
      <c r="O368" s="31">
        <f>(Table1[[#This Row],[TN550 I (O2)]]-Table1[[#This Row],[O2]])/Table1[[#This Row],[TN550 I (O2)]]</f>
        <v>0.24143727007473428</v>
      </c>
      <c r="P368" s="9">
        <f>Table1[[#This Row],[M-N2]]+Table1[[#This Row],[TEN-N2]]</f>
        <v>66302.415302602225</v>
      </c>
      <c r="Q368" s="9">
        <v>1327.5649573321475</v>
      </c>
      <c r="R368" s="9">
        <f>SUM(Table1[[#This Row],[TEN-CDA]:[TEN-CDA WWT]])</f>
        <v>98226.322931159331</v>
      </c>
      <c r="S368" s="9">
        <v>432.19183699047295</v>
      </c>
      <c r="T368" s="9">
        <v>204.16382132430277</v>
      </c>
      <c r="U368" s="9">
        <v>32.489260335335871</v>
      </c>
      <c r="V368" s="42">
        <v>7.29</v>
      </c>
      <c r="W368" s="9">
        <v>0</v>
      </c>
      <c r="X368" s="9">
        <v>73799.734017175579</v>
      </c>
      <c r="Y368" s="9">
        <v>1800.1023415983095</v>
      </c>
      <c r="Z368" s="1">
        <v>64032.834918242537</v>
      </c>
      <c r="AA368" s="1">
        <v>2269.5803843596841</v>
      </c>
      <c r="AB368" s="1">
        <v>34754.509314278279</v>
      </c>
      <c r="AC368" s="1">
        <v>53797.247937087959</v>
      </c>
      <c r="AD368" s="1">
        <v>7133.1405660402934</v>
      </c>
      <c r="AE368" s="1">
        <v>2523.0053509322411</v>
      </c>
      <c r="AF368" s="1">
        <v>18.419762820550897</v>
      </c>
      <c r="AG368" s="1"/>
      <c r="AH368" s="1"/>
      <c r="AI368" s="1"/>
      <c r="AJ368" s="1"/>
      <c r="AK368" s="1"/>
      <c r="AL368" s="1"/>
      <c r="AM368" s="1"/>
      <c r="AN368" s="1"/>
      <c r="AO368" s="1"/>
      <c r="AP368" s="1"/>
      <c r="AQ368" s="1"/>
    </row>
    <row r="369" spans="1:43" x14ac:dyDescent="0.3">
      <c r="A369" s="9">
        <f t="shared" si="26"/>
        <v>2020</v>
      </c>
      <c r="B369" s="9">
        <f t="shared" si="27"/>
        <v>12</v>
      </c>
      <c r="C369" s="10">
        <v>44194</v>
      </c>
      <c r="D369" s="9">
        <v>0.19900000000000001</v>
      </c>
      <c r="E369" s="9">
        <v>0.13900000000000001</v>
      </c>
      <c r="F369" s="9">
        <v>12.670581149856387</v>
      </c>
      <c r="G369" s="9">
        <v>10654.692899895908</v>
      </c>
      <c r="H369" s="9">
        <v>53955.770138467211</v>
      </c>
      <c r="I369" s="9">
        <v>1750.051514095436</v>
      </c>
      <c r="J369" s="20">
        <v>71.06</v>
      </c>
      <c r="K369" s="9">
        <v>71.709999999999994</v>
      </c>
      <c r="L369" s="31">
        <f>Table1[[#This Row],[TN550 I (O2)]]/(Table1[[#This Row],[Flowmeter A]]+Table1[[#This Row],[Flowmeter B]])</f>
        <v>2.3257531561757458E-2</v>
      </c>
      <c r="M369" s="33">
        <f>Table1[[#This Row],[TN120 Venting2]]/100</f>
        <v>8.539999999999999E-2</v>
      </c>
      <c r="N369" s="31">
        <f>Table1[[#This Row],[TN550 I Venting2]]/100</f>
        <v>0</v>
      </c>
      <c r="O369" s="31">
        <f>(Table1[[#This Row],[TN550 I (O2)]]-Table1[[#This Row],[O2]])/Table1[[#This Row],[TN550 I (O2)]]</f>
        <v>0.24777929724651823</v>
      </c>
      <c r="P369" s="9">
        <f>Table1[[#This Row],[M-N2]]+Table1[[#This Row],[TEN-N2]]</f>
        <v>66462.182030216514</v>
      </c>
      <c r="Q369" s="9">
        <v>1316.4249797876637</v>
      </c>
      <c r="R369" s="9">
        <f>SUM(Table1[[#This Row],[TEN-CDA]:[TEN-CDA WWT]])</f>
        <v>99204.46066984022</v>
      </c>
      <c r="S369" s="9">
        <v>429.58644568862235</v>
      </c>
      <c r="T369" s="9">
        <v>207.93848105224779</v>
      </c>
      <c r="U369" s="9">
        <v>32.648149999953411</v>
      </c>
      <c r="V369" s="42">
        <v>8.5399999999999991</v>
      </c>
      <c r="W369" s="9">
        <v>0</v>
      </c>
      <c r="X369" s="9">
        <v>73447.097550529143</v>
      </c>
      <c r="Y369" s="9">
        <v>1799.5600514779233</v>
      </c>
      <c r="Z369" s="1">
        <v>64236.482190102361</v>
      </c>
      <c r="AA369" s="1">
        <v>2225.6998401141514</v>
      </c>
      <c r="AB369" s="1">
        <v>35415.43515516568</v>
      </c>
      <c r="AC369" s="1">
        <v>53953.024231761789</v>
      </c>
      <c r="AD369" s="1">
        <v>7225.0008128984864</v>
      </c>
      <c r="AE369" s="1">
        <v>2590.7015784936675</v>
      </c>
      <c r="AF369" s="1">
        <v>20.298891520594285</v>
      </c>
      <c r="AG369" s="1"/>
      <c r="AH369" s="1"/>
      <c r="AI369" s="1"/>
      <c r="AJ369" s="1"/>
      <c r="AK369" s="1"/>
      <c r="AL369" s="1"/>
      <c r="AM369" s="1"/>
      <c r="AN369" s="1"/>
      <c r="AO369" s="1"/>
      <c r="AP369" s="1"/>
      <c r="AQ369" s="1"/>
    </row>
    <row r="370" spans="1:43" x14ac:dyDescent="0.3">
      <c r="A370" s="9">
        <f t="shared" si="26"/>
        <v>2020</v>
      </c>
      <c r="B370" s="9">
        <f t="shared" si="27"/>
        <v>12</v>
      </c>
      <c r="C370" s="10">
        <v>44195</v>
      </c>
      <c r="D370" s="9">
        <v>0.19500000000000001</v>
      </c>
      <c r="E370" s="9">
        <v>0.126</v>
      </c>
      <c r="F370" s="9">
        <v>12.24034536918942</v>
      </c>
      <c r="G370" s="9">
        <v>11061.625729880509</v>
      </c>
      <c r="H370" s="9">
        <v>53599.512773247741</v>
      </c>
      <c r="I370" s="9">
        <v>1750.145958396811</v>
      </c>
      <c r="J370" s="20">
        <v>70.760000000000005</v>
      </c>
      <c r="K370" s="9">
        <v>71.760000000000005</v>
      </c>
      <c r="L370" s="31">
        <f>Table1[[#This Row],[TN550 I (O2)]]/(Table1[[#This Row],[Flowmeter A]]+Table1[[#This Row],[Flowmeter B]])</f>
        <v>2.3430325032722282E-2</v>
      </c>
      <c r="M370" s="33">
        <f>Table1[[#This Row],[TN120 Venting2]]/100</f>
        <v>2.5000000000000001E-2</v>
      </c>
      <c r="N370" s="31">
        <f>Table1[[#This Row],[TN550 I Venting2]]/100</f>
        <v>0</v>
      </c>
      <c r="O370" s="31">
        <f>(Table1[[#This Row],[TN550 I (O2)]]-Table1[[#This Row],[O2]])/Table1[[#This Row],[TN550 I (O2)]]</f>
        <v>0.24726632817640581</v>
      </c>
      <c r="P370" s="9">
        <f>Table1[[#This Row],[M-N2]]+Table1[[#This Row],[TEN-N2]]</f>
        <v>67094.614405127053</v>
      </c>
      <c r="Q370" s="9">
        <v>1317.3937934912549</v>
      </c>
      <c r="R370" s="9">
        <f>SUM(Table1[[#This Row],[TEN-CDA]:[TEN-CDA WWT]])</f>
        <v>98619.743057970729</v>
      </c>
      <c r="S370" s="9">
        <v>427.16186652623639</v>
      </c>
      <c r="T370" s="9">
        <v>211.40785187635879</v>
      </c>
      <c r="U370" s="9">
        <v>33.1147966444451</v>
      </c>
      <c r="V370" s="42">
        <v>2.5</v>
      </c>
      <c r="W370" s="9">
        <v>0</v>
      </c>
      <c r="X370" s="9">
        <v>72896.288135409442</v>
      </c>
      <c r="Y370" s="9">
        <v>1799.4728475301979</v>
      </c>
      <c r="Z370" s="1">
        <v>64890.790252537299</v>
      </c>
      <c r="AA370" s="1">
        <v>2203.8241525897542</v>
      </c>
      <c r="AB370" s="1">
        <v>34336.064371801265</v>
      </c>
      <c r="AC370" s="1">
        <v>54205.983366585715</v>
      </c>
      <c r="AD370" s="1">
        <v>7272.1647263049745</v>
      </c>
      <c r="AE370" s="1">
        <v>2780.9611360654494</v>
      </c>
      <c r="AF370" s="1">
        <v>24.569457213314848</v>
      </c>
      <c r="AG370" s="1"/>
      <c r="AH370" s="1"/>
      <c r="AI370" s="1"/>
      <c r="AJ370" s="1"/>
      <c r="AK370" s="1"/>
      <c r="AL370" s="1"/>
      <c r="AM370" s="1"/>
      <c r="AN370" s="1"/>
      <c r="AO370" s="1"/>
      <c r="AP370" s="1"/>
      <c r="AQ370" s="1"/>
    </row>
    <row r="371" spans="1:43" x14ac:dyDescent="0.3">
      <c r="A371" s="9">
        <f t="shared" si="26"/>
        <v>2020</v>
      </c>
      <c r="B371" s="9">
        <f t="shared" si="27"/>
        <v>12</v>
      </c>
      <c r="C371" s="10">
        <v>44196</v>
      </c>
      <c r="D371" s="9">
        <v>0.19700000000000001</v>
      </c>
      <c r="E371" s="9">
        <v>0.13100000000000001</v>
      </c>
      <c r="F371" s="9">
        <v>13.374891101776273</v>
      </c>
      <c r="G371" s="9">
        <v>10946.462952295498</v>
      </c>
      <c r="H371" s="9">
        <v>53601.544546430428</v>
      </c>
      <c r="I371" s="9">
        <v>1750.0116128597219</v>
      </c>
      <c r="J371" s="20">
        <v>70.209999999999994</v>
      </c>
      <c r="K371" s="9">
        <v>71.75</v>
      </c>
      <c r="L371" s="31">
        <f>Table1[[#This Row],[TN550 I (O2)]]/(Table1[[#This Row],[Flowmeter A]]+Table1[[#This Row],[Flowmeter B]])</f>
        <v>2.3424784844136837E-2</v>
      </c>
      <c r="M371" s="33">
        <f>Table1[[#This Row],[TN120 Venting2]]/100</f>
        <v>2.3199999999999998E-2</v>
      </c>
      <c r="N371" s="31">
        <f>Table1[[#This Row],[TN550 I Venting2]]/100</f>
        <v>0</v>
      </c>
      <c r="O371" s="31">
        <f>(Table1[[#This Row],[TN550 I (O2)]]-Table1[[#This Row],[O2]])/Table1[[#This Row],[TN550 I (O2)]]</f>
        <v>0.24704212390210065</v>
      </c>
      <c r="P371" s="9">
        <f>Table1[[#This Row],[M-N2]]+Table1[[#This Row],[TEN-N2]]</f>
        <v>66791.381817809088</v>
      </c>
      <c r="Q371" s="9">
        <v>1317.6850271655155</v>
      </c>
      <c r="R371" s="9">
        <f>SUM(Table1[[#This Row],[TEN-CDA]:[TEN-CDA WWT]])</f>
        <v>98856.170860103462</v>
      </c>
      <c r="S371" s="9">
        <v>430.79420215995839</v>
      </c>
      <c r="T371" s="9">
        <v>213.49680238891855</v>
      </c>
      <c r="U371" s="9">
        <v>32.485936651289421</v>
      </c>
      <c r="V371" s="42">
        <v>2.3199999999999998</v>
      </c>
      <c r="W371" s="9">
        <v>0</v>
      </c>
      <c r="X371" s="9">
        <v>72908.072231740109</v>
      </c>
      <c r="Y371" s="9">
        <v>1799.6198347569505</v>
      </c>
      <c r="Z371" s="1">
        <v>64571.755700793721</v>
      </c>
      <c r="AA371" s="1">
        <v>2219.6261170153648</v>
      </c>
      <c r="AB371" s="1">
        <v>34750.885301006245</v>
      </c>
      <c r="AC371" s="1">
        <v>54091.660234862946</v>
      </c>
      <c r="AD371" s="1">
        <v>7163.4516110231607</v>
      </c>
      <c r="AE371" s="1">
        <v>2823.5833925754141</v>
      </c>
      <c r="AF371" s="1">
        <v>26.590320635687799</v>
      </c>
      <c r="AG371" s="1"/>
      <c r="AH371" s="1"/>
      <c r="AI371" s="1"/>
      <c r="AJ371" s="1"/>
      <c r="AK371" s="1"/>
      <c r="AL371" s="1"/>
      <c r="AM371" s="1"/>
      <c r="AN371" s="1"/>
      <c r="AO371" s="1"/>
      <c r="AP371" s="1"/>
      <c r="AQ371" s="1"/>
    </row>
    <row r="372" spans="1:43" x14ac:dyDescent="0.3">
      <c r="A372" s="9">
        <f t="shared" si="26"/>
        <v>2021</v>
      </c>
      <c r="B372" s="9">
        <f t="shared" si="27"/>
        <v>1</v>
      </c>
      <c r="C372" s="10">
        <v>44197</v>
      </c>
      <c r="D372" s="9">
        <v>0.19700000000000001</v>
      </c>
      <c r="E372" s="9">
        <v>0.13</v>
      </c>
      <c r="F372" s="9">
        <v>14.120783679440647</v>
      </c>
      <c r="G372" s="9">
        <v>11168.723430180864</v>
      </c>
      <c r="H372" s="9">
        <v>53602.995361836402</v>
      </c>
      <c r="I372" s="9">
        <v>1749.953876058564</v>
      </c>
      <c r="J372" s="20">
        <v>70.739999999999995</v>
      </c>
      <c r="K372" s="9">
        <v>71.760000000000005</v>
      </c>
      <c r="L372" s="31">
        <f>Table1[[#This Row],[TN550 I (O2)]]/(Table1[[#This Row],[Flowmeter A]]+Table1[[#This Row],[Flowmeter B]])</f>
        <v>2.3428716025431111E-2</v>
      </c>
      <c r="M372" s="33">
        <f>Table1[[#This Row],[TN120 Venting2]]/100</f>
        <v>1.47E-2</v>
      </c>
      <c r="N372" s="31">
        <f>Table1[[#This Row],[TN550 I Venting2]]/100</f>
        <v>0</v>
      </c>
      <c r="O372" s="31">
        <f>(Table1[[#This Row],[TN550 I (O2)]]-Table1[[#This Row],[O2]])/Table1[[#This Row],[TN550 I (O2)]]</f>
        <v>0.24717586450131671</v>
      </c>
      <c r="P372" s="9">
        <f>Table1[[#This Row],[M-N2]]+Table1[[#This Row],[TEN-N2]]</f>
        <v>66465.074051104515</v>
      </c>
      <c r="Q372" s="9">
        <v>1317.4075139063584</v>
      </c>
      <c r="R372" s="9">
        <f>SUM(Table1[[#This Row],[TEN-CDA]:[TEN-CDA WWT]])</f>
        <v>98137.190804072583</v>
      </c>
      <c r="S372" s="9">
        <v>438.31600069023523</v>
      </c>
      <c r="T372" s="9">
        <v>213.16995897895345</v>
      </c>
      <c r="U372" s="9">
        <v>33.096767532751016</v>
      </c>
      <c r="V372" s="42">
        <v>1.47</v>
      </c>
      <c r="W372" s="9">
        <v>0</v>
      </c>
      <c r="X372" s="9">
        <v>72893.147922449687</v>
      </c>
      <c r="Y372" s="9">
        <v>1799.5443343110253</v>
      </c>
      <c r="Z372" s="1">
        <v>64255.411086051354</v>
      </c>
      <c r="AA372" s="1">
        <v>2209.6629650531586</v>
      </c>
      <c r="AB372" s="1">
        <v>34284.706316956537</v>
      </c>
      <c r="AC372" s="1">
        <v>53824.590751865027</v>
      </c>
      <c r="AD372" s="1">
        <v>7240.1309779721123</v>
      </c>
      <c r="AE372" s="1">
        <v>2759.7660570323342</v>
      </c>
      <c r="AF372" s="1">
        <v>27.996700246566952</v>
      </c>
      <c r="AG372" s="1"/>
      <c r="AH372" s="1"/>
      <c r="AI372" s="1"/>
      <c r="AJ372" s="1"/>
      <c r="AK372" s="1"/>
      <c r="AL372" s="1"/>
      <c r="AM372" s="1"/>
      <c r="AN372" s="1"/>
      <c r="AO372" s="1"/>
      <c r="AP372" s="1"/>
      <c r="AQ372" s="1"/>
    </row>
    <row r="373" spans="1:43" x14ac:dyDescent="0.3">
      <c r="A373" s="9">
        <f t="shared" si="26"/>
        <v>2021</v>
      </c>
      <c r="B373" s="9">
        <f t="shared" si="27"/>
        <v>1</v>
      </c>
      <c r="C373" s="10">
        <v>44198</v>
      </c>
      <c r="D373" s="9">
        <v>0.19800000000000001</v>
      </c>
      <c r="E373" s="9">
        <v>0.13400000000000001</v>
      </c>
      <c r="F373" s="9">
        <v>14.844815719631356</v>
      </c>
      <c r="G373" s="9">
        <v>11154.438652124298</v>
      </c>
      <c r="H373" s="9">
        <v>53712.01856620836</v>
      </c>
      <c r="I373" s="9">
        <v>1749.9808694388121</v>
      </c>
      <c r="J373" s="20">
        <v>70.930000000000007</v>
      </c>
      <c r="K373" s="9">
        <v>71.73</v>
      </c>
      <c r="L373" s="31">
        <f>Table1[[#This Row],[TN550 I (O2)]]/(Table1[[#This Row],[Flowmeter A]]+Table1[[#This Row],[Flowmeter B]])</f>
        <v>2.3371148995091979E-2</v>
      </c>
      <c r="M373" s="33">
        <f>Table1[[#This Row],[TN120 Venting2]]/100</f>
        <v>2.3900000000000001E-2</v>
      </c>
      <c r="N373" s="31">
        <f>Table1[[#This Row],[TN550 I Venting2]]/100</f>
        <v>0</v>
      </c>
      <c r="O373" s="31">
        <f>(Table1[[#This Row],[TN550 I (O2)]]-Table1[[#This Row],[O2]])/Table1[[#This Row],[TN550 I (O2)]]</f>
        <v>0.24567641722605627</v>
      </c>
      <c r="P373" s="9">
        <f>Table1[[#This Row],[M-N2]]+Table1[[#This Row],[TEN-N2]]</f>
        <v>66179.110507094141</v>
      </c>
      <c r="Q373" s="9">
        <v>1320.0518392209458</v>
      </c>
      <c r="R373" s="9">
        <f>SUM(Table1[[#This Row],[TEN-CDA]:[TEN-CDA WWT]])</f>
        <v>98397.620249758387</v>
      </c>
      <c r="S373" s="9">
        <v>436.90622676767299</v>
      </c>
      <c r="T373" s="9">
        <v>208.58804944982799</v>
      </c>
      <c r="U373" s="9">
        <v>33.474095339910754</v>
      </c>
      <c r="V373" s="42">
        <v>2.39</v>
      </c>
      <c r="W373" s="9">
        <v>0</v>
      </c>
      <c r="X373" s="9">
        <v>73077.463854311238</v>
      </c>
      <c r="Y373" s="9">
        <v>1800.3639241310559</v>
      </c>
      <c r="Z373" s="1">
        <v>63986.40694667332</v>
      </c>
      <c r="AA373" s="1">
        <v>2192.7035604208231</v>
      </c>
      <c r="AB373" s="1">
        <v>34438.687807674789</v>
      </c>
      <c r="AC373" s="1">
        <v>53952.10643379164</v>
      </c>
      <c r="AD373" s="1">
        <v>7224.7298798306301</v>
      </c>
      <c r="AE373" s="1">
        <v>2755.3724952290077</v>
      </c>
      <c r="AF373" s="1">
        <v>26.723633232328066</v>
      </c>
      <c r="AG373" s="1"/>
      <c r="AH373" s="1"/>
      <c r="AI373" s="1"/>
      <c r="AJ373" s="1"/>
      <c r="AK373" s="1"/>
      <c r="AL373" s="1"/>
      <c r="AM373" s="1"/>
      <c r="AN373" s="1"/>
      <c r="AO373" s="1"/>
      <c r="AP373" s="1"/>
      <c r="AQ373" s="1"/>
    </row>
    <row r="374" spans="1:43" x14ac:dyDescent="0.3">
      <c r="A374" s="9">
        <f t="shared" si="26"/>
        <v>2021</v>
      </c>
      <c r="B374" s="9">
        <f t="shared" si="27"/>
        <v>1</v>
      </c>
      <c r="C374" s="10">
        <v>44199</v>
      </c>
      <c r="D374" s="9">
        <v>0.2</v>
      </c>
      <c r="E374" s="9">
        <v>0.13300000000000001</v>
      </c>
      <c r="F374" s="9">
        <v>14.828254712281504</v>
      </c>
      <c r="G374" s="9">
        <v>10894.660404965083</v>
      </c>
      <c r="H374" s="9">
        <v>53805.234185244619</v>
      </c>
      <c r="I374" s="9">
        <v>1750.1340570072596</v>
      </c>
      <c r="J374" s="20">
        <v>71.06</v>
      </c>
      <c r="K374" s="9">
        <v>71.75</v>
      </c>
      <c r="L374" s="31">
        <f>Table1[[#This Row],[TN550 I (O2)]]/(Table1[[#This Row],[Flowmeter A]]+Table1[[#This Row],[Flowmeter B]])</f>
        <v>2.333834764775156E-2</v>
      </c>
      <c r="M374" s="33">
        <f>Table1[[#This Row],[TN120 Venting2]]/100</f>
        <v>4.8399999999999999E-2</v>
      </c>
      <c r="N374" s="31">
        <f>Table1[[#This Row],[TN550 I Venting2]]/100</f>
        <v>0</v>
      </c>
      <c r="O374" s="31">
        <f>(Table1[[#This Row],[TN550 I (O2)]]-Table1[[#This Row],[O2]])/Table1[[#This Row],[TN550 I (O2)]]</f>
        <v>0.24685447239118782</v>
      </c>
      <c r="P374" s="9">
        <f>Table1[[#This Row],[M-N2]]+Table1[[#This Row],[TEN-N2]]</f>
        <v>65814.765791798374</v>
      </c>
      <c r="Q374" s="9">
        <v>1318.1056377508835</v>
      </c>
      <c r="R374" s="9">
        <f>SUM(Table1[[#This Row],[TEN-CDA]:[TEN-CDA WWT]])</f>
        <v>98581.73404912492</v>
      </c>
      <c r="S374" s="9">
        <v>436.07100906742687</v>
      </c>
      <c r="T374" s="9">
        <v>217.97481136070533</v>
      </c>
      <c r="U374" s="9">
        <v>33.809256656231106</v>
      </c>
      <c r="V374" s="42">
        <v>4.84</v>
      </c>
      <c r="W374" s="9">
        <v>0</v>
      </c>
      <c r="X374" s="9">
        <v>73189.469823473279</v>
      </c>
      <c r="Y374" s="9">
        <v>1800.1602661217526</v>
      </c>
      <c r="Z374" s="1">
        <v>63607.893311394</v>
      </c>
      <c r="AA374" s="1">
        <v>2206.8724804043686</v>
      </c>
      <c r="AB374" s="1">
        <v>34821.762058954286</v>
      </c>
      <c r="AC374" s="1">
        <v>53893.220324969639</v>
      </c>
      <c r="AD374" s="1">
        <v>7099.1354626371658</v>
      </c>
      <c r="AE374" s="1">
        <v>2742.3736964483214</v>
      </c>
      <c r="AF374" s="1">
        <v>25.242506115503922</v>
      </c>
      <c r="AG374" s="1"/>
      <c r="AH374" s="1"/>
      <c r="AI374" s="1"/>
      <c r="AJ374" s="1"/>
      <c r="AK374" s="1"/>
      <c r="AL374" s="1"/>
      <c r="AM374" s="1"/>
      <c r="AN374" s="1"/>
      <c r="AO374" s="1"/>
      <c r="AP374" s="1"/>
      <c r="AQ374" s="1"/>
    </row>
    <row r="375" spans="1:43" x14ac:dyDescent="0.3">
      <c r="A375" s="9">
        <f t="shared" si="26"/>
        <v>2021</v>
      </c>
      <c r="B375" s="9">
        <f t="shared" si="27"/>
        <v>1</v>
      </c>
      <c r="C375" s="10">
        <v>44200</v>
      </c>
      <c r="D375" s="9">
        <v>0.247</v>
      </c>
      <c r="E375" s="9">
        <v>0.13400000000000001</v>
      </c>
      <c r="F375" s="9">
        <v>12.807401530036159</v>
      </c>
      <c r="G375" s="9">
        <v>11866.506024055559</v>
      </c>
      <c r="H375" s="9">
        <v>55370.806129640878</v>
      </c>
      <c r="I375" s="9">
        <v>1813.7195184245695</v>
      </c>
      <c r="J375" s="20">
        <v>71.16</v>
      </c>
      <c r="K375" s="9">
        <v>71.709999999999994</v>
      </c>
      <c r="L375" s="31">
        <f>Table1[[#This Row],[TN550 I (O2)]]/(Table1[[#This Row],[Flowmeter A]]+Table1[[#This Row],[Flowmeter B]])</f>
        <v>2.3490533782028523E-2</v>
      </c>
      <c r="M375" s="33">
        <f>Table1[[#This Row],[TN120 Venting2]]/100</f>
        <v>2.3900000000000001E-2</v>
      </c>
      <c r="N375" s="31">
        <f>Table1[[#This Row],[TN550 I Venting2]]/100</f>
        <v>2.0999999999999999E-3</v>
      </c>
      <c r="O375" s="31">
        <f>(Table1[[#This Row],[TN550 I (O2)]]-Table1[[#This Row],[O2]])/Table1[[#This Row],[TN550 I (O2)]]</f>
        <v>0.27332992535297612</v>
      </c>
      <c r="P375" s="9">
        <f>Table1[[#This Row],[M-N2]]+Table1[[#This Row],[TEN-N2]]</f>
        <v>66294.25493931555</v>
      </c>
      <c r="Q375" s="9">
        <v>1317.9756978423461</v>
      </c>
      <c r="R375" s="9">
        <f>SUM(Table1[[#This Row],[TEN-CDA]:[TEN-CDA WWT]])</f>
        <v>98251.453765899671</v>
      </c>
      <c r="S375" s="9">
        <v>439.64333704062255</v>
      </c>
      <c r="T375" s="9">
        <v>209.27090318562009</v>
      </c>
      <c r="U375" s="9">
        <v>33.36497647658063</v>
      </c>
      <c r="V375" s="42">
        <v>2.39</v>
      </c>
      <c r="W375" s="9">
        <v>0.21</v>
      </c>
      <c r="X375" s="9">
        <v>75347.352169717211</v>
      </c>
      <c r="Y375" s="9">
        <v>1863.3036312232989</v>
      </c>
      <c r="Z375" s="1">
        <v>64087.091543416027</v>
      </c>
      <c r="AA375" s="1">
        <v>2207.1633958995217</v>
      </c>
      <c r="AB375" s="1">
        <v>34550.464799021946</v>
      </c>
      <c r="AC375" s="1">
        <v>53748.237053261626</v>
      </c>
      <c r="AD375" s="1">
        <v>7225.1862740447168</v>
      </c>
      <c r="AE375" s="1">
        <v>2696.9675010029928</v>
      </c>
      <c r="AF375" s="1">
        <v>30.598138568396788</v>
      </c>
      <c r="AG375" s="1"/>
      <c r="AH375" s="1"/>
      <c r="AI375" s="1"/>
      <c r="AJ375" s="1"/>
      <c r="AK375" s="1"/>
      <c r="AL375" s="1"/>
      <c r="AM375" s="1"/>
      <c r="AN375" s="1"/>
      <c r="AO375" s="1"/>
      <c r="AP375" s="1"/>
      <c r="AQ375" s="1"/>
    </row>
    <row r="376" spans="1:43" x14ac:dyDescent="0.3">
      <c r="A376" s="9">
        <f t="shared" si="26"/>
        <v>2021</v>
      </c>
      <c r="B376" s="9">
        <f t="shared" si="27"/>
        <v>1</v>
      </c>
      <c r="C376" s="10">
        <v>44201</v>
      </c>
      <c r="D376" s="9">
        <v>0.20899999999999999</v>
      </c>
      <c r="E376" s="9">
        <v>0.13300000000000001</v>
      </c>
      <c r="F376" s="9">
        <v>12.98477523546927</v>
      </c>
      <c r="G376" s="9">
        <v>12338.983248666293</v>
      </c>
      <c r="H376" s="9">
        <v>56600.531672883415</v>
      </c>
      <c r="I376" s="9">
        <v>1899.7858391152247</v>
      </c>
      <c r="J376" s="20">
        <v>71.34</v>
      </c>
      <c r="K376" s="9">
        <v>71.7</v>
      </c>
      <c r="L376" s="31">
        <f>Table1[[#This Row],[TN550 I (O2)]]/(Table1[[#This Row],[Flowmeter A]]+Table1[[#This Row],[Flowmeter B]])</f>
        <v>2.4065422707051483E-2</v>
      </c>
      <c r="M376" s="33">
        <f>Table1[[#This Row],[TN120 Venting2]]/100</f>
        <v>0</v>
      </c>
      <c r="N376" s="31">
        <f>Table1[[#This Row],[TN550 I Venting2]]/100</f>
        <v>0</v>
      </c>
      <c r="O376" s="31">
        <f>(Table1[[#This Row],[TN550 I (O2)]]-Table1[[#This Row],[O2]])/Table1[[#This Row],[TN550 I (O2)]]</f>
        <v>0.30433439286064723</v>
      </c>
      <c r="P376" s="9">
        <f>Table1[[#This Row],[M-N2]]+Table1[[#This Row],[TEN-N2]]</f>
        <v>66190.687893996554</v>
      </c>
      <c r="Q376" s="9">
        <v>1321.6156692028376</v>
      </c>
      <c r="R376" s="9">
        <f>SUM(Table1[[#This Row],[TEN-CDA]:[TEN-CDA WWT]])</f>
        <v>98138.591244104406</v>
      </c>
      <c r="S376" s="9">
        <v>440.6105468877069</v>
      </c>
      <c r="T376" s="9">
        <v>215.78847909751329</v>
      </c>
      <c r="U376" s="9">
        <v>33.439664946588522</v>
      </c>
      <c r="V376" s="42">
        <v>0</v>
      </c>
      <c r="W376" s="9">
        <v>0</v>
      </c>
      <c r="X376" s="9">
        <v>76992.574210617633</v>
      </c>
      <c r="Y376" s="9">
        <v>1949.9759469809919</v>
      </c>
      <c r="Z376" s="1">
        <v>63973.315574037129</v>
      </c>
      <c r="AA376" s="1">
        <v>2217.3723199594197</v>
      </c>
      <c r="AB376" s="1">
        <v>34220.04217313281</v>
      </c>
      <c r="AC376" s="1">
        <v>53794.074817834837</v>
      </c>
      <c r="AD376" s="1">
        <v>7393.4303882395043</v>
      </c>
      <c r="AE376" s="1">
        <v>2702.518589419511</v>
      </c>
      <c r="AF376" s="1">
        <v>28.525275477734933</v>
      </c>
      <c r="AG376" s="1"/>
      <c r="AH376" s="1"/>
      <c r="AI376" s="1"/>
      <c r="AJ376" s="1"/>
      <c r="AK376" s="1"/>
      <c r="AL376" s="1"/>
      <c r="AM376" s="1"/>
      <c r="AN376" s="1"/>
      <c r="AO376" s="1"/>
      <c r="AP376" s="1"/>
      <c r="AQ376" s="1"/>
    </row>
    <row r="377" spans="1:43" x14ac:dyDescent="0.3">
      <c r="A377" s="9">
        <f t="shared" si="26"/>
        <v>2021</v>
      </c>
      <c r="B377" s="9">
        <f t="shared" si="27"/>
        <v>1</v>
      </c>
      <c r="C377" s="10">
        <v>44202</v>
      </c>
      <c r="D377" s="9">
        <v>0.21099999999999999</v>
      </c>
      <c r="E377" s="9">
        <v>0.13100000000000001</v>
      </c>
      <c r="F377" s="9">
        <v>12.893324765953896</v>
      </c>
      <c r="G377" s="9">
        <v>12345.348880172189</v>
      </c>
      <c r="H377" s="9">
        <v>56847.365479701599</v>
      </c>
      <c r="I377" s="9">
        <v>1899.9961479658225</v>
      </c>
      <c r="J377" s="20">
        <v>71.36</v>
      </c>
      <c r="K377" s="9">
        <v>71.66</v>
      </c>
      <c r="L377" s="31">
        <f>Table1[[#This Row],[TN550 I (O2)]]/(Table1[[#This Row],[Flowmeter A]]+Table1[[#This Row],[Flowmeter B]])</f>
        <v>2.3949991551275453E-2</v>
      </c>
      <c r="M377" s="33">
        <f>Table1[[#This Row],[TN120 Venting2]]/100</f>
        <v>0</v>
      </c>
      <c r="N377" s="31">
        <f>Table1[[#This Row],[TN550 I Venting2]]/100</f>
        <v>0</v>
      </c>
      <c r="O377" s="31">
        <f>(Table1[[#This Row],[TN550 I (O2)]]-Table1[[#This Row],[O2]])/Table1[[#This Row],[TN550 I (O2)]]</f>
        <v>0.30502248137464799</v>
      </c>
      <c r="P377" s="9">
        <f>Table1[[#This Row],[M-N2]]+Table1[[#This Row],[TEN-N2]]</f>
        <v>66748.644719480551</v>
      </c>
      <c r="Q377" s="9">
        <v>1320.4546083110145</v>
      </c>
      <c r="R377" s="9">
        <f>SUM(Table1[[#This Row],[TEN-CDA]:[TEN-CDA WWT]])</f>
        <v>99302.062476639898</v>
      </c>
      <c r="S377" s="9">
        <v>433.20049860343431</v>
      </c>
      <c r="T377" s="9">
        <v>214.64482464019332</v>
      </c>
      <c r="U377" s="9">
        <v>33.418506742764642</v>
      </c>
      <c r="V377" s="42">
        <v>0</v>
      </c>
      <c r="W377" s="9">
        <v>0</v>
      </c>
      <c r="X377" s="9">
        <v>77382.159313193959</v>
      </c>
      <c r="Y377" s="9">
        <v>1949.6493806858844</v>
      </c>
      <c r="Z377" s="1">
        <v>64527.510138358775</v>
      </c>
      <c r="AA377" s="1">
        <v>2221.1345811217798</v>
      </c>
      <c r="AB377" s="1">
        <v>35400.412376387925</v>
      </c>
      <c r="AC377" s="1">
        <v>53737.127632178177</v>
      </c>
      <c r="AD377" s="1">
        <v>7420.2170093332525</v>
      </c>
      <c r="AE377" s="1">
        <v>2719.0560144322517</v>
      </c>
      <c r="AF377" s="1">
        <v>25.249444308285497</v>
      </c>
      <c r="AG377" s="1"/>
      <c r="AH377" s="1"/>
      <c r="AI377" s="1"/>
      <c r="AJ377" s="1"/>
      <c r="AK377" s="1"/>
      <c r="AL377" s="1"/>
      <c r="AM377" s="1"/>
      <c r="AN377" s="1"/>
      <c r="AO377" s="1"/>
      <c r="AP377" s="1"/>
      <c r="AQ377" s="1"/>
    </row>
    <row r="378" spans="1:43" x14ac:dyDescent="0.3">
      <c r="A378" s="9">
        <f t="shared" si="26"/>
        <v>2021</v>
      </c>
      <c r="B378" s="9">
        <f t="shared" si="27"/>
        <v>1</v>
      </c>
      <c r="C378" s="10">
        <v>44203</v>
      </c>
      <c r="D378" s="9">
        <v>0.56399999999999995</v>
      </c>
      <c r="E378" s="9">
        <v>0.13200000000000001</v>
      </c>
      <c r="F378" s="9">
        <v>12.836806032576552</v>
      </c>
      <c r="G378" s="9">
        <v>12347.010401305515</v>
      </c>
      <c r="H378" s="9">
        <v>42022.614193558278</v>
      </c>
      <c r="I378" s="9">
        <v>1290.5763862869294</v>
      </c>
      <c r="J378" s="20">
        <v>71.36</v>
      </c>
      <c r="K378" s="9">
        <v>71.73</v>
      </c>
      <c r="L378" s="31">
        <f>Table1[[#This Row],[TN550 I (O2)]]/(Table1[[#This Row],[Flowmeter A]]+Table1[[#This Row],[Flowmeter B]])</f>
        <v>2.2030301459760447E-2</v>
      </c>
      <c r="M378" s="33">
        <f>Table1[[#This Row],[TN120 Venting2]]/100</f>
        <v>8.0000000000000004E-4</v>
      </c>
      <c r="N378" s="31">
        <f>Table1[[#This Row],[TN550 I Venting2]]/100</f>
        <v>0.1661</v>
      </c>
      <c r="O378" s="31">
        <f>(Table1[[#This Row],[TN550 I (O2)]]-Table1[[#This Row],[O2]])/Table1[[#This Row],[TN550 I (O2)]]</f>
        <v>-2.1055479078764327E-2</v>
      </c>
      <c r="P378" s="9">
        <f>Table1[[#This Row],[M-N2]]+Table1[[#This Row],[TEN-N2]]</f>
        <v>63460.965289336295</v>
      </c>
      <c r="Q378" s="9">
        <v>1317.7500903879411</v>
      </c>
      <c r="R378" s="9">
        <f>SUM(Table1[[#This Row],[TEN-CDA]:[TEN-CDA WWT]])</f>
        <v>100391.80672365504</v>
      </c>
      <c r="S378" s="9">
        <v>428.73309190632318</v>
      </c>
      <c r="T378" s="9">
        <v>211.30723882035855</v>
      </c>
      <c r="U378" s="9">
        <v>33.034463683902018</v>
      </c>
      <c r="V378" s="42">
        <v>0.08</v>
      </c>
      <c r="W378" s="9">
        <v>16.61</v>
      </c>
      <c r="X378" s="9">
        <v>57111.269395710442</v>
      </c>
      <c r="Y378" s="9">
        <v>1470.6065102655966</v>
      </c>
      <c r="Z378" s="1">
        <v>61253.70707462266</v>
      </c>
      <c r="AA378" s="1">
        <v>2207.2582147136318</v>
      </c>
      <c r="AB378" s="1">
        <v>36113.427258631149</v>
      </c>
      <c r="AC378" s="1">
        <v>53925.136737725537</v>
      </c>
      <c r="AD378" s="1">
        <v>7530.510667640744</v>
      </c>
      <c r="AE378" s="1">
        <v>2792.531498715085</v>
      </c>
      <c r="AF378" s="1">
        <v>30.200560942540395</v>
      </c>
      <c r="AG378" s="1"/>
      <c r="AH378" s="1"/>
      <c r="AI378" s="1"/>
      <c r="AJ378" s="1"/>
      <c r="AK378" s="1"/>
      <c r="AL378" s="1"/>
      <c r="AM378" s="1"/>
      <c r="AN378" s="1"/>
      <c r="AO378" s="1"/>
      <c r="AP378" s="1"/>
      <c r="AQ378" s="1"/>
    </row>
    <row r="379" spans="1:43" x14ac:dyDescent="0.3">
      <c r="A379" s="9">
        <f t="shared" si="26"/>
        <v>2021</v>
      </c>
      <c r="B379" s="9">
        <f t="shared" si="27"/>
        <v>1</v>
      </c>
      <c r="C379" s="10">
        <v>44204</v>
      </c>
      <c r="D379" s="9">
        <v>0.59299999999999997</v>
      </c>
      <c r="E379" s="9">
        <v>0.13</v>
      </c>
      <c r="F379" s="9">
        <v>13.519954098999955</v>
      </c>
      <c r="G379" s="9">
        <v>12350.824415960056</v>
      </c>
      <c r="H379" s="9">
        <v>54247.874810244619</v>
      </c>
      <c r="I379" s="9">
        <v>1763.9484914955706</v>
      </c>
      <c r="J379" s="20">
        <v>71.400000000000006</v>
      </c>
      <c r="K379" s="9">
        <v>71.53</v>
      </c>
      <c r="L379" s="31">
        <f>Table1[[#This Row],[TN550 I (O2)]]/(Table1[[#This Row],[Flowmeter A]]+Table1[[#This Row],[Flowmeter B]])</f>
        <v>2.3259695072781757E-2</v>
      </c>
      <c r="M379" s="33">
        <f>Table1[[#This Row],[TN120 Venting2]]/100</f>
        <v>0</v>
      </c>
      <c r="N379" s="31">
        <f>Table1[[#This Row],[TN550 I Venting2]]/100</f>
        <v>0.45100000000000001</v>
      </c>
      <c r="O379" s="31">
        <f>(Table1[[#This Row],[TN550 I (O2)]]-Table1[[#This Row],[O2]])/Table1[[#This Row],[TN550 I (O2)]]</f>
        <v>0.25030559060517121</v>
      </c>
      <c r="P379" s="9">
        <f>Table1[[#This Row],[M-N2]]+Table1[[#This Row],[TEN-N2]]</f>
        <v>62638.522278975644</v>
      </c>
      <c r="Q379" s="9">
        <v>1322.4223225346709</v>
      </c>
      <c r="R379" s="9">
        <f>SUM(Table1[[#This Row],[TEN-CDA]:[TEN-CDA WWT]])</f>
        <v>99755.116341520436</v>
      </c>
      <c r="S379" s="9">
        <v>435.75974091020913</v>
      </c>
      <c r="T379" s="9">
        <v>218.00626638546163</v>
      </c>
      <c r="U379" s="9">
        <v>34.036220578333307</v>
      </c>
      <c r="V379" s="42">
        <v>0</v>
      </c>
      <c r="W379" s="9">
        <v>45.1</v>
      </c>
      <c r="X379" s="9">
        <v>73980.397879077034</v>
      </c>
      <c r="Y379" s="9">
        <v>1856.7309386486977</v>
      </c>
      <c r="Z379" s="1">
        <v>60426.236774050136</v>
      </c>
      <c r="AA379" s="1">
        <v>2212.2855049255077</v>
      </c>
      <c r="AB379" s="1">
        <v>35877.903558184422</v>
      </c>
      <c r="AC379" s="1">
        <v>53790.731832277939</v>
      </c>
      <c r="AD379" s="1">
        <v>7320.561241176375</v>
      </c>
      <c r="AE379" s="1">
        <v>2735.3149802044477</v>
      </c>
      <c r="AF379" s="1">
        <v>30.604729677264505</v>
      </c>
      <c r="AG379" s="1"/>
      <c r="AH379" s="1"/>
      <c r="AI379" s="1"/>
      <c r="AJ379" s="1"/>
      <c r="AK379" s="1"/>
      <c r="AL379" s="1"/>
      <c r="AM379" s="1"/>
      <c r="AN379" s="1"/>
      <c r="AO379" s="1"/>
      <c r="AP379" s="1"/>
      <c r="AQ379" s="1"/>
    </row>
    <row r="380" spans="1:43" x14ac:dyDescent="0.3">
      <c r="A380" s="9">
        <f t="shared" si="26"/>
        <v>2021</v>
      </c>
      <c r="B380" s="9">
        <f t="shared" si="27"/>
        <v>1</v>
      </c>
      <c r="C380" s="10">
        <v>44205</v>
      </c>
      <c r="D380" s="9">
        <v>0.21099999999999999</v>
      </c>
      <c r="E380" s="9">
        <v>0.124</v>
      </c>
      <c r="F380" s="9">
        <v>14.221789225036282</v>
      </c>
      <c r="G380" s="9">
        <v>12346.393150101923</v>
      </c>
      <c r="H380" s="9">
        <v>56798.080374956626</v>
      </c>
      <c r="I380" s="9">
        <v>1750.0867265096397</v>
      </c>
      <c r="J380" s="20">
        <v>71.37</v>
      </c>
      <c r="K380" s="9">
        <v>71.849999999999994</v>
      </c>
      <c r="L380" s="31">
        <f>Table1[[#This Row],[TN550 I (O2)]]/(Table1[[#This Row],[Flowmeter A]]+Table1[[#This Row],[Flowmeter B]])</f>
        <v>2.2139786720071167E-2</v>
      </c>
      <c r="M380" s="33">
        <f>Table1[[#This Row],[TN120 Venting2]]/100</f>
        <v>0</v>
      </c>
      <c r="N380" s="31">
        <f>Table1[[#This Row],[TN550 I Venting2]]/100</f>
        <v>0</v>
      </c>
      <c r="O380" s="31">
        <f>(Table1[[#This Row],[TN550 I (O2)]]-Table1[[#This Row],[O2]])/Table1[[#This Row],[TN550 I (O2)]]</f>
        <v>0.24272252221210899</v>
      </c>
      <c r="P380" s="9">
        <f>Table1[[#This Row],[M-N2]]+Table1[[#This Row],[TEN-N2]]</f>
        <v>66239.841307577197</v>
      </c>
      <c r="Q380" s="9">
        <v>1325.3012621612866</v>
      </c>
      <c r="R380" s="9">
        <f>SUM(Table1[[#This Row],[TEN-CDA]:[TEN-CDA WWT]])</f>
        <v>99853.715335714151</v>
      </c>
      <c r="S380" s="9">
        <v>441.51517884190258</v>
      </c>
      <c r="T380" s="9">
        <v>218.37212910278237</v>
      </c>
      <c r="U380" s="9">
        <v>34.212807644083632</v>
      </c>
      <c r="V380" s="42">
        <v>0</v>
      </c>
      <c r="W380" s="9">
        <v>0</v>
      </c>
      <c r="X380" s="9">
        <v>77146.824817834844</v>
      </c>
      <c r="Y380" s="9">
        <v>1900.3109399397119</v>
      </c>
      <c r="Z380" s="1">
        <v>64037.450200056381</v>
      </c>
      <c r="AA380" s="1">
        <v>2202.3911075208189</v>
      </c>
      <c r="AB380" s="1">
        <v>36108.819686307244</v>
      </c>
      <c r="AC380" s="1">
        <v>53752.230745250694</v>
      </c>
      <c r="AD380" s="1">
        <v>7234.8235234320782</v>
      </c>
      <c r="AE380" s="1">
        <v>2725.4304941297819</v>
      </c>
      <c r="AF380" s="1">
        <v>32.410886594359965</v>
      </c>
      <c r="AG380" s="1"/>
      <c r="AH380" s="1"/>
      <c r="AI380" s="1"/>
      <c r="AJ380" s="1"/>
      <c r="AK380" s="1"/>
      <c r="AL380" s="1"/>
      <c r="AM380" s="1"/>
      <c r="AN380" s="1"/>
      <c r="AO380" s="1"/>
      <c r="AP380" s="1"/>
      <c r="AQ380" s="1"/>
    </row>
    <row r="381" spans="1:43" x14ac:dyDescent="0.3">
      <c r="A381" s="9">
        <f t="shared" si="26"/>
        <v>2021</v>
      </c>
      <c r="B381" s="9">
        <f t="shared" si="27"/>
        <v>1</v>
      </c>
      <c r="C381" s="10">
        <v>44206</v>
      </c>
      <c r="D381" s="9">
        <v>0.21299999999999999</v>
      </c>
      <c r="E381" s="9">
        <v>0.13200000000000001</v>
      </c>
      <c r="F381" s="9">
        <v>15.167929646043955</v>
      </c>
      <c r="G381" s="9">
        <v>12339.852291025112</v>
      </c>
      <c r="H381" s="9">
        <v>56800.688624978313</v>
      </c>
      <c r="I381" s="9">
        <v>1750.0712988044056</v>
      </c>
      <c r="J381" s="20">
        <v>71.33</v>
      </c>
      <c r="K381" s="9">
        <v>71.81</v>
      </c>
      <c r="L381" s="31">
        <f>Table1[[#This Row],[TN550 I (O2)]]/(Table1[[#This Row],[Flowmeter A]]+Table1[[#This Row],[Flowmeter B]])</f>
        <v>2.2126655791725687E-2</v>
      </c>
      <c r="M381" s="33">
        <f>Table1[[#This Row],[TN120 Venting2]]/100</f>
        <v>0</v>
      </c>
      <c r="N381" s="31">
        <f>Table1[[#This Row],[TN550 I Venting2]]/100</f>
        <v>0</v>
      </c>
      <c r="O381" s="31">
        <f>(Table1[[#This Row],[TN550 I (O2)]]-Table1[[#This Row],[O2]])/Table1[[#This Row],[TN550 I (O2)]]</f>
        <v>0.24227191004987353</v>
      </c>
      <c r="P381" s="9">
        <f>Table1[[#This Row],[M-N2]]+Table1[[#This Row],[TEN-N2]]</f>
        <v>66244.23471698325</v>
      </c>
      <c r="Q381" s="9">
        <v>1326.0781825195993</v>
      </c>
      <c r="R381" s="9">
        <f>SUM(Table1[[#This Row],[TEN-CDA]:[TEN-CDA WWT]])</f>
        <v>99746.624798564473</v>
      </c>
      <c r="S381" s="9">
        <v>440.92966769851802</v>
      </c>
      <c r="T381" s="9">
        <v>227.58880835486153</v>
      </c>
      <c r="U381" s="9">
        <v>33.292593691929774</v>
      </c>
      <c r="V381" s="42">
        <v>0</v>
      </c>
      <c r="W381" s="9">
        <v>0</v>
      </c>
      <c r="X381" s="9">
        <v>77193.254570393823</v>
      </c>
      <c r="Y381" s="9">
        <v>1900.0939806713816</v>
      </c>
      <c r="Z381" s="1">
        <v>64083.633354658225</v>
      </c>
      <c r="AA381" s="1">
        <v>2160.6013623250183</v>
      </c>
      <c r="AB381" s="1">
        <v>36063.42896100798</v>
      </c>
      <c r="AC381" s="1">
        <v>53720.871722653537</v>
      </c>
      <c r="AD381" s="1">
        <v>7229.5318772092942</v>
      </c>
      <c r="AE381" s="1">
        <v>2711.921129193594</v>
      </c>
      <c r="AF381" s="1">
        <v>20.871108500086581</v>
      </c>
      <c r="AG381" s="1"/>
      <c r="AH381" s="1"/>
      <c r="AI381" s="1"/>
      <c r="AJ381" s="1"/>
      <c r="AK381" s="1"/>
      <c r="AL381" s="1"/>
      <c r="AM381" s="1"/>
      <c r="AN381" s="1"/>
      <c r="AO381" s="1"/>
      <c r="AP381" s="1"/>
      <c r="AQ381" s="1"/>
    </row>
    <row r="382" spans="1:43" x14ac:dyDescent="0.3">
      <c r="A382" s="9">
        <f t="shared" si="26"/>
        <v>2021</v>
      </c>
      <c r="B382" s="9">
        <f t="shared" si="27"/>
        <v>1</v>
      </c>
      <c r="C382" s="10">
        <v>44207</v>
      </c>
      <c r="D382" s="9">
        <v>0.216</v>
      </c>
      <c r="E382" s="9">
        <v>0.13200000000000001</v>
      </c>
      <c r="F382" s="9">
        <v>14.500132939287724</v>
      </c>
      <c r="G382" s="9">
        <v>12345.014615908009</v>
      </c>
      <c r="H382" s="9">
        <v>56777.861193940837</v>
      </c>
      <c r="I382" s="9">
        <v>1749.9537382317781</v>
      </c>
      <c r="J382" s="20">
        <v>71.349999999999994</v>
      </c>
      <c r="K382" s="9">
        <v>71.819999999999993</v>
      </c>
      <c r="L382" s="31">
        <f>Table1[[#This Row],[TN550 I (O2)]]/(Table1[[#This Row],[Flowmeter A]]+Table1[[#This Row],[Flowmeter B]])</f>
        <v>2.2135688873015449E-2</v>
      </c>
      <c r="M382" s="33">
        <f>Table1[[#This Row],[TN120 Venting2]]/100</f>
        <v>0</v>
      </c>
      <c r="N382" s="31">
        <f>Table1[[#This Row],[TN550 I Venting2]]/100</f>
        <v>3.3E-3</v>
      </c>
      <c r="O382" s="31">
        <f>(Table1[[#This Row],[TN550 I (O2)]]-Table1[[#This Row],[O2]])/Table1[[#This Row],[TN550 I (O2)]]</f>
        <v>0.2441102973880151</v>
      </c>
      <c r="P382" s="9">
        <f>Table1[[#This Row],[M-N2]]+Table1[[#This Row],[TEN-N2]]</f>
        <v>66126.556862486308</v>
      </c>
      <c r="Q382" s="9">
        <v>1322.77201077675</v>
      </c>
      <c r="R382" s="9">
        <f>SUM(Table1[[#This Row],[TEN-CDA]:[TEN-CDA WWT]])</f>
        <v>99923.326004066534</v>
      </c>
      <c r="S382" s="9">
        <v>437.59780106554422</v>
      </c>
      <c r="T382" s="9">
        <v>211.67597042298169</v>
      </c>
      <c r="U382" s="9">
        <v>34.043052551566021</v>
      </c>
      <c r="V382" s="42">
        <v>0</v>
      </c>
      <c r="W382" s="9">
        <v>0.33</v>
      </c>
      <c r="X382" s="9">
        <v>77155.96025438064</v>
      </c>
      <c r="Y382" s="9">
        <v>1899.80115745698</v>
      </c>
      <c r="Z382" s="1">
        <v>63913.550580651456</v>
      </c>
      <c r="AA382" s="1">
        <v>2213.0062818348533</v>
      </c>
      <c r="AB382" s="1">
        <v>36235.545590085014</v>
      </c>
      <c r="AC382" s="1">
        <v>53614.169131679395</v>
      </c>
      <c r="AD382" s="1">
        <v>7371.0306800561684</v>
      </c>
      <c r="AE382" s="1">
        <v>2680.7796719807207</v>
      </c>
      <c r="AF382" s="1">
        <v>21.800930265235113</v>
      </c>
      <c r="AG382" s="1"/>
      <c r="AH382" s="1"/>
      <c r="AI382" s="1"/>
      <c r="AJ382" s="1"/>
      <c r="AK382" s="1"/>
      <c r="AL382" s="1"/>
      <c r="AM382" s="1"/>
      <c r="AN382" s="1"/>
      <c r="AO382" s="1"/>
      <c r="AP382" s="1"/>
      <c r="AQ382" s="1"/>
    </row>
    <row r="383" spans="1:43" x14ac:dyDescent="0.3">
      <c r="A383" s="9">
        <f t="shared" si="26"/>
        <v>2021</v>
      </c>
      <c r="B383" s="9">
        <f t="shared" si="27"/>
        <v>1</v>
      </c>
      <c r="C383" s="10">
        <v>44208</v>
      </c>
      <c r="D383" s="9">
        <v>0.214</v>
      </c>
      <c r="E383" s="9">
        <v>0.14199999999999999</v>
      </c>
      <c r="F383" s="9">
        <v>13.222168034931425</v>
      </c>
      <c r="G383" s="9">
        <v>12392.042799325554</v>
      </c>
      <c r="H383" s="9">
        <v>57047.066265288864</v>
      </c>
      <c r="I383" s="9">
        <v>1805.3696436461769</v>
      </c>
      <c r="J383" s="20">
        <v>71.63</v>
      </c>
      <c r="K383" s="9">
        <v>71.81</v>
      </c>
      <c r="L383" s="31">
        <f>Table1[[#This Row],[TN550 I (O2)]]/(Table1[[#This Row],[Flowmeter A]]+Table1[[#This Row],[Flowmeter B]])</f>
        <v>2.2727257618861314E-2</v>
      </c>
      <c r="M383" s="33">
        <f>Table1[[#This Row],[TN120 Venting2]]/100</f>
        <v>0</v>
      </c>
      <c r="N383" s="31">
        <f>Table1[[#This Row],[TN550 I Venting2]]/100</f>
        <v>0</v>
      </c>
      <c r="O383" s="31">
        <f>(Table1[[#This Row],[TN550 I (O2)]]-Table1[[#This Row],[O2]])/Table1[[#This Row],[TN550 I (O2)]]</f>
        <v>0.26929448490404373</v>
      </c>
      <c r="P383" s="9">
        <f>Table1[[#This Row],[M-N2]]+Table1[[#This Row],[TEN-N2]]</f>
        <v>65886.829377554925</v>
      </c>
      <c r="Q383" s="9">
        <v>1319.1935553990827</v>
      </c>
      <c r="R383" s="9">
        <f>SUM(Table1[[#This Row],[TEN-CDA]:[TEN-CDA WWT]])</f>
        <v>99243.757829447946</v>
      </c>
      <c r="S383" s="9">
        <v>435.59469894631553</v>
      </c>
      <c r="T383" s="9">
        <v>204.22090765207199</v>
      </c>
      <c r="U383" s="9">
        <v>34.404214228961635</v>
      </c>
      <c r="V383" s="42">
        <v>0</v>
      </c>
      <c r="W383" s="9">
        <v>0</v>
      </c>
      <c r="X383" s="9">
        <v>77524.806698907007</v>
      </c>
      <c r="Y383" s="9">
        <v>1911.5104284134279</v>
      </c>
      <c r="Z383" s="1">
        <v>63670.768254467381</v>
      </c>
      <c r="AA383" s="1">
        <v>2216.061123087537</v>
      </c>
      <c r="AB383" s="1">
        <v>36062.266573776891</v>
      </c>
      <c r="AC383" s="1">
        <v>53207.079127992714</v>
      </c>
      <c r="AD383" s="1">
        <v>7293.8585512583486</v>
      </c>
      <c r="AE383" s="1">
        <v>2664.6700547037649</v>
      </c>
      <c r="AF383" s="1">
        <v>15.883521716227389</v>
      </c>
      <c r="AG383" s="1"/>
      <c r="AH383" s="1"/>
      <c r="AI383" s="1"/>
      <c r="AJ383" s="1"/>
      <c r="AK383" s="1"/>
      <c r="AL383" s="1"/>
      <c r="AM383" s="1"/>
      <c r="AN383" s="1"/>
      <c r="AO383" s="1"/>
      <c r="AP383" s="1"/>
      <c r="AQ383" s="1"/>
    </row>
    <row r="384" spans="1:43" x14ac:dyDescent="0.3">
      <c r="A384" s="9">
        <f t="shared" si="26"/>
        <v>2021</v>
      </c>
      <c r="B384" s="9">
        <f t="shared" si="27"/>
        <v>1</v>
      </c>
      <c r="C384" s="10">
        <v>44209</v>
      </c>
      <c r="D384" s="9">
        <v>0.21299999999999999</v>
      </c>
      <c r="E384" s="9">
        <v>0.13500000000000001</v>
      </c>
      <c r="F384" s="9">
        <v>14.363689089053048</v>
      </c>
      <c r="G384" s="9">
        <v>12431.295018785782</v>
      </c>
      <c r="H384" s="9">
        <v>57446.909489395395</v>
      </c>
      <c r="I384" s="9">
        <v>1899.9891554801352</v>
      </c>
      <c r="J384" s="20">
        <v>71.86</v>
      </c>
      <c r="K384" s="9">
        <v>71.900000000000006</v>
      </c>
      <c r="L384" s="31">
        <f>Table1[[#This Row],[TN550 I (O2)]]/(Table1[[#This Row],[Flowmeter A]]+Table1[[#This Row],[Flowmeter B]])</f>
        <v>2.3780837212561703E-2</v>
      </c>
      <c r="M384" s="33">
        <f>Table1[[#This Row],[TN120 Venting2]]/100</f>
        <v>0</v>
      </c>
      <c r="N384" s="31">
        <f>Table1[[#This Row],[TN550 I Venting2]]/100</f>
        <v>0</v>
      </c>
      <c r="O384" s="31">
        <f>(Table1[[#This Row],[TN550 I (O2)]]-Table1[[#This Row],[O2]])/Table1[[#This Row],[TN550 I (O2)]]</f>
        <v>0.30688034599193004</v>
      </c>
      <c r="P384" s="9">
        <f>Table1[[#This Row],[M-N2]]+Table1[[#This Row],[TEN-N2]]</f>
        <v>65438.518405763411</v>
      </c>
      <c r="Q384" s="9">
        <v>1316.9198260654764</v>
      </c>
      <c r="R384" s="9">
        <f>SUM(Table1[[#This Row],[TEN-CDA]:[TEN-CDA WWT]])</f>
        <v>99404.49352863642</v>
      </c>
      <c r="S384" s="9">
        <v>438.50105180813154</v>
      </c>
      <c r="T384" s="9">
        <v>210.04742450700871</v>
      </c>
      <c r="U384" s="9">
        <v>34.888047429441492</v>
      </c>
      <c r="V384" s="42">
        <v>0</v>
      </c>
      <c r="W384" s="9">
        <v>0</v>
      </c>
      <c r="X384" s="9">
        <v>77945.58124783136</v>
      </c>
      <c r="Y384" s="9">
        <v>1950.2247112838036</v>
      </c>
      <c r="Z384" s="1">
        <v>63191.366837807946</v>
      </c>
      <c r="AA384" s="1">
        <v>2247.1515679554673</v>
      </c>
      <c r="AB384" s="1">
        <v>36510.038178782095</v>
      </c>
      <c r="AC384" s="1">
        <v>52879.838271491149</v>
      </c>
      <c r="AD384" s="1">
        <v>7355.024715638011</v>
      </c>
      <c r="AE384" s="1">
        <v>2637.7219207784851</v>
      </c>
      <c r="AF384" s="1">
        <v>21.870441946690281</v>
      </c>
      <c r="AG384" s="1"/>
      <c r="AH384" s="1"/>
      <c r="AI384" s="1"/>
      <c r="AJ384" s="1"/>
      <c r="AK384" s="1"/>
      <c r="AL384" s="1"/>
      <c r="AM384" s="1"/>
      <c r="AN384" s="1"/>
      <c r="AO384" s="1"/>
      <c r="AP384" s="1"/>
      <c r="AQ384" s="1"/>
    </row>
    <row r="385" spans="1:43" x14ac:dyDescent="0.3">
      <c r="A385" s="9">
        <f t="shared" si="26"/>
        <v>2021</v>
      </c>
      <c r="B385" s="9">
        <f t="shared" si="27"/>
        <v>1</v>
      </c>
      <c r="C385" s="10">
        <v>44210</v>
      </c>
      <c r="D385" s="9">
        <v>0.21299999999999999</v>
      </c>
      <c r="E385" s="9">
        <v>0.13700000000000001</v>
      </c>
      <c r="F385" s="9">
        <v>13.33244041400515</v>
      </c>
      <c r="G385" s="9">
        <v>12751.931455613509</v>
      </c>
      <c r="H385" s="9">
        <v>57344.139876821653</v>
      </c>
      <c r="I385" s="9">
        <v>1899.9691351017632</v>
      </c>
      <c r="J385" s="20">
        <v>72.55</v>
      </c>
      <c r="K385" s="9">
        <v>72</v>
      </c>
      <c r="L385" s="31">
        <f>Table1[[#This Row],[TN550 I (O2)]]/(Table1[[#This Row],[Flowmeter A]]+Table1[[#This Row],[Flowmeter B]])</f>
        <v>2.3854978742447564E-2</v>
      </c>
      <c r="M385" s="33">
        <f>Table1[[#This Row],[TN120 Venting2]]/100</f>
        <v>0</v>
      </c>
      <c r="N385" s="31">
        <f>Table1[[#This Row],[TN550 I Venting2]]/100</f>
        <v>0</v>
      </c>
      <c r="O385" s="31">
        <f>(Table1[[#This Row],[TN550 I (O2)]]-Table1[[#This Row],[O2]])/Table1[[#This Row],[TN550 I (O2)]]</f>
        <v>0.30922683274075097</v>
      </c>
      <c r="P385" s="9">
        <f>Table1[[#This Row],[M-N2]]+Table1[[#This Row],[TEN-N2]]</f>
        <v>65901.567106227099</v>
      </c>
      <c r="Q385" s="9">
        <v>1312.447697149061</v>
      </c>
      <c r="R385" s="9">
        <f>SUM(Table1[[#This Row],[TEN-CDA]:[TEN-CDA WWT]])</f>
        <v>99063.289849369816</v>
      </c>
      <c r="S385" s="9">
        <v>437.57052542417102</v>
      </c>
      <c r="T385" s="9">
        <v>208.32908414354927</v>
      </c>
      <c r="U385" s="9">
        <v>34.217955764675203</v>
      </c>
      <c r="V385" s="42">
        <v>0</v>
      </c>
      <c r="W385" s="9">
        <v>0</v>
      </c>
      <c r="X385" s="9">
        <v>77697.029574731088</v>
      </c>
      <c r="Y385" s="9">
        <v>1949.6201085468531</v>
      </c>
      <c r="Z385" s="1">
        <v>63624.606802459231</v>
      </c>
      <c r="AA385" s="1">
        <v>2276.9603037678639</v>
      </c>
      <c r="AB385" s="1">
        <v>36124.874108149721</v>
      </c>
      <c r="AC385" s="1">
        <v>52998.226166724497</v>
      </c>
      <c r="AD385" s="1">
        <v>7293.9837491461012</v>
      </c>
      <c r="AE385" s="1">
        <v>2622.6490126959902</v>
      </c>
      <c r="AF385" s="1">
        <v>23.556812653512583</v>
      </c>
      <c r="AG385" s="1"/>
      <c r="AH385" s="1"/>
      <c r="AI385" s="1"/>
      <c r="AJ385" s="1"/>
      <c r="AK385" s="1"/>
      <c r="AL385" s="1"/>
      <c r="AM385" s="1"/>
      <c r="AN385" s="1"/>
      <c r="AO385" s="1"/>
      <c r="AP385" s="1"/>
      <c r="AQ385" s="1"/>
    </row>
    <row r="386" spans="1:43" x14ac:dyDescent="0.3">
      <c r="A386" s="9">
        <f t="shared" si="26"/>
        <v>2021</v>
      </c>
      <c r="B386" s="9">
        <f t="shared" si="27"/>
        <v>1</v>
      </c>
      <c r="C386" s="10">
        <v>44211</v>
      </c>
      <c r="D386" s="9">
        <v>0.21</v>
      </c>
      <c r="E386" s="9">
        <v>0.123</v>
      </c>
      <c r="F386" s="9">
        <v>13.237997197343772</v>
      </c>
      <c r="G386" s="9">
        <v>12963.124858361163</v>
      </c>
      <c r="H386" s="9">
        <v>57501.353053435123</v>
      </c>
      <c r="I386" s="9">
        <v>1900.013214767848</v>
      </c>
      <c r="J386" s="20">
        <v>72.84</v>
      </c>
      <c r="K386" s="9">
        <v>72.099999999999994</v>
      </c>
      <c r="L386" s="31">
        <f>Table1[[#This Row],[TN550 I (O2)]]/(Table1[[#This Row],[Flowmeter A]]+Table1[[#This Row],[Flowmeter B]])</f>
        <v>2.3823899079938399E-2</v>
      </c>
      <c r="M386" s="33">
        <f>Table1[[#This Row],[TN120 Venting2]]/100</f>
        <v>0</v>
      </c>
      <c r="N386" s="31">
        <f>Table1[[#This Row],[TN550 I Venting2]]/100</f>
        <v>0</v>
      </c>
      <c r="O386" s="31">
        <f>(Table1[[#This Row],[TN550 I (O2)]]-Table1[[#This Row],[O2]])/Table1[[#This Row],[TN550 I (O2)]]</f>
        <v>0.31164907709469286</v>
      </c>
      <c r="P386" s="9">
        <f>Table1[[#This Row],[M-N2]]+Table1[[#This Row],[TEN-N2]]</f>
        <v>66024.031689995289</v>
      </c>
      <c r="Q386" s="9">
        <v>1307.8758499177277</v>
      </c>
      <c r="R386" s="9">
        <f>SUM(Table1[[#This Row],[TEN-CDA]:[TEN-CDA WWT]])</f>
        <v>99254.830481098092</v>
      </c>
      <c r="S386" s="9">
        <v>439.01628999094589</v>
      </c>
      <c r="T386" s="9">
        <v>214.89659992247135</v>
      </c>
      <c r="U386" s="9">
        <v>34.033328508354572</v>
      </c>
      <c r="V386" s="42">
        <v>0</v>
      </c>
      <c r="W386" s="9">
        <v>0</v>
      </c>
      <c r="X386" s="9">
        <v>77802.553462222422</v>
      </c>
      <c r="Y386" s="9">
        <v>1949.8501385722536</v>
      </c>
      <c r="Z386" s="1">
        <v>63720.553058314537</v>
      </c>
      <c r="AA386" s="1">
        <v>2303.4786316807449</v>
      </c>
      <c r="AB386" s="1">
        <v>36387.945415510061</v>
      </c>
      <c r="AC386" s="1">
        <v>52851.645745684422</v>
      </c>
      <c r="AD386" s="1">
        <v>7369.4039587038078</v>
      </c>
      <c r="AE386" s="1">
        <v>2620.0357056934745</v>
      </c>
      <c r="AF386" s="1">
        <v>25.79965550631885</v>
      </c>
      <c r="AG386" s="1"/>
      <c r="AH386" s="1"/>
      <c r="AI386" s="1"/>
      <c r="AJ386" s="1"/>
      <c r="AK386" s="1"/>
      <c r="AL386" s="1"/>
      <c r="AM386" s="1"/>
      <c r="AN386" s="1"/>
      <c r="AO386" s="1"/>
      <c r="AP386" s="1"/>
      <c r="AQ386" s="1"/>
    </row>
    <row r="387" spans="1:43" x14ac:dyDescent="0.3">
      <c r="A387" s="9">
        <f t="shared" si="26"/>
        <v>2021</v>
      </c>
      <c r="B387" s="9">
        <f t="shared" si="27"/>
        <v>1</v>
      </c>
      <c r="C387" s="10">
        <v>44212</v>
      </c>
      <c r="D387" s="9">
        <v>0.20599999999999999</v>
      </c>
      <c r="E387" s="9">
        <v>0.13200000000000001</v>
      </c>
      <c r="F387" s="9">
        <v>12.9931532365427</v>
      </c>
      <c r="G387" s="9">
        <v>12927.870186990373</v>
      </c>
      <c r="H387" s="9">
        <v>57485.932292570265</v>
      </c>
      <c r="I387" s="9">
        <v>1900.1097910217245</v>
      </c>
      <c r="J387" s="20">
        <v>72.63</v>
      </c>
      <c r="K387" s="9">
        <v>72.069999999999993</v>
      </c>
      <c r="L387" s="31">
        <f>Table1[[#This Row],[TN550 I (O2)]]/(Table1[[#This Row],[Flowmeter A]]+Table1[[#This Row],[Flowmeter B]])</f>
        <v>2.3821993613210354E-2</v>
      </c>
      <c r="M387" s="33">
        <f>Table1[[#This Row],[TN120 Venting2]]/100</f>
        <v>0</v>
      </c>
      <c r="N387" s="31">
        <f>Table1[[#This Row],[TN550 I Venting2]]/100</f>
        <v>0</v>
      </c>
      <c r="O387" s="31">
        <f>(Table1[[#This Row],[TN550 I (O2)]]-Table1[[#This Row],[O2]])/Table1[[#This Row],[TN550 I (O2)]]</f>
        <v>0.30530239408814491</v>
      </c>
      <c r="P387" s="9">
        <f>Table1[[#This Row],[M-N2]]+Table1[[#This Row],[TEN-N2]]</f>
        <v>66517.995887899306</v>
      </c>
      <c r="Q387" s="9">
        <v>1320.0017227924673</v>
      </c>
      <c r="R387" s="9">
        <f>SUM(Table1[[#This Row],[TEN-CDA]:[TEN-CDA WWT]])</f>
        <v>98987.399044337348</v>
      </c>
      <c r="S387" s="9">
        <v>437.49335307664626</v>
      </c>
      <c r="T387" s="9">
        <v>215.37286956172943</v>
      </c>
      <c r="U387" s="9">
        <v>34.150267010013067</v>
      </c>
      <c r="V387" s="42">
        <v>0</v>
      </c>
      <c r="W387" s="9">
        <v>0</v>
      </c>
      <c r="X387" s="9">
        <v>77812.197307642258</v>
      </c>
      <c r="Y387" s="9">
        <v>1950.6395847339088</v>
      </c>
      <c r="Z387" s="1">
        <v>64148.151145580327</v>
      </c>
      <c r="AA387" s="1">
        <v>2369.8447423189732</v>
      </c>
      <c r="AB387" s="1">
        <v>35895.282990327898</v>
      </c>
      <c r="AC387" s="1">
        <v>53017.654081367109</v>
      </c>
      <c r="AD387" s="1">
        <v>7365.4474652069948</v>
      </c>
      <c r="AE387" s="1">
        <v>2675.2688803212832</v>
      </c>
      <c r="AF387" s="1">
        <v>33.745627114061968</v>
      </c>
      <c r="AG387" s="1"/>
      <c r="AH387" s="1"/>
      <c r="AI387" s="1"/>
      <c r="AJ387" s="1"/>
      <c r="AK387" s="1"/>
      <c r="AL387" s="1"/>
      <c r="AM387" s="1"/>
      <c r="AN387" s="1"/>
      <c r="AO387" s="1"/>
      <c r="AP387" s="1"/>
      <c r="AQ387" s="1"/>
    </row>
    <row r="388" spans="1:43" x14ac:dyDescent="0.3">
      <c r="A388" s="9">
        <f t="shared" si="26"/>
        <v>2021</v>
      </c>
      <c r="B388" s="9">
        <f t="shared" si="27"/>
        <v>1</v>
      </c>
      <c r="C388" s="10">
        <v>44213</v>
      </c>
      <c r="D388" s="9">
        <v>0.20899999999999999</v>
      </c>
      <c r="E388" s="9">
        <v>0.13300000000000001</v>
      </c>
      <c r="F388" s="9">
        <v>12.992537732756359</v>
      </c>
      <c r="G388" s="9">
        <v>12925.533013369624</v>
      </c>
      <c r="H388" s="9">
        <v>57494.009682945871</v>
      </c>
      <c r="I388" s="9">
        <v>1900.080363096916</v>
      </c>
      <c r="J388" s="20">
        <v>72.61</v>
      </c>
      <c r="K388" s="9">
        <v>72.09</v>
      </c>
      <c r="L388" s="31">
        <f>Table1[[#This Row],[TN550 I (O2)]]/(Table1[[#This Row],[Flowmeter A]]+Table1[[#This Row],[Flowmeter B]])</f>
        <v>2.3825617743235383E-2</v>
      </c>
      <c r="M388" s="33">
        <f>Table1[[#This Row],[TN120 Venting2]]/100</f>
        <v>0</v>
      </c>
      <c r="N388" s="31">
        <f>Table1[[#This Row],[TN550 I Venting2]]/100</f>
        <v>0</v>
      </c>
      <c r="O388" s="31">
        <f>(Table1[[#This Row],[TN550 I (O2)]]-Table1[[#This Row],[O2]])/Table1[[#This Row],[TN550 I (O2)]]</f>
        <v>0.30580693306028067</v>
      </c>
      <c r="P388" s="9">
        <f>Table1[[#This Row],[M-N2]]+Table1[[#This Row],[TEN-N2]]</f>
        <v>66394.623436720649</v>
      </c>
      <c r="Q388" s="9">
        <v>1319.0226146901837</v>
      </c>
      <c r="R388" s="9">
        <f>SUM(Table1[[#This Row],[TEN-CDA]:[TEN-CDA WWT]])</f>
        <v>99136.311885079558</v>
      </c>
      <c r="S388" s="9">
        <v>432.02916586754799</v>
      </c>
      <c r="T388" s="9">
        <v>212.53832807679871</v>
      </c>
      <c r="U388" s="9">
        <v>34.31718912197433</v>
      </c>
      <c r="V388" s="42">
        <v>0</v>
      </c>
      <c r="W388" s="9">
        <v>0</v>
      </c>
      <c r="X388" s="9">
        <v>77799.408884888966</v>
      </c>
      <c r="Y388" s="9">
        <v>1950.0600931563367</v>
      </c>
      <c r="Z388" s="1">
        <v>64024.272518541809</v>
      </c>
      <c r="AA388" s="1">
        <v>2370.3509181788363</v>
      </c>
      <c r="AB388" s="1">
        <v>36034.05434594032</v>
      </c>
      <c r="AC388" s="1">
        <v>53091.218850299272</v>
      </c>
      <c r="AD388" s="1">
        <v>7309.9079821955229</v>
      </c>
      <c r="AE388" s="1">
        <v>2676.8411069786607</v>
      </c>
      <c r="AF388" s="1">
        <v>24.289599665776052</v>
      </c>
      <c r="AG388" s="1"/>
      <c r="AH388" s="1"/>
      <c r="AI388" s="1"/>
      <c r="AJ388" s="1"/>
      <c r="AK388" s="1"/>
      <c r="AL388" s="1"/>
      <c r="AM388" s="1"/>
      <c r="AN388" s="1"/>
      <c r="AO388" s="1"/>
      <c r="AP388" s="1"/>
      <c r="AQ388" s="1"/>
    </row>
    <row r="389" spans="1:43" x14ac:dyDescent="0.3">
      <c r="A389" s="9">
        <f t="shared" si="26"/>
        <v>2021</v>
      </c>
      <c r="B389" s="9">
        <f t="shared" si="27"/>
        <v>1</v>
      </c>
      <c r="C389" s="10">
        <v>44214</v>
      </c>
      <c r="D389" s="9">
        <v>0.21199999999999999</v>
      </c>
      <c r="E389" s="9">
        <v>0.13400000000000001</v>
      </c>
      <c r="F389" s="9">
        <v>13.117191613837299</v>
      </c>
      <c r="G389" s="9">
        <v>12924.859479365456</v>
      </c>
      <c r="H389" s="9">
        <v>57501.843901804299</v>
      </c>
      <c r="I389" s="9">
        <v>1834.9301801862855</v>
      </c>
      <c r="J389" s="20">
        <v>72.680000000000007</v>
      </c>
      <c r="K389" s="9">
        <v>72.099999999999994</v>
      </c>
      <c r="L389" s="31">
        <f>Table1[[#This Row],[TN550 I (O2)]]/(Table1[[#This Row],[Flowmeter A]]+Table1[[#This Row],[Flowmeter B]])</f>
        <v>2.3006340723623994E-2</v>
      </c>
      <c r="M389" s="33">
        <f>Table1[[#This Row],[TN120 Venting2]]/100</f>
        <v>0</v>
      </c>
      <c r="N389" s="31">
        <f>Table1[[#This Row],[TN550 I Venting2]]/100</f>
        <v>0</v>
      </c>
      <c r="O389" s="31">
        <f>(Table1[[#This Row],[TN550 I (O2)]]-Table1[[#This Row],[O2]])/Table1[[#This Row],[TN550 I (O2)]]</f>
        <v>0.29881075894027764</v>
      </c>
      <c r="P389" s="9">
        <f>Table1[[#This Row],[M-N2]]+Table1[[#This Row],[TEN-N2]]</f>
        <v>65383.341208887461</v>
      </c>
      <c r="Q389" s="9">
        <v>1286.6333004424012</v>
      </c>
      <c r="R389" s="9">
        <f>SUM(Table1[[#This Row],[TEN-CDA]:[TEN-CDA WWT]])</f>
        <v>98628.740088568666</v>
      </c>
      <c r="S389" s="9">
        <v>430.30168830612155</v>
      </c>
      <c r="T389" s="9">
        <v>198.10407746822617</v>
      </c>
      <c r="U389" s="9">
        <v>34.151408079678113</v>
      </c>
      <c r="V389" s="42">
        <v>0</v>
      </c>
      <c r="W389" s="9">
        <v>0</v>
      </c>
      <c r="X389" s="9">
        <v>77840.596254770993</v>
      </c>
      <c r="Y389" s="9">
        <v>1916.9889357366303</v>
      </c>
      <c r="Z389" s="1">
        <v>63080.619467275326</v>
      </c>
      <c r="AA389" s="1">
        <v>2302.7217416121348</v>
      </c>
      <c r="AB389" s="1">
        <v>36284.905808141048</v>
      </c>
      <c r="AC389" s="1">
        <v>52454.098897792333</v>
      </c>
      <c r="AD389" s="1">
        <v>7256.3921908207203</v>
      </c>
      <c r="AE389" s="1">
        <v>2609.5921667285629</v>
      </c>
      <c r="AF389" s="1">
        <v>23.751025085996044</v>
      </c>
      <c r="AG389" s="1"/>
      <c r="AH389" s="1"/>
      <c r="AI389" s="1"/>
      <c r="AJ389" s="1"/>
      <c r="AK389" s="1"/>
      <c r="AL389" s="1"/>
      <c r="AM389" s="1"/>
      <c r="AN389" s="1"/>
      <c r="AO389" s="1"/>
      <c r="AP389" s="1"/>
      <c r="AQ389" s="1"/>
    </row>
    <row r="390" spans="1:43" x14ac:dyDescent="0.3">
      <c r="A390" s="9">
        <f t="shared" si="26"/>
        <v>2021</v>
      </c>
      <c r="B390" s="9">
        <f t="shared" si="27"/>
        <v>1</v>
      </c>
      <c r="C390" s="10">
        <v>44215</v>
      </c>
      <c r="D390" s="9">
        <v>0.216</v>
      </c>
      <c r="E390" s="9">
        <v>0.13200000000000001</v>
      </c>
      <c r="F390" s="9">
        <v>12.617754466991968</v>
      </c>
      <c r="G390" s="9">
        <v>12936.358323213046</v>
      </c>
      <c r="H390" s="9">
        <v>57492.147664924531</v>
      </c>
      <c r="I390" s="9">
        <v>1700.017704176787</v>
      </c>
      <c r="J390" s="20">
        <v>72.67</v>
      </c>
      <c r="K390" s="9">
        <v>72.08</v>
      </c>
      <c r="L390" s="31">
        <f>Table1[[#This Row],[TN550 I (O2)]]/(Table1[[#This Row],[Flowmeter A]]+Table1[[#This Row],[Flowmeter B]])</f>
        <v>2.131487213516008E-2</v>
      </c>
      <c r="M390" s="33">
        <f>Table1[[#This Row],[TN120 Venting2]]/100</f>
        <v>0</v>
      </c>
      <c r="N390" s="31">
        <f>Table1[[#This Row],[TN550 I Venting2]]/100</f>
        <v>0</v>
      </c>
      <c r="O390" s="31">
        <f>(Table1[[#This Row],[TN550 I (O2)]]-Table1[[#This Row],[O2]])/Table1[[#This Row],[TN550 I (O2)]]</f>
        <v>0.32228871268024767</v>
      </c>
      <c r="P390" s="9">
        <f>Table1[[#This Row],[M-N2]]+Table1[[#This Row],[TEN-N2]]</f>
        <v>64968.557962643943</v>
      </c>
      <c r="Q390" s="9">
        <v>1152.1211867640202</v>
      </c>
      <c r="R390" s="9">
        <f>SUM(Table1[[#This Row],[TEN-CDA]:[TEN-CDA WWT]])</f>
        <v>93996.076104372492</v>
      </c>
      <c r="S390" s="9">
        <v>477.17995857911166</v>
      </c>
      <c r="T390" s="9">
        <v>124.00632952253989</v>
      </c>
      <c r="U390" s="9">
        <v>23.499300115891085</v>
      </c>
      <c r="V390" s="42">
        <v>0</v>
      </c>
      <c r="W390" s="9">
        <v>0</v>
      </c>
      <c r="X390" s="9">
        <v>77907.067243884449</v>
      </c>
      <c r="Y390" s="9">
        <v>1850.2821503215</v>
      </c>
      <c r="Z390" s="1">
        <v>62619.245928391741</v>
      </c>
      <c r="AA390" s="1">
        <v>2349.3120342522011</v>
      </c>
      <c r="AB390" s="1">
        <v>35747.537883305864</v>
      </c>
      <c r="AC390" s="1">
        <v>50317.340296452116</v>
      </c>
      <c r="AD390" s="1">
        <v>5274.0862234884626</v>
      </c>
      <c r="AE390" s="1">
        <v>2634.4170535191492</v>
      </c>
      <c r="AF390" s="1">
        <v>22.694647606903828</v>
      </c>
      <c r="AG390" s="1"/>
      <c r="AH390" s="1"/>
      <c r="AI390" s="1"/>
      <c r="AJ390" s="1"/>
      <c r="AK390" s="1"/>
      <c r="AL390" s="1"/>
      <c r="AM390" s="1"/>
      <c r="AN390" s="1"/>
      <c r="AO390" s="1"/>
      <c r="AP390" s="1"/>
      <c r="AQ390" s="1"/>
    </row>
    <row r="391" spans="1:43" x14ac:dyDescent="0.3">
      <c r="A391" s="9">
        <f t="shared" ref="A391:A406" si="28">YEAR(C391)</f>
        <v>2021</v>
      </c>
      <c r="B391" s="9">
        <f t="shared" ref="B391:B408" si="29">MONTH(C391)</f>
        <v>1</v>
      </c>
      <c r="C391" s="10">
        <v>44216</v>
      </c>
      <c r="D391" s="9">
        <v>0.21299999999999999</v>
      </c>
      <c r="E391" s="9">
        <v>0.13300000000000001</v>
      </c>
      <c r="F391" s="9">
        <v>13.181691638965065</v>
      </c>
      <c r="G391" s="9">
        <v>12924.384914040813</v>
      </c>
      <c r="H391" s="9">
        <v>57445.149576032272</v>
      </c>
      <c r="I391" s="9">
        <v>1700.1673090959241</v>
      </c>
      <c r="J391" s="20">
        <v>72.62</v>
      </c>
      <c r="K391" s="9">
        <v>72.02</v>
      </c>
      <c r="L391" s="31">
        <f>Table1[[#This Row],[TN550 I (O2)]]/(Table1[[#This Row],[Flowmeter A]]+Table1[[#This Row],[Flowmeter B]])</f>
        <v>2.1316022026605128E-2</v>
      </c>
      <c r="M391" s="33">
        <f>Table1[[#This Row],[TN120 Venting2]]/100</f>
        <v>0</v>
      </c>
      <c r="N391" s="31">
        <f>Table1[[#This Row],[TN550 I Venting2]]/100</f>
        <v>0</v>
      </c>
      <c r="O391" s="31">
        <f>(Table1[[#This Row],[TN550 I (O2)]]-Table1[[#This Row],[O2]])/Table1[[#This Row],[TN550 I (O2)]]</f>
        <v>0.26391159538835784</v>
      </c>
      <c r="P391" s="9">
        <f>Table1[[#This Row],[M-N2]]+Table1[[#This Row],[TEN-N2]]</f>
        <v>65989.912626966674</v>
      </c>
      <c r="Q391" s="9">
        <v>1251.4734421252874</v>
      </c>
      <c r="R391" s="9">
        <f>SUM(Table1[[#This Row],[TEN-CDA]:[TEN-CDA WWT]])</f>
        <v>98317.016983083391</v>
      </c>
      <c r="S391" s="9">
        <v>445.75065630794319</v>
      </c>
      <c r="T391" s="9">
        <v>194.39076408688015</v>
      </c>
      <c r="U391" s="9">
        <v>33.840200634651261</v>
      </c>
      <c r="V391" s="42">
        <v>0</v>
      </c>
      <c r="W391" s="9">
        <v>0</v>
      </c>
      <c r="X391" s="9">
        <v>77910.509748004857</v>
      </c>
      <c r="Y391" s="9">
        <v>1849.555566897581</v>
      </c>
      <c r="Z391" s="1">
        <v>63627.454231002775</v>
      </c>
      <c r="AA391" s="1">
        <v>2362.4583959639031</v>
      </c>
      <c r="AB391" s="1">
        <v>36182.356710292333</v>
      </c>
      <c r="AC391" s="1">
        <v>52359.468809637401</v>
      </c>
      <c r="AD391" s="1">
        <v>7138.3118738072517</v>
      </c>
      <c r="AE391" s="1">
        <v>2616.8536742062802</v>
      </c>
      <c r="AF391" s="1">
        <v>20.025915140124511</v>
      </c>
      <c r="AG391" s="1"/>
      <c r="AH391" s="1"/>
      <c r="AI391" s="1"/>
      <c r="AJ391" s="1"/>
      <c r="AK391" s="1"/>
      <c r="AL391" s="1"/>
      <c r="AM391" s="1"/>
      <c r="AN391" s="1"/>
      <c r="AO391" s="1"/>
      <c r="AP391" s="1"/>
      <c r="AQ391" s="1"/>
    </row>
    <row r="392" spans="1:43" x14ac:dyDescent="0.3">
      <c r="A392" s="9">
        <f t="shared" si="28"/>
        <v>2021</v>
      </c>
      <c r="B392" s="9">
        <f t="shared" si="29"/>
        <v>1</v>
      </c>
      <c r="C392" s="10">
        <v>44217</v>
      </c>
      <c r="D392" s="9">
        <v>0.21199999999999999</v>
      </c>
      <c r="E392" s="9">
        <v>0.13400000000000001</v>
      </c>
      <c r="F392" s="9">
        <v>13.99187008925894</v>
      </c>
      <c r="G392" s="9">
        <v>12919.344398556776</v>
      </c>
      <c r="H392" s="9">
        <v>57478.755570675741</v>
      </c>
      <c r="I392" s="9">
        <v>1668.3925698232022</v>
      </c>
      <c r="J392" s="20">
        <v>72.59</v>
      </c>
      <c r="K392" s="9">
        <v>72.14</v>
      </c>
      <c r="L392" s="31">
        <f>Table1[[#This Row],[TN550 I (O2)]]/(Table1[[#This Row],[Flowmeter A]]+Table1[[#This Row],[Flowmeter B]])</f>
        <v>2.0939951452486359E-2</v>
      </c>
      <c r="M392" s="33">
        <f>Table1[[#This Row],[TN120 Venting2]]/100</f>
        <v>0</v>
      </c>
      <c r="N392" s="31">
        <f>Table1[[#This Row],[TN550 I Venting2]]/100</f>
        <v>0</v>
      </c>
      <c r="O392" s="31">
        <f>(Table1[[#This Row],[TN550 I (O2)]]-Table1[[#This Row],[O2]])/Table1[[#This Row],[TN550 I (O2)]]</f>
        <v>0.22604285631926016</v>
      </c>
      <c r="P392" s="9">
        <f>Table1[[#This Row],[M-N2]]+Table1[[#This Row],[TEN-N2]]</f>
        <v>66175.322513238818</v>
      </c>
      <c r="Q392" s="9">
        <v>1291.2643478785349</v>
      </c>
      <c r="R392" s="9">
        <f>SUM(Table1[[#This Row],[TEN-CDA]:[TEN-CDA WWT]])</f>
        <v>99410.648169279171</v>
      </c>
      <c r="S392" s="9">
        <v>436.97726588676079</v>
      </c>
      <c r="T392" s="9">
        <v>200.73584051085876</v>
      </c>
      <c r="U392" s="9">
        <v>33.516310691171682</v>
      </c>
      <c r="V392" s="42">
        <v>0</v>
      </c>
      <c r="W392" s="9">
        <v>0</v>
      </c>
      <c r="X392" s="9">
        <v>77852.27145862249</v>
      </c>
      <c r="Y392" s="9">
        <v>1822.8210843977704</v>
      </c>
      <c r="Z392" s="1">
        <v>63813.458573690143</v>
      </c>
      <c r="AA392" s="1">
        <v>2361.8639395486803</v>
      </c>
      <c r="AB392" s="1">
        <v>36476.61466104268</v>
      </c>
      <c r="AC392" s="1">
        <v>52857.072147705585</v>
      </c>
      <c r="AD392" s="1">
        <v>7447.2498566669201</v>
      </c>
      <c r="AE392" s="1">
        <v>2611.7632620372679</v>
      </c>
      <c r="AF392" s="1">
        <v>17.948241826713002</v>
      </c>
      <c r="AG392" s="1"/>
      <c r="AH392" s="1"/>
      <c r="AI392" s="1"/>
      <c r="AJ392" s="1"/>
      <c r="AK392" s="1"/>
      <c r="AL392" s="1"/>
      <c r="AM392" s="1"/>
      <c r="AN392" s="1"/>
      <c r="AO392" s="1"/>
      <c r="AP392" s="1"/>
      <c r="AQ392" s="1"/>
    </row>
    <row r="393" spans="1:43" x14ac:dyDescent="0.3">
      <c r="A393" s="9">
        <f t="shared" si="28"/>
        <v>2021</v>
      </c>
      <c r="B393" s="9">
        <f t="shared" si="29"/>
        <v>1</v>
      </c>
      <c r="C393" s="10">
        <v>44218</v>
      </c>
      <c r="D393" s="9">
        <v>0.21199999999999999</v>
      </c>
      <c r="E393" s="9">
        <v>0.13500000000000001</v>
      </c>
      <c r="F393" s="9">
        <v>13.281581855836572</v>
      </c>
      <c r="G393" s="9">
        <v>12929.092559962701</v>
      </c>
      <c r="H393" s="9">
        <v>57479.87134506119</v>
      </c>
      <c r="I393" s="9">
        <v>1564.5771314500928</v>
      </c>
      <c r="J393" s="20">
        <v>72.64</v>
      </c>
      <c r="K393" s="9">
        <v>72.28</v>
      </c>
      <c r="L393" s="31">
        <f>Table1[[#This Row],[TN550 I (O2)]]/(Table1[[#This Row],[Flowmeter A]]+Table1[[#This Row],[Flowmeter B]])</f>
        <v>1.9673632979221506E-2</v>
      </c>
      <c r="M393" s="33">
        <f>Table1[[#This Row],[TN120 Venting2]]/100</f>
        <v>0</v>
      </c>
      <c r="N393" s="31">
        <f>Table1[[#This Row],[TN550 I Venting2]]/100</f>
        <v>0</v>
      </c>
      <c r="O393" s="31">
        <f>(Table1[[#This Row],[TN550 I (O2)]]-Table1[[#This Row],[O2]])/Table1[[#This Row],[TN550 I (O2)]]</f>
        <v>0.16358993888854639</v>
      </c>
      <c r="P393" s="9">
        <f>Table1[[#This Row],[M-N2]]+Table1[[#This Row],[TEN-N2]]</f>
        <v>66437.464524893192</v>
      </c>
      <c r="Q393" s="9">
        <v>1308.6280541297549</v>
      </c>
      <c r="R393" s="9">
        <f>SUM(Table1[[#This Row],[TEN-CDA]:[TEN-CDA WWT]])</f>
        <v>98616.832114603676</v>
      </c>
      <c r="S393" s="9">
        <v>436.97920723676185</v>
      </c>
      <c r="T393" s="9">
        <v>209.68025109041577</v>
      </c>
      <c r="U393" s="9">
        <v>32.897329612377199</v>
      </c>
      <c r="V393" s="42">
        <v>0</v>
      </c>
      <c r="W393" s="9">
        <v>0</v>
      </c>
      <c r="X393" s="9">
        <v>77777.266709462419</v>
      </c>
      <c r="Y393" s="9">
        <v>1749.3328312800479</v>
      </c>
      <c r="Z393" s="1">
        <v>64034.188820155272</v>
      </c>
      <c r="AA393" s="1">
        <v>2403.2757047379209</v>
      </c>
      <c r="AB393" s="1">
        <v>35739.649044717211</v>
      </c>
      <c r="AC393" s="1">
        <v>52823.289921820782</v>
      </c>
      <c r="AD393" s="1">
        <v>7399.8588043784684</v>
      </c>
      <c r="AE393" s="1">
        <v>2636.1731563570761</v>
      </c>
      <c r="AF393" s="1">
        <v>17.861187330132388</v>
      </c>
      <c r="AG393" s="1"/>
      <c r="AH393" s="1"/>
      <c r="AI393" s="1"/>
      <c r="AJ393" s="1"/>
      <c r="AK393" s="1"/>
      <c r="AL393" s="1"/>
      <c r="AM393" s="1"/>
      <c r="AN393" s="1"/>
      <c r="AO393" s="1"/>
      <c r="AP393" s="1"/>
      <c r="AQ393" s="1"/>
    </row>
    <row r="394" spans="1:43" x14ac:dyDescent="0.3">
      <c r="A394" s="9">
        <f t="shared" si="28"/>
        <v>2021</v>
      </c>
      <c r="B394" s="9">
        <f t="shared" si="29"/>
        <v>1</v>
      </c>
      <c r="C394" s="10">
        <v>44219</v>
      </c>
      <c r="D394" s="9">
        <v>0.214</v>
      </c>
      <c r="E394" s="9">
        <v>0.13300000000000001</v>
      </c>
      <c r="F394" s="9">
        <v>13.004362705265128</v>
      </c>
      <c r="G394" s="9">
        <v>12933.522206123134</v>
      </c>
      <c r="H394" s="9">
        <v>57496.914433878381</v>
      </c>
      <c r="I394" s="9">
        <v>1549.9826050228248</v>
      </c>
      <c r="J394" s="20">
        <v>72.67</v>
      </c>
      <c r="K394" s="9">
        <v>72.27</v>
      </c>
      <c r="L394" s="31">
        <f>Table1[[#This Row],[TN550 I (O2)]]/(Table1[[#This Row],[Flowmeter A]]+Table1[[#This Row],[Flowmeter B]])</f>
        <v>1.9482054210447599E-2</v>
      </c>
      <c r="M394" s="33">
        <f>Table1[[#This Row],[TN120 Venting2]]/100</f>
        <v>0</v>
      </c>
      <c r="N394" s="31">
        <f>Table1[[#This Row],[TN550 I Venting2]]/100</f>
        <v>0</v>
      </c>
      <c r="O394" s="31">
        <f>(Table1[[#This Row],[TN550 I (O2)]]-Table1[[#This Row],[O2]])/Table1[[#This Row],[TN550 I (O2)]]</f>
        <v>0.15287435186542872</v>
      </c>
      <c r="P394" s="9">
        <f>Table1[[#This Row],[M-N2]]+Table1[[#This Row],[TEN-N2]]</f>
        <v>66229.079775363527</v>
      </c>
      <c r="Q394" s="9">
        <v>1313.0300188772717</v>
      </c>
      <c r="R394" s="9">
        <f>SUM(Table1[[#This Row],[TEN-CDA]:[TEN-CDA WWT]])</f>
        <v>98652.161220033944</v>
      </c>
      <c r="S394" s="9">
        <v>426.59442303860715</v>
      </c>
      <c r="T394" s="9">
        <v>216.17747041171495</v>
      </c>
      <c r="U394" s="9">
        <v>33.560100522329208</v>
      </c>
      <c r="V394" s="42">
        <v>0</v>
      </c>
      <c r="W394" s="9">
        <v>0</v>
      </c>
      <c r="X394" s="9">
        <v>77809.674959880285</v>
      </c>
      <c r="Y394" s="9">
        <v>1749.8308437540661</v>
      </c>
      <c r="Z394" s="1">
        <v>63854.173262925055</v>
      </c>
      <c r="AA394" s="1">
        <v>2374.9065124384651</v>
      </c>
      <c r="AB394" s="1">
        <v>35607.410893585184</v>
      </c>
      <c r="AC394" s="1">
        <v>53023.824319049272</v>
      </c>
      <c r="AD394" s="1">
        <v>7331.7473925577933</v>
      </c>
      <c r="AE394" s="1">
        <v>2662.6474233252734</v>
      </c>
      <c r="AF394" s="1">
        <v>26.53119151641684</v>
      </c>
      <c r="AG394" s="1"/>
      <c r="AH394" s="1"/>
      <c r="AI394" s="1"/>
      <c r="AJ394" s="1"/>
      <c r="AK394" s="1"/>
      <c r="AL394" s="1"/>
      <c r="AM394" s="1"/>
      <c r="AN394" s="1"/>
      <c r="AO394" s="1"/>
      <c r="AP394" s="1"/>
      <c r="AQ394" s="1"/>
    </row>
    <row r="395" spans="1:43" x14ac:dyDescent="0.3">
      <c r="A395" s="9">
        <f t="shared" si="28"/>
        <v>2021</v>
      </c>
      <c r="B395" s="9">
        <f t="shared" si="29"/>
        <v>1</v>
      </c>
      <c r="C395" s="10">
        <v>44220</v>
      </c>
      <c r="D395" s="9">
        <v>0.20899999999999999</v>
      </c>
      <c r="E395" s="9">
        <v>0.13600000000000001</v>
      </c>
      <c r="F395" s="9">
        <v>13.022980289604828</v>
      </c>
      <c r="G395" s="9">
        <v>12932.111181064582</v>
      </c>
      <c r="H395" s="9">
        <v>57501.903880768565</v>
      </c>
      <c r="I395" s="9">
        <v>1641.3626475178642</v>
      </c>
      <c r="J395" s="20">
        <v>72.650000000000006</v>
      </c>
      <c r="K395" s="9">
        <v>72.290000000000006</v>
      </c>
      <c r="L395" s="31">
        <f>Table1[[#This Row],[TN550 I (O2)]]/(Table1[[#This Row],[Flowmeter A]]+Table1[[#This Row],[Flowmeter B]])</f>
        <v>2.063421987771482E-2</v>
      </c>
      <c r="M395" s="33">
        <f>Table1[[#This Row],[TN120 Venting2]]/100</f>
        <v>0</v>
      </c>
      <c r="N395" s="31">
        <f>Table1[[#This Row],[TN550 I Venting2]]/100</f>
        <v>0</v>
      </c>
      <c r="O395" s="31">
        <f>(Table1[[#This Row],[TN550 I (O2)]]-Table1[[#This Row],[O2]])/Table1[[#This Row],[TN550 I (O2)]]</f>
        <v>0.19965174910878261</v>
      </c>
      <c r="P395" s="9">
        <f>Table1[[#This Row],[M-N2]]+Table1[[#This Row],[TEN-N2]]</f>
        <v>66580.747448806709</v>
      </c>
      <c r="Q395" s="9">
        <v>1313.6617240191003</v>
      </c>
      <c r="R395" s="9">
        <f>SUM(Table1[[#This Row],[TEN-CDA]:[TEN-CDA WWT]])</f>
        <v>98543.468979439087</v>
      </c>
      <c r="S395" s="9">
        <v>431.07243549418399</v>
      </c>
      <c r="T395" s="9">
        <v>216.39081697907409</v>
      </c>
      <c r="U395" s="9">
        <v>34.404070717191466</v>
      </c>
      <c r="V395" s="42">
        <v>0</v>
      </c>
      <c r="W395" s="9">
        <v>0</v>
      </c>
      <c r="X395" s="9">
        <v>77796.100993233849</v>
      </c>
      <c r="Y395" s="9">
        <v>1749.559431299743</v>
      </c>
      <c r="Z395" s="1">
        <v>64232.895848694483</v>
      </c>
      <c r="AA395" s="1">
        <v>2347.8516001122266</v>
      </c>
      <c r="AB395" s="1">
        <v>35601.79864243581</v>
      </c>
      <c r="AC395" s="1">
        <v>53139.083524895905</v>
      </c>
      <c r="AD395" s="1">
        <v>7127.5450811339779</v>
      </c>
      <c r="AE395" s="1">
        <v>2654.5889275026025</v>
      </c>
      <c r="AF395" s="1">
        <v>20.45280347078894</v>
      </c>
      <c r="AG395" s="1"/>
      <c r="AH395" s="1"/>
      <c r="AI395" s="1"/>
      <c r="AJ395" s="1"/>
      <c r="AK395" s="1"/>
      <c r="AL395" s="1"/>
      <c r="AM395" s="1"/>
      <c r="AN395" s="1"/>
      <c r="AO395" s="1"/>
      <c r="AP395" s="1"/>
      <c r="AQ395" s="1"/>
    </row>
    <row r="396" spans="1:43" x14ac:dyDescent="0.3">
      <c r="A396" s="9">
        <f t="shared" si="28"/>
        <v>2021</v>
      </c>
      <c r="B396" s="9">
        <f t="shared" si="29"/>
        <v>1</v>
      </c>
      <c r="C396" s="10">
        <v>44221</v>
      </c>
      <c r="D396" s="9">
        <v>0.20699999999999999</v>
      </c>
      <c r="E396" s="9">
        <v>0.13100000000000001</v>
      </c>
      <c r="F396" s="9">
        <v>13.313094628841656</v>
      </c>
      <c r="G396" s="9">
        <v>12923.887126724065</v>
      </c>
      <c r="H396" s="9">
        <v>57476.985017457497</v>
      </c>
      <c r="I396" s="9">
        <v>1700.9988525729475</v>
      </c>
      <c r="J396" s="20">
        <v>72.61</v>
      </c>
      <c r="K396" s="9">
        <v>72.260000000000005</v>
      </c>
      <c r="L396" s="31">
        <f>Table1[[#This Row],[TN550 I (O2)]]/(Table1[[#This Row],[Flowmeter A]]+Table1[[#This Row],[Flowmeter B]])</f>
        <v>2.1384335483260547E-2</v>
      </c>
      <c r="M396" s="33">
        <f>Table1[[#This Row],[TN120 Venting2]]/100</f>
        <v>0</v>
      </c>
      <c r="N396" s="31">
        <f>Table1[[#This Row],[TN550 I Venting2]]/100</f>
        <v>8.9999999999999998E-4</v>
      </c>
      <c r="O396" s="31">
        <f>(Table1[[#This Row],[TN550 I (O2)]]-Table1[[#This Row],[O2]])/Table1[[#This Row],[TN550 I (O2)]]</f>
        <v>0.22532702836500151</v>
      </c>
      <c r="P396" s="9">
        <f>Table1[[#This Row],[M-N2]]+Table1[[#This Row],[TEN-N2]]</f>
        <v>66619.291020030039</v>
      </c>
      <c r="Q396" s="9">
        <v>1317.717835870408</v>
      </c>
      <c r="R396" s="9">
        <f>SUM(Table1[[#This Row],[TEN-CDA]:[TEN-CDA WWT]])</f>
        <v>98648.115153904611</v>
      </c>
      <c r="S396" s="9">
        <v>428.39585458198246</v>
      </c>
      <c r="T396" s="9">
        <v>214.69057868571019</v>
      </c>
      <c r="U396" s="9">
        <v>34.826257804960612</v>
      </c>
      <c r="V396" s="42">
        <v>0</v>
      </c>
      <c r="W396" s="9">
        <v>0.09</v>
      </c>
      <c r="X396" s="9">
        <v>77792.972138488898</v>
      </c>
      <c r="Y396" s="9">
        <v>1751.1808189164426</v>
      </c>
      <c r="Z396" s="1">
        <v>64256.084777281401</v>
      </c>
      <c r="AA396" s="1">
        <v>2363.2062427486339</v>
      </c>
      <c r="AB396" s="1">
        <v>35493.249254532442</v>
      </c>
      <c r="AC396" s="1">
        <v>53187.265226513715</v>
      </c>
      <c r="AD396" s="1">
        <v>7298.9328577702108</v>
      </c>
      <c r="AE396" s="1">
        <v>2648.9780007441123</v>
      </c>
      <c r="AF396" s="1">
        <v>19.689814344136401</v>
      </c>
      <c r="AG396" s="1"/>
      <c r="AH396" s="1"/>
      <c r="AI396" s="1"/>
      <c r="AJ396" s="1"/>
      <c r="AK396" s="1"/>
      <c r="AL396" s="1"/>
      <c r="AM396" s="1"/>
      <c r="AN396" s="1"/>
      <c r="AO396" s="1"/>
      <c r="AP396" s="1"/>
      <c r="AQ396" s="1"/>
    </row>
    <row r="397" spans="1:43" x14ac:dyDescent="0.3">
      <c r="A397" s="9">
        <f t="shared" si="28"/>
        <v>2021</v>
      </c>
      <c r="B397" s="9">
        <f t="shared" si="29"/>
        <v>1</v>
      </c>
      <c r="C397" s="10">
        <v>44222</v>
      </c>
      <c r="D397" s="9">
        <v>0.20300000000000001</v>
      </c>
      <c r="E397" s="9">
        <v>0.13500000000000001</v>
      </c>
      <c r="F397" s="9">
        <v>13.039982587905662</v>
      </c>
      <c r="G397" s="9">
        <v>11902.658058097675</v>
      </c>
      <c r="H397" s="9">
        <v>55638.630288753469</v>
      </c>
      <c r="I397" s="9">
        <v>1692.2094399573321</v>
      </c>
      <c r="J397" s="20">
        <v>72.040000000000006</v>
      </c>
      <c r="K397" s="9">
        <v>72.099999999999994</v>
      </c>
      <c r="L397" s="31">
        <f>Table1[[#This Row],[TN550 I (O2)]]/(Table1[[#This Row],[Flowmeter A]]+Table1[[#This Row],[Flowmeter B]])</f>
        <v>2.1929133801978119E-2</v>
      </c>
      <c r="M397" s="33">
        <f>Table1[[#This Row],[TN120 Venting2]]/100</f>
        <v>2.0099999999999996E-2</v>
      </c>
      <c r="N397" s="31">
        <f>Table1[[#This Row],[TN550 I Venting2]]/100</f>
        <v>0</v>
      </c>
      <c r="O397" s="31">
        <f>(Table1[[#This Row],[TN550 I (O2)]]-Table1[[#This Row],[O2]])/Table1[[#This Row],[TN550 I (O2)]]</f>
        <v>0.22571347869838301</v>
      </c>
      <c r="P397" s="9">
        <f>Table1[[#This Row],[M-N2]]+Table1[[#This Row],[TEN-N2]]</f>
        <v>66317.925021296658</v>
      </c>
      <c r="Q397" s="9">
        <v>1310.2549605783202</v>
      </c>
      <c r="R397" s="9">
        <f>SUM(Table1[[#This Row],[TEN-CDA]:[TEN-CDA WWT]])</f>
        <v>98746.378964299831</v>
      </c>
      <c r="S397" s="9">
        <v>429.00785928232477</v>
      </c>
      <c r="T397" s="9">
        <v>211.25826285135241</v>
      </c>
      <c r="U397" s="9">
        <v>34.951230078914939</v>
      </c>
      <c r="V397" s="42">
        <v>2.0099999999999998</v>
      </c>
      <c r="W397" s="9">
        <v>0</v>
      </c>
      <c r="X397" s="9">
        <v>75407.039165510068</v>
      </c>
      <c r="Y397" s="9">
        <v>1760.1419570149851</v>
      </c>
      <c r="Z397" s="1">
        <v>63986.241133002259</v>
      </c>
      <c r="AA397" s="1">
        <v>2331.6838882943975</v>
      </c>
      <c r="AB397" s="1">
        <v>35957.683919044932</v>
      </c>
      <c r="AC397" s="1">
        <v>52844.64955163515</v>
      </c>
      <c r="AD397" s="1">
        <v>7245.600362297233</v>
      </c>
      <c r="AE397" s="1">
        <v>2682.6751233748805</v>
      </c>
      <c r="AF397" s="1">
        <v>15.770007947639488</v>
      </c>
      <c r="AG397" s="1"/>
      <c r="AH397" s="1"/>
      <c r="AI397" s="1"/>
      <c r="AJ397" s="1"/>
      <c r="AK397" s="1"/>
      <c r="AL397" s="1"/>
      <c r="AM397" s="1"/>
      <c r="AN397" s="1"/>
      <c r="AO397" s="1"/>
      <c r="AP397" s="1"/>
      <c r="AQ397" s="1"/>
    </row>
    <row r="398" spans="1:43" x14ac:dyDescent="0.3">
      <c r="A398" s="9">
        <f t="shared" si="28"/>
        <v>2021</v>
      </c>
      <c r="B398" s="9">
        <f t="shared" si="29"/>
        <v>1</v>
      </c>
      <c r="C398" s="10">
        <v>44223</v>
      </c>
      <c r="D398" s="9">
        <v>0.19700000000000001</v>
      </c>
      <c r="E398" s="9">
        <v>0.13600000000000001</v>
      </c>
      <c r="F398" s="9">
        <v>13.010154286000068</v>
      </c>
      <c r="G398" s="9">
        <v>11200.867563622269</v>
      </c>
      <c r="H398" s="9">
        <v>53301.921449405789</v>
      </c>
      <c r="I398" s="9">
        <v>1600.0373386062738</v>
      </c>
      <c r="J398" s="20">
        <v>70.83</v>
      </c>
      <c r="K398" s="9">
        <v>71.83</v>
      </c>
      <c r="L398" s="31">
        <f>Table1[[#This Row],[TN550 I (O2)]]/(Table1[[#This Row],[Flowmeter A]]+Table1[[#This Row],[Flowmeter B]])</f>
        <v>2.1561334195211269E-2</v>
      </c>
      <c r="M398" s="33">
        <f>Table1[[#This Row],[TN120 Venting2]]/100</f>
        <v>8.199999999999999E-3</v>
      </c>
      <c r="N398" s="31">
        <f>Table1[[#This Row],[TN550 I Venting2]]/100</f>
        <v>0</v>
      </c>
      <c r="O398" s="31">
        <f>(Table1[[#This Row],[TN550 I (O2)]]-Table1[[#This Row],[O2]])/Table1[[#This Row],[TN550 I (O2)]]</f>
        <v>0.18452703863866243</v>
      </c>
      <c r="P398" s="9">
        <f>Table1[[#This Row],[M-N2]]+Table1[[#This Row],[TEN-N2]]</f>
        <v>66434.795521238586</v>
      </c>
      <c r="Q398" s="9">
        <v>1304.7871868019713</v>
      </c>
      <c r="R398" s="9">
        <f>SUM(Table1[[#This Row],[TEN-CDA]:[TEN-CDA WWT]])</f>
        <v>98859.405513054706</v>
      </c>
      <c r="S398" s="9">
        <v>423.61593524157217</v>
      </c>
      <c r="T398" s="9">
        <v>206.540314059552</v>
      </c>
      <c r="U398" s="9">
        <v>34.588162933762582</v>
      </c>
      <c r="V398" s="42">
        <v>0.82</v>
      </c>
      <c r="W398" s="9">
        <v>0</v>
      </c>
      <c r="X398" s="9">
        <v>72508.513825034694</v>
      </c>
      <c r="Y398" s="9">
        <v>1700.1285585910391</v>
      </c>
      <c r="Z398" s="1">
        <v>64093.033150264571</v>
      </c>
      <c r="AA398" s="1">
        <v>2341.7623709740155</v>
      </c>
      <c r="AB398" s="1">
        <v>35979.037919139795</v>
      </c>
      <c r="AC398" s="1">
        <v>52813.2707809247</v>
      </c>
      <c r="AD398" s="1">
        <v>7378.1928541513053</v>
      </c>
      <c r="AE398" s="1">
        <v>2669.1433036004728</v>
      </c>
      <c r="AF398" s="1">
        <v>19.76065523844294</v>
      </c>
      <c r="AG398" s="1"/>
      <c r="AH398" s="1"/>
      <c r="AI398" s="1"/>
      <c r="AJ398" s="1"/>
      <c r="AK398" s="1"/>
      <c r="AL398" s="1"/>
      <c r="AM398" s="1"/>
      <c r="AN398" s="1"/>
      <c r="AO398" s="1"/>
      <c r="AP398" s="1"/>
      <c r="AQ398" s="1"/>
    </row>
    <row r="399" spans="1:43" x14ac:dyDescent="0.3">
      <c r="A399" s="9">
        <f t="shared" si="28"/>
        <v>2021</v>
      </c>
      <c r="B399" s="9">
        <f t="shared" si="29"/>
        <v>1</v>
      </c>
      <c r="C399" s="10">
        <v>44224</v>
      </c>
      <c r="D399" s="9">
        <v>0.19900000000000001</v>
      </c>
      <c r="E399" s="9">
        <v>0.13600000000000001</v>
      </c>
      <c r="F399" s="9">
        <v>12.986461645360626</v>
      </c>
      <c r="G399" s="9">
        <v>11466.310089428998</v>
      </c>
      <c r="H399" s="9">
        <v>53301.272971243925</v>
      </c>
      <c r="I399" s="9">
        <v>1599.9668282185223</v>
      </c>
      <c r="J399" s="20">
        <v>70.599999999999994</v>
      </c>
      <c r="K399" s="9">
        <v>71.84</v>
      </c>
      <c r="L399" s="31">
        <f>Table1[[#This Row],[TN550 I (O2)]]/(Table1[[#This Row],[Flowmeter A]]+Table1[[#This Row],[Flowmeter B]])</f>
        <v>2.156507708107375E-2</v>
      </c>
      <c r="M399" s="33">
        <f>Table1[[#This Row],[TN120 Venting2]]/100</f>
        <v>4.0000000000000002E-4</v>
      </c>
      <c r="N399" s="31">
        <f>Table1[[#This Row],[TN550 I Venting2]]/100</f>
        <v>0</v>
      </c>
      <c r="O399" s="31">
        <f>(Table1[[#This Row],[TN550 I (O2)]]-Table1[[#This Row],[O2]])/Table1[[#This Row],[TN550 I (O2)]]</f>
        <v>0.18317201564902719</v>
      </c>
      <c r="P399" s="9">
        <f>Table1[[#This Row],[M-N2]]+Table1[[#This Row],[TEN-N2]]</f>
        <v>66159.473695567314</v>
      </c>
      <c r="Q399" s="9">
        <v>1306.8976793221548</v>
      </c>
      <c r="R399" s="9">
        <f>SUM(Table1[[#This Row],[TEN-CDA]:[TEN-CDA WWT]])</f>
        <v>98934.552388968455</v>
      </c>
      <c r="S399" s="9">
        <v>431.05024855593416</v>
      </c>
      <c r="T399" s="9">
        <v>214.65983076163215</v>
      </c>
      <c r="U399" s="9">
        <v>33.961536323601472</v>
      </c>
      <c r="V399" s="42">
        <v>0.04</v>
      </c>
      <c r="W399" s="9">
        <v>0</v>
      </c>
      <c r="X399" s="9">
        <v>72492.40118624219</v>
      </c>
      <c r="Y399" s="9">
        <v>1700.0917134334609</v>
      </c>
      <c r="Z399" s="1">
        <v>63783.247656250001</v>
      </c>
      <c r="AA399" s="1">
        <v>2376.2260393173142</v>
      </c>
      <c r="AB399" s="1">
        <v>36136.215044348544</v>
      </c>
      <c r="AC399" s="1">
        <v>52741.929634862587</v>
      </c>
      <c r="AD399" s="1">
        <v>7369.6688968306735</v>
      </c>
      <c r="AE399" s="1">
        <v>2664.2838939044491</v>
      </c>
      <c r="AF399" s="1">
        <v>22.454919022199679</v>
      </c>
      <c r="AG399" s="1"/>
      <c r="AH399" s="1"/>
      <c r="AI399" s="1"/>
      <c r="AJ399" s="1"/>
      <c r="AK399" s="1"/>
      <c r="AL399" s="1"/>
      <c r="AM399" s="1"/>
      <c r="AN399" s="1"/>
      <c r="AO399" s="1"/>
      <c r="AP399" s="1"/>
      <c r="AQ399" s="1"/>
    </row>
    <row r="400" spans="1:43" x14ac:dyDescent="0.3">
      <c r="A400" s="9">
        <f t="shared" si="28"/>
        <v>2021</v>
      </c>
      <c r="B400" s="9">
        <f t="shared" si="29"/>
        <v>1</v>
      </c>
      <c r="C400" s="10">
        <v>44225</v>
      </c>
      <c r="D400" s="9">
        <v>0.19800000000000001</v>
      </c>
      <c r="E400" s="9">
        <v>0.13500000000000001</v>
      </c>
      <c r="F400" s="9">
        <v>12.856187332677475</v>
      </c>
      <c r="G400" s="9">
        <v>11526.928167423879</v>
      </c>
      <c r="H400" s="9">
        <v>53644.961954046667</v>
      </c>
      <c r="I400" s="9">
        <v>1599.9135371147966</v>
      </c>
      <c r="J400" s="20">
        <v>70.87</v>
      </c>
      <c r="K400" s="9">
        <v>71.58</v>
      </c>
      <c r="L400" s="31">
        <f>Table1[[#This Row],[TN550 I (O2)]]/(Table1[[#This Row],[Flowmeter A]]+Table1[[#This Row],[Flowmeter B]])</f>
        <v>2.1348261135189756E-2</v>
      </c>
      <c r="M400" s="33">
        <f>Table1[[#This Row],[TN120 Venting2]]/100</f>
        <v>3.3E-3</v>
      </c>
      <c r="N400" s="31">
        <f>Table1[[#This Row],[TN550 I Venting2]]/100</f>
        <v>0</v>
      </c>
      <c r="O400" s="31">
        <f>(Table1[[#This Row],[TN550 I (O2)]]-Table1[[#This Row],[O2]])/Table1[[#This Row],[TN550 I (O2)]]</f>
        <v>0.18167135980038882</v>
      </c>
      <c r="P400" s="9">
        <f>Table1[[#This Row],[M-N2]]+Table1[[#This Row],[TEN-N2]]</f>
        <v>66546.712261043765</v>
      </c>
      <c r="Q400" s="9">
        <v>1309.2550692641016</v>
      </c>
      <c r="R400" s="9">
        <f>SUM(Table1[[#This Row],[TEN-CDA]:[TEN-CDA WWT]])</f>
        <v>98643.547065017483</v>
      </c>
      <c r="S400" s="9">
        <v>425.50641606136958</v>
      </c>
      <c r="T400" s="9">
        <v>216.59813949087277</v>
      </c>
      <c r="U400" s="9">
        <v>34.166329359362969</v>
      </c>
      <c r="V400" s="42">
        <v>0.33</v>
      </c>
      <c r="W400" s="9">
        <v>0</v>
      </c>
      <c r="X400" s="9">
        <v>73243.46751930083</v>
      </c>
      <c r="Y400" s="9">
        <v>1700.0385106845831</v>
      </c>
      <c r="Z400" s="1">
        <v>64186.75191652932</v>
      </c>
      <c r="AA400" s="1">
        <v>2359.960344514443</v>
      </c>
      <c r="AB400" s="1">
        <v>35700.846721027061</v>
      </c>
      <c r="AC400" s="1">
        <v>52804.838645580327</v>
      </c>
      <c r="AD400" s="1">
        <v>7455.9601320561897</v>
      </c>
      <c r="AE400" s="1">
        <v>2660.5876334386926</v>
      </c>
      <c r="AF400" s="1">
        <v>21.313932915204603</v>
      </c>
      <c r="AG400" s="1"/>
      <c r="AH400" s="1"/>
      <c r="AI400" s="1"/>
      <c r="AJ400" s="1"/>
      <c r="AK400" s="1"/>
      <c r="AL400" s="1"/>
      <c r="AM400" s="1"/>
      <c r="AN400" s="1"/>
      <c r="AO400" s="1"/>
      <c r="AP400" s="1"/>
      <c r="AQ400" s="1"/>
    </row>
    <row r="401" spans="1:43" x14ac:dyDescent="0.3">
      <c r="A401" s="9">
        <f t="shared" si="28"/>
        <v>2021</v>
      </c>
      <c r="B401" s="9">
        <f t="shared" si="29"/>
        <v>1</v>
      </c>
      <c r="C401" s="10">
        <v>44226</v>
      </c>
      <c r="D401" s="9">
        <v>0.20499999999999999</v>
      </c>
      <c r="E401" s="9">
        <v>0.14000000000000001</v>
      </c>
      <c r="F401" s="9">
        <v>13.339514109593642</v>
      </c>
      <c r="G401" s="9">
        <v>11163.346851145036</v>
      </c>
      <c r="H401" s="9">
        <v>53873.524036584837</v>
      </c>
      <c r="I401" s="9">
        <v>1599.9226499474107</v>
      </c>
      <c r="J401" s="20">
        <v>71</v>
      </c>
      <c r="K401" s="9">
        <v>71.540000000000006</v>
      </c>
      <c r="L401" s="31">
        <f>Table1[[#This Row],[TN550 I (O2)]]/(Table1[[#This Row],[Flowmeter A]]+Table1[[#This Row],[Flowmeter B]])</f>
        <v>2.1246463474344082E-2</v>
      </c>
      <c r="M401" s="33">
        <f>Table1[[#This Row],[TN120 Venting2]]/100</f>
        <v>1.5600000000000001E-2</v>
      </c>
      <c r="N401" s="31">
        <f>Table1[[#This Row],[TN550 I Venting2]]/100</f>
        <v>0</v>
      </c>
      <c r="O401" s="31">
        <f>(Table1[[#This Row],[TN550 I (O2)]]-Table1[[#This Row],[O2]])/Table1[[#This Row],[TN550 I (O2)]]</f>
        <v>0.18029467626390525</v>
      </c>
      <c r="P401" s="9">
        <f>Table1[[#This Row],[M-N2]]+Table1[[#This Row],[TEN-N2]]</f>
        <v>66145.000390692774</v>
      </c>
      <c r="Q401" s="9">
        <v>1311.4651137278529</v>
      </c>
      <c r="R401" s="9">
        <f>SUM(Table1[[#This Row],[TEN-CDA]:[TEN-CDA WWT]])</f>
        <v>98549.597889892131</v>
      </c>
      <c r="S401" s="9">
        <v>430.41644731848544</v>
      </c>
      <c r="T401" s="9">
        <v>221.64169639783299</v>
      </c>
      <c r="U401" s="9">
        <v>34.43898749103321</v>
      </c>
      <c r="V401" s="42">
        <v>1.56</v>
      </c>
      <c r="W401" s="9">
        <v>0</v>
      </c>
      <c r="X401" s="9">
        <v>73603.094156618667</v>
      </c>
      <c r="Y401" s="9">
        <v>1699.9157715690872</v>
      </c>
      <c r="Z401" s="1">
        <v>63754.943992344728</v>
      </c>
      <c r="AA401" s="1">
        <v>2390.0563983480438</v>
      </c>
      <c r="AB401" s="1">
        <v>35703.238820697436</v>
      </c>
      <c r="AC401" s="1">
        <v>52834.893113506245</v>
      </c>
      <c r="AD401" s="1">
        <v>7330.8829961560978</v>
      </c>
      <c r="AE401" s="1">
        <v>2659.1486450449447</v>
      </c>
      <c r="AF401" s="1">
        <v>21.434314487420544</v>
      </c>
      <c r="AG401" s="1"/>
      <c r="AH401" s="1"/>
      <c r="AI401" s="1"/>
      <c r="AJ401" s="1"/>
      <c r="AK401" s="1"/>
      <c r="AL401" s="1"/>
      <c r="AM401" s="1"/>
      <c r="AN401" s="1"/>
      <c r="AO401" s="1"/>
      <c r="AP401" s="1"/>
      <c r="AQ401" s="1"/>
    </row>
    <row r="402" spans="1:43" x14ac:dyDescent="0.3">
      <c r="A402" s="9">
        <f t="shared" si="28"/>
        <v>2021</v>
      </c>
      <c r="B402" s="9">
        <f t="shared" si="29"/>
        <v>1</v>
      </c>
      <c r="C402" s="10">
        <v>44227</v>
      </c>
      <c r="D402" s="9">
        <v>0.19900000000000001</v>
      </c>
      <c r="E402" s="9">
        <v>0.13700000000000001</v>
      </c>
      <c r="F402" s="9">
        <v>13.56280021548354</v>
      </c>
      <c r="G402" s="9">
        <v>10931.475598136059</v>
      </c>
      <c r="H402" s="9">
        <v>54001.473564365027</v>
      </c>
      <c r="I402" s="9">
        <v>1600.0238053204698</v>
      </c>
      <c r="J402" s="20">
        <v>71.03</v>
      </c>
      <c r="K402" s="9">
        <v>71.540000000000006</v>
      </c>
      <c r="L402" s="31">
        <f>Table1[[#This Row],[TN550 I (O2)]]/(Table1[[#This Row],[Flowmeter A]]+Table1[[#This Row],[Flowmeter B]])</f>
        <v>2.1195737244955753E-2</v>
      </c>
      <c r="M402" s="33">
        <f>Table1[[#This Row],[TN120 Venting2]]/100</f>
        <v>8.8000000000000005E-3</v>
      </c>
      <c r="N402" s="31">
        <f>Table1[[#This Row],[TN550 I Venting2]]/100</f>
        <v>0</v>
      </c>
      <c r="O402" s="31">
        <f>(Table1[[#This Row],[TN550 I (O2)]]-Table1[[#This Row],[O2]])/Table1[[#This Row],[TN550 I (O2)]]</f>
        <v>0.17970007435209265</v>
      </c>
      <c r="P402" s="9">
        <f>Table1[[#This Row],[M-N2]]+Table1[[#This Row],[TEN-N2]]</f>
        <v>65944.622891798164</v>
      </c>
      <c r="Q402" s="9">
        <v>1312.4994085392632</v>
      </c>
      <c r="R402" s="9">
        <f>SUM(Table1[[#This Row],[TEN-CDA]:[TEN-CDA WWT]])</f>
        <v>98758.964781179442</v>
      </c>
      <c r="S402" s="9">
        <v>429.58426693261794</v>
      </c>
      <c r="T402" s="9">
        <v>213.16395439661517</v>
      </c>
      <c r="U402" s="9">
        <v>33.811566214525065</v>
      </c>
      <c r="V402" s="42">
        <v>0.88</v>
      </c>
      <c r="W402" s="9">
        <v>0</v>
      </c>
      <c r="X402" s="9">
        <v>73787.667223282449</v>
      </c>
      <c r="Y402" s="9">
        <v>1700.3324074569798</v>
      </c>
      <c r="Z402" s="1">
        <v>63559.14848087266</v>
      </c>
      <c r="AA402" s="1">
        <v>2385.4744109254975</v>
      </c>
      <c r="AB402" s="1">
        <v>35931.765753207925</v>
      </c>
      <c r="AC402" s="1">
        <v>52860.343213263361</v>
      </c>
      <c r="AD402" s="1">
        <v>7313.7984767387006</v>
      </c>
      <c r="AE402" s="1">
        <v>2631.2087734415663</v>
      </c>
      <c r="AF402" s="1">
        <v>21.848564527905417</v>
      </c>
      <c r="AG402" s="1"/>
      <c r="AH402" s="1"/>
      <c r="AI402" s="1"/>
      <c r="AJ402" s="1"/>
      <c r="AK402" s="1"/>
      <c r="AL402" s="1"/>
      <c r="AM402" s="1"/>
      <c r="AN402" s="1"/>
      <c r="AO402" s="1"/>
      <c r="AP402" s="1"/>
      <c r="AQ402" s="1"/>
    </row>
    <row r="403" spans="1:43" x14ac:dyDescent="0.3">
      <c r="A403" s="9">
        <f t="shared" si="28"/>
        <v>2021</v>
      </c>
      <c r="B403" s="9">
        <f t="shared" si="29"/>
        <v>2</v>
      </c>
      <c r="C403" s="10">
        <v>44228</v>
      </c>
      <c r="D403" s="9">
        <v>0.2</v>
      </c>
      <c r="E403" s="9">
        <v>0.13500000000000001</v>
      </c>
      <c r="F403" s="9">
        <v>13.009561540681732</v>
      </c>
      <c r="G403" s="9">
        <v>10713.029975250478</v>
      </c>
      <c r="H403" s="9">
        <v>54001.184181991674</v>
      </c>
      <c r="I403" s="9">
        <v>1600.152094611354</v>
      </c>
      <c r="J403" s="20">
        <v>70.89</v>
      </c>
      <c r="K403" s="9">
        <v>71.510000000000005</v>
      </c>
      <c r="L403" s="31">
        <f>Table1[[#This Row],[TN550 I (O2)]]/(Table1[[#This Row],[Flowmeter A]]+Table1[[#This Row],[Flowmeter B]])</f>
        <v>2.1190371889972151E-2</v>
      </c>
      <c r="M403" s="33">
        <f>Table1[[#This Row],[TN120 Venting2]]/100</f>
        <v>2.6200000000000001E-2</v>
      </c>
      <c r="N403" s="31">
        <f>Table1[[#This Row],[TN550 I Venting2]]/100</f>
        <v>0</v>
      </c>
      <c r="O403" s="31">
        <f>(Table1[[#This Row],[TN550 I (O2)]]-Table1[[#This Row],[O2]])/Table1[[#This Row],[TN550 I (O2)]]</f>
        <v>0.18393283582023617</v>
      </c>
      <c r="P403" s="9">
        <f>Table1[[#This Row],[M-N2]]+Table1[[#This Row],[TEN-N2]]</f>
        <v>65948.711399351043</v>
      </c>
      <c r="Q403" s="9">
        <v>1305.8315821057968</v>
      </c>
      <c r="R403" s="9">
        <f>SUM(Table1[[#This Row],[TEN-CDA]:[TEN-CDA WWT]])</f>
        <v>98980.250610703122</v>
      </c>
      <c r="S403" s="9">
        <v>426.44119893801366</v>
      </c>
      <c r="T403" s="9">
        <v>206.38862193714488</v>
      </c>
      <c r="U403" s="9">
        <v>33.657306787621884</v>
      </c>
      <c r="V403" s="42">
        <v>2.62</v>
      </c>
      <c r="W403" s="9">
        <v>0</v>
      </c>
      <c r="X403" s="9">
        <v>73813.057110947266</v>
      </c>
      <c r="Y403" s="9">
        <v>1700.1100443959815</v>
      </c>
      <c r="Z403" s="1">
        <v>63627.425504749306</v>
      </c>
      <c r="AA403" s="1">
        <v>2321.2858946017304</v>
      </c>
      <c r="AB403" s="1">
        <v>36154.007977858259</v>
      </c>
      <c r="AC403" s="1">
        <v>52826.526099496878</v>
      </c>
      <c r="AD403" s="1">
        <v>7375.9085894127347</v>
      </c>
      <c r="AE403" s="1">
        <v>2598.6031218825901</v>
      </c>
      <c r="AF403" s="1">
        <v>25.204822052650201</v>
      </c>
      <c r="AG403" s="1"/>
      <c r="AH403" s="1"/>
      <c r="AI403" s="1"/>
      <c r="AJ403" s="1"/>
      <c r="AK403" s="1"/>
      <c r="AL403" s="1"/>
      <c r="AM403" s="1"/>
      <c r="AN403" s="1"/>
      <c r="AO403" s="1"/>
      <c r="AP403" s="1"/>
      <c r="AQ403" s="1"/>
    </row>
    <row r="404" spans="1:43" x14ac:dyDescent="0.3">
      <c r="A404" s="9">
        <f t="shared" si="28"/>
        <v>2021</v>
      </c>
      <c r="B404" s="9">
        <f t="shared" si="29"/>
        <v>2</v>
      </c>
      <c r="C404" s="10">
        <v>44229</v>
      </c>
      <c r="D404" s="9">
        <v>0.19400000000000001</v>
      </c>
      <c r="E404" s="9">
        <v>0.13</v>
      </c>
      <c r="F404" s="9">
        <v>12.520483702607324</v>
      </c>
      <c r="G404" s="9">
        <v>10645.161056910349</v>
      </c>
      <c r="H404" s="9">
        <v>53995.56682371183</v>
      </c>
      <c r="I404" s="9">
        <v>1605.1055900579024</v>
      </c>
      <c r="J404" s="20">
        <v>71.09</v>
      </c>
      <c r="K404" s="9">
        <v>71.52</v>
      </c>
      <c r="L404" s="31">
        <f>Table1[[#This Row],[TN550 I (O2)]]/(Table1[[#This Row],[Flowmeter A]]+Table1[[#This Row],[Flowmeter B]])</f>
        <v>2.126100977165004E-2</v>
      </c>
      <c r="M404" s="33">
        <f>Table1[[#This Row],[TN120 Venting2]]/100</f>
        <v>2.4700000000000003E-2</v>
      </c>
      <c r="N404" s="31">
        <f>Table1[[#This Row],[TN550 I Venting2]]/100</f>
        <v>0</v>
      </c>
      <c r="O404" s="31">
        <f>(Table1[[#This Row],[TN550 I (O2)]]-Table1[[#This Row],[O2]])/Table1[[#This Row],[TN550 I (O2)]]</f>
        <v>0.18563657290246488</v>
      </c>
      <c r="P404" s="9">
        <f>Table1[[#This Row],[M-N2]]+Table1[[#This Row],[TEN-N2]]</f>
        <v>65943.015954404225</v>
      </c>
      <c r="Q404" s="9">
        <v>1307.1392891729647</v>
      </c>
      <c r="R404" s="9">
        <f>SUM(Table1[[#This Row],[TEN-CDA]:[TEN-CDA WWT]])</f>
        <v>98364.459573574903</v>
      </c>
      <c r="S404" s="9">
        <v>426.69415816890125</v>
      </c>
      <c r="T404" s="9">
        <v>208.98397718081452</v>
      </c>
      <c r="U404" s="9">
        <v>33.475319475204394</v>
      </c>
      <c r="V404" s="42">
        <v>2.4700000000000002</v>
      </c>
      <c r="W404" s="9">
        <v>0</v>
      </c>
      <c r="X404" s="9">
        <v>73795.000894561075</v>
      </c>
      <c r="Y404" s="9">
        <v>1700.2651956784568</v>
      </c>
      <c r="Z404" s="1">
        <v>63656.45615295368</v>
      </c>
      <c r="AA404" s="1">
        <v>2286.5598014505408</v>
      </c>
      <c r="AB404" s="1">
        <v>35690.463655724423</v>
      </c>
      <c r="AC404" s="1">
        <v>52714.53699687717</v>
      </c>
      <c r="AD404" s="1">
        <v>7330.640940807165</v>
      </c>
      <c r="AE404" s="1">
        <v>2601.3887723436956</v>
      </c>
      <c r="AF404" s="1">
        <v>27.429207822452831</v>
      </c>
      <c r="AG404" s="1"/>
      <c r="AH404" s="1"/>
      <c r="AI404" s="1"/>
      <c r="AJ404" s="1"/>
      <c r="AK404" s="1"/>
      <c r="AL404" s="1"/>
      <c r="AM404" s="1"/>
      <c r="AN404" s="1"/>
      <c r="AO404" s="1"/>
      <c r="AP404" s="1"/>
      <c r="AQ404" s="1"/>
    </row>
    <row r="405" spans="1:43" x14ac:dyDescent="0.3">
      <c r="A405" s="9">
        <f t="shared" si="28"/>
        <v>2021</v>
      </c>
      <c r="B405" s="9">
        <f t="shared" si="29"/>
        <v>2</v>
      </c>
      <c r="C405" s="10">
        <v>44230</v>
      </c>
      <c r="D405" s="9">
        <v>0.20100000000000001</v>
      </c>
      <c r="E405" s="9">
        <v>0.13500000000000001</v>
      </c>
      <c r="F405" s="9">
        <v>12.558846150728501</v>
      </c>
      <c r="G405" s="9">
        <v>10702.152702929823</v>
      </c>
      <c r="H405" s="9">
        <v>53999.073733518388</v>
      </c>
      <c r="I405" s="9">
        <v>1650.0885323200848</v>
      </c>
      <c r="J405" s="20">
        <v>71.05</v>
      </c>
      <c r="K405" s="9">
        <v>71.53</v>
      </c>
      <c r="L405" s="31">
        <f>Table1[[#This Row],[TN550 I (O2)]]/(Table1[[#This Row],[Flowmeter A]]+Table1[[#This Row],[Flowmeter B]])</f>
        <v>2.1857164564077849E-2</v>
      </c>
      <c r="M405" s="33">
        <f>Table1[[#This Row],[TN120 Venting2]]/100</f>
        <v>1.3600000000000001E-2</v>
      </c>
      <c r="N405" s="31">
        <f>Table1[[#This Row],[TN550 I Venting2]]/100</f>
        <v>0</v>
      </c>
      <c r="O405" s="31">
        <f>(Table1[[#This Row],[TN550 I (O2)]]-Table1[[#This Row],[O2]])/Table1[[#This Row],[TN550 I (O2)]]</f>
        <v>0.2068576396477953</v>
      </c>
      <c r="P405" s="9">
        <f>Table1[[#This Row],[M-N2]]+Table1[[#This Row],[TEN-N2]]</f>
        <v>66074.321697375417</v>
      </c>
      <c r="Q405" s="9">
        <v>1308.7551133144573</v>
      </c>
      <c r="R405" s="9">
        <f>SUM(Table1[[#This Row],[TEN-CDA]:[TEN-CDA WWT]])</f>
        <v>98597.394175667476</v>
      </c>
      <c r="S405" s="9">
        <v>427.09244426698177</v>
      </c>
      <c r="T405" s="9">
        <v>207.21313348435265</v>
      </c>
      <c r="U405" s="9">
        <v>33.202215407806335</v>
      </c>
      <c r="V405" s="42">
        <v>1.36</v>
      </c>
      <c r="W405" s="9">
        <v>0</v>
      </c>
      <c r="X405" s="9">
        <v>73793.673295454544</v>
      </c>
      <c r="Y405" s="9">
        <v>1700.4983059249762</v>
      </c>
      <c r="Z405" s="1">
        <v>63761.293505486639</v>
      </c>
      <c r="AA405" s="1">
        <v>2313.0281918887708</v>
      </c>
      <c r="AB405" s="1">
        <v>35823.544297037646</v>
      </c>
      <c r="AC405" s="1">
        <v>52772.896792049789</v>
      </c>
      <c r="AD405" s="1">
        <v>7339.1658990609822</v>
      </c>
      <c r="AE405" s="1">
        <v>2637.9485679907075</v>
      </c>
      <c r="AF405" s="1">
        <v>23.838619528351241</v>
      </c>
      <c r="AG405" s="1"/>
      <c r="AH405" s="1"/>
      <c r="AI405" s="1"/>
      <c r="AJ405" s="1"/>
      <c r="AK405" s="1"/>
      <c r="AL405" s="1"/>
      <c r="AM405" s="1"/>
      <c r="AN405" s="1"/>
      <c r="AO405" s="1"/>
      <c r="AP405" s="1"/>
      <c r="AQ405" s="1"/>
    </row>
    <row r="406" spans="1:43" x14ac:dyDescent="0.3">
      <c r="A406" s="9">
        <f t="shared" si="28"/>
        <v>2021</v>
      </c>
      <c r="B406" s="9">
        <f t="shared" si="29"/>
        <v>2</v>
      </c>
      <c r="C406" s="10">
        <v>44231</v>
      </c>
      <c r="D406" s="8">
        <v>0.19900000000000001</v>
      </c>
      <c r="E406" s="8">
        <v>0.13700000000000001</v>
      </c>
      <c r="F406" s="8">
        <v>13.56280021548354</v>
      </c>
      <c r="G406" s="8">
        <v>10931.475598136059</v>
      </c>
      <c r="H406" s="8">
        <v>54001.473564365027</v>
      </c>
      <c r="I406" s="8">
        <v>1600.0238053204698</v>
      </c>
      <c r="J406" s="21">
        <v>70.88</v>
      </c>
      <c r="K406" s="8">
        <v>71.510000000000005</v>
      </c>
      <c r="L406" s="31">
        <f>Table1[[#This Row],[TN550 I (O2)]]/(Table1[[#This Row],[Flowmeter A]]+Table1[[#This Row],[Flowmeter B]])</f>
        <v>2.1195737244955753E-2</v>
      </c>
      <c r="M406" s="33">
        <f>Table1[[#This Row],[TN120 Venting2]]/100</f>
        <v>2.5000000000000001E-3</v>
      </c>
      <c r="N406" s="31">
        <f>Table1[[#This Row],[TN550 I Venting2]]/100</f>
        <v>0</v>
      </c>
      <c r="O406" s="32">
        <f>(Table1[[#This Row],[TN550 I (O2)]]-Table1[[#This Row],[O2]])/Table1[[#This Row],[TN550 I (O2)]]</f>
        <v>0.18311587299270518</v>
      </c>
      <c r="P406" s="8">
        <f>Table1[[#This Row],[M-N2]]+Table1[[#This Row],[TEN-N2]]</f>
        <v>66562.845800205207</v>
      </c>
      <c r="Q406" s="8">
        <v>1307.0340494001018</v>
      </c>
      <c r="R406" s="8">
        <f>SUM(Table1[[#This Row],[TEN-CDA]:[TEN-CDA WWT]])</f>
        <v>99543.412148743388</v>
      </c>
      <c r="S406" s="8">
        <v>429.29570745379453</v>
      </c>
      <c r="T406" s="8">
        <v>220.11123988663132</v>
      </c>
      <c r="U406" s="8">
        <v>32.242216754836562</v>
      </c>
      <c r="V406" s="43">
        <v>0.25</v>
      </c>
      <c r="W406" s="8">
        <v>0</v>
      </c>
      <c r="X406" s="8">
        <v>73787.667223282449</v>
      </c>
      <c r="Y406" s="13">
        <v>1700.3324074569798</v>
      </c>
      <c r="Z406" s="1">
        <v>64201.755519170714</v>
      </c>
      <c r="AA406" s="1">
        <v>2361.0902810344919</v>
      </c>
      <c r="AB406" s="1">
        <v>36443.606525958538</v>
      </c>
      <c r="AC406" s="1">
        <v>53028.453791854605</v>
      </c>
      <c r="AD406" s="1">
        <v>7395.438235302091</v>
      </c>
      <c r="AE406" s="1">
        <v>2648.8513320827551</v>
      </c>
      <c r="AF406" s="1">
        <v>27.062263545385672</v>
      </c>
      <c r="AG406" s="1"/>
      <c r="AH406" s="1"/>
      <c r="AI406" s="1"/>
      <c r="AJ406" s="1"/>
      <c r="AK406" s="1"/>
      <c r="AL406" s="1"/>
      <c r="AM406" s="1"/>
      <c r="AN406" s="1"/>
      <c r="AO406" s="1"/>
      <c r="AP406" s="1"/>
      <c r="AQ406" s="1"/>
    </row>
    <row r="407" spans="1:43" x14ac:dyDescent="0.3">
      <c r="A407" s="9">
        <f t="shared" ref="A407:A408" si="30">YEAR(C407)</f>
        <v>2021</v>
      </c>
      <c r="B407" s="9">
        <f t="shared" si="29"/>
        <v>2</v>
      </c>
      <c r="C407" s="10">
        <v>44232</v>
      </c>
      <c r="D407" s="9">
        <v>0.19400000000000001</v>
      </c>
      <c r="E407" s="9">
        <v>0.13</v>
      </c>
      <c r="F407" s="9">
        <v>12.520483702607324</v>
      </c>
      <c r="G407" s="9">
        <v>10645.161056910349</v>
      </c>
      <c r="H407" s="9">
        <v>53995.56682371183</v>
      </c>
      <c r="I407" s="9">
        <v>1605.1055900579024</v>
      </c>
      <c r="J407" s="20">
        <v>71.09</v>
      </c>
      <c r="K407" s="9">
        <v>71.52</v>
      </c>
      <c r="L407" s="31">
        <f>Table1[[#This Row],[TN550 I (O2)]]/(Table1[[#This Row],[Flowmeter A]]+Table1[[#This Row],[Flowmeter B]])</f>
        <v>2.1263056352128957E-2</v>
      </c>
      <c r="M407" s="33">
        <f>Table1[[#This Row],[TN120 Venting2]]/100</f>
        <v>5.6999999999999993E-3</v>
      </c>
      <c r="N407" s="31">
        <f>Table1[[#This Row],[TN550 I Venting2]]/100</f>
        <v>0</v>
      </c>
      <c r="O407" s="31">
        <f>(Table1[[#This Row],[TN550 I (O2)]]-Table1[[#This Row],[O2]])/Table1[[#This Row],[TN550 I (O2)]]</f>
        <v>0.18405925248915098</v>
      </c>
      <c r="P407" s="9">
        <f>Table1[[#This Row],[M-N2]]+Table1[[#This Row],[TEN-N2]]</f>
        <v>66677.635663405148</v>
      </c>
      <c r="Q407" s="9">
        <v>1309.6710549856873</v>
      </c>
      <c r="R407" s="9">
        <f>SUM(Table1[[#This Row],[TEN-CDA]:[TEN-CDA WWT]])</f>
        <v>98620.928214784479</v>
      </c>
      <c r="S407" s="9">
        <v>424.26250786552981</v>
      </c>
      <c r="T407" s="9">
        <v>207.87792295287832</v>
      </c>
      <c r="U407" s="9">
        <v>32.50480925184749</v>
      </c>
      <c r="V407" s="42">
        <v>0.56999999999999995</v>
      </c>
      <c r="W407" s="9">
        <v>0</v>
      </c>
      <c r="X407" s="1">
        <v>73787.667223282449</v>
      </c>
      <c r="Y407" s="1">
        <v>1700.3324074569798</v>
      </c>
      <c r="Z407" s="1">
        <v>64286.077116585715</v>
      </c>
      <c r="AA407" s="1">
        <v>2391.558546819429</v>
      </c>
      <c r="AB407" s="1">
        <v>35829.195377558986</v>
      </c>
      <c r="AC407" s="1">
        <v>52779.487454458707</v>
      </c>
      <c r="AD407" s="1">
        <v>7372.0932532475281</v>
      </c>
      <c r="AE407" s="1">
        <v>2616.6871701306059</v>
      </c>
      <c r="AF407" s="1">
        <v>23.464959388656968</v>
      </c>
      <c r="AG407" s="1"/>
      <c r="AH407" s="1"/>
      <c r="AI407" s="1"/>
      <c r="AJ407" s="1"/>
      <c r="AK407" s="1"/>
      <c r="AL407" s="1"/>
      <c r="AM407" s="1"/>
      <c r="AN407" s="1"/>
      <c r="AO407" s="1"/>
      <c r="AP407" s="1"/>
    </row>
    <row r="408" spans="1:43" x14ac:dyDescent="0.3">
      <c r="A408" s="9">
        <f t="shared" si="30"/>
        <v>2021</v>
      </c>
      <c r="B408" s="9">
        <f t="shared" si="29"/>
        <v>2</v>
      </c>
      <c r="C408" s="10">
        <v>44233</v>
      </c>
      <c r="D408" s="1">
        <v>0.20100000000000001</v>
      </c>
      <c r="E408" s="1">
        <v>0.13500000000000001</v>
      </c>
      <c r="F408" s="1">
        <v>12.558846150728501</v>
      </c>
      <c r="G408" s="1">
        <v>10702.152702929823</v>
      </c>
      <c r="H408" s="1">
        <v>53999.073733518388</v>
      </c>
      <c r="I408" s="1">
        <v>1650.0885323200848</v>
      </c>
      <c r="J408" s="35">
        <v>71.05</v>
      </c>
      <c r="K408" s="1">
        <v>71.53</v>
      </c>
      <c r="L408" s="31">
        <f>Table1[[#This Row],[TN550 I (O2)]]/(Table1[[#This Row],[Flowmeter A]]+Table1[[#This Row],[Flowmeter B]])</f>
        <v>2.1857164564077849E-2</v>
      </c>
      <c r="M408" s="33">
        <f>Table1[[#This Row],[TN120 Venting2]]/100</f>
        <v>1.3600000000000001E-2</v>
      </c>
      <c r="N408" s="31">
        <f>Table1[[#This Row],[TN550 I Venting2]]/100</f>
        <v>0</v>
      </c>
      <c r="O408" s="31">
        <f>(Table1[[#This Row],[TN550 I (O2)]]-Table1[[#This Row],[O2]])/Table1[[#This Row],[TN550 I (O2)]]</f>
        <v>0.2068576396477953</v>
      </c>
      <c r="P408" s="44">
        <f>Table1[[#This Row],[M-N2]]+Table1[[#This Row],[TEN-N2]]</f>
        <v>66074.321697375417</v>
      </c>
      <c r="Q408" s="9">
        <v>1308.7551133144573</v>
      </c>
      <c r="R408" s="44">
        <f>SUM(Table1[[#This Row],[TEN-CDA]:[TEN-CDA WWT]])</f>
        <v>98597.394175667476</v>
      </c>
      <c r="S408" s="9">
        <v>427.09244426698177</v>
      </c>
      <c r="T408" s="9">
        <v>207.21313348435265</v>
      </c>
      <c r="U408" s="9">
        <v>33.202215407806335</v>
      </c>
      <c r="V408" s="42">
        <v>1.36</v>
      </c>
      <c r="W408" s="42">
        <v>0</v>
      </c>
      <c r="X408" s="1">
        <v>73793.673295454544</v>
      </c>
      <c r="Y408" s="1">
        <v>1700.4983059249762</v>
      </c>
      <c r="Z408" s="1">
        <v>63761.293505486639</v>
      </c>
      <c r="AA408" s="1">
        <v>2313.0281918887708</v>
      </c>
      <c r="AB408" s="1">
        <v>35823.544297037646</v>
      </c>
      <c r="AC408" s="1">
        <v>52772.896792049789</v>
      </c>
      <c r="AD408" s="1">
        <v>7339.1658990609822</v>
      </c>
      <c r="AE408" s="1">
        <v>2637.9485679907075</v>
      </c>
      <c r="AF408" s="1">
        <v>23.838619528351241</v>
      </c>
      <c r="AG408" s="1"/>
      <c r="AH408" s="1"/>
      <c r="AI408" s="1"/>
      <c r="AJ408" s="1"/>
      <c r="AK408" s="1"/>
      <c r="AL408" s="1"/>
      <c r="AM408" s="1"/>
      <c r="AN408" s="1"/>
      <c r="AO408" s="1"/>
      <c r="AP408" s="1"/>
      <c r="AQ408" s="1"/>
    </row>
  </sheetData>
  <phoneticPr fontId="1" type="noConversion"/>
  <pageMargins left="0.7" right="0.7" top="0.75" bottom="0.75" header="0.3" footer="0.3"/>
  <pageSetup paperSize="9" orientation="portrait" r:id="rId1"/>
  <headerFooter>
    <oddFooter>&amp;CAir Products Internal Use Only</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7F2E9-DD04-4988-A621-6E739248FA71}">
  <sheetPr codeName="Sheet6"/>
  <dimension ref="A1:BM354"/>
  <sheetViews>
    <sheetView showGridLines="0" topLeftCell="A7" zoomScale="85" zoomScaleNormal="85" workbookViewId="0">
      <selection activeCell="H22" sqref="H22:K24"/>
    </sheetView>
  </sheetViews>
  <sheetFormatPr defaultRowHeight="14.4" x14ac:dyDescent="0.3"/>
  <cols>
    <col min="1" max="7" width="5.77734375" style="7" customWidth="1"/>
    <col min="8" max="8" width="13.6640625" style="7" customWidth="1"/>
    <col min="9" max="11" width="30.77734375" style="7" customWidth="1"/>
    <col min="12" max="65" width="5.77734375" style="7" customWidth="1"/>
    <col min="66" max="16384" width="8.88671875" style="7"/>
  </cols>
  <sheetData>
    <row r="1" spans="1:65" ht="19.95" customHeight="1" x14ac:dyDescent="0.3">
      <c r="A1" s="11"/>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row>
    <row r="2" spans="1:65" ht="19.95" customHeight="1" x14ac:dyDescent="0.3">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row>
    <row r="3" spans="1:65" ht="19.95" customHeight="1" x14ac:dyDescent="0.3">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row>
    <row r="4" spans="1:65" ht="19.95" customHeight="1" x14ac:dyDescent="0.3">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row>
    <row r="5" spans="1:65" ht="19.95" customHeight="1" x14ac:dyDescent="0.3">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row>
    <row r="6" spans="1:65" ht="19.95" customHeight="1" x14ac:dyDescent="0.3">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row>
    <row r="7" spans="1:65" ht="19.95" customHeight="1" x14ac:dyDescent="0.3">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row>
    <row r="8" spans="1:65" ht="19.95" customHeight="1" x14ac:dyDescent="0.3">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row>
    <row r="9" spans="1:65" ht="19.95" customHeight="1" x14ac:dyDescent="0.3">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row>
    <row r="10" spans="1:65" ht="19.95" customHeight="1" x14ac:dyDescent="0.3">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row>
    <row r="11" spans="1:65" ht="19.95" customHeight="1" x14ac:dyDescent="0.3">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row>
    <row r="12" spans="1:65" ht="19.95" customHeight="1" x14ac:dyDescent="0.3">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row>
    <row r="13" spans="1:65" ht="19.95" customHeight="1" x14ac:dyDescent="0.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row>
    <row r="14" spans="1:65" ht="19.95" customHeight="1" x14ac:dyDescent="0.3">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row>
    <row r="15" spans="1:65" ht="19.95" customHeight="1" x14ac:dyDescent="0.3">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row>
    <row r="16" spans="1:65" ht="19.95" customHeight="1" x14ac:dyDescent="0.3">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row>
    <row r="17" spans="1:65" ht="19.95" customHeight="1" x14ac:dyDescent="0.3">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row>
    <row r="18" spans="1:65" ht="19.95" customHeight="1" x14ac:dyDescent="0.3">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row>
    <row r="19" spans="1:65" ht="19.95" customHeight="1" x14ac:dyDescent="0.3">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row>
    <row r="20" spans="1:65" ht="19.95" customHeight="1" x14ac:dyDescent="0.3">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row>
    <row r="21" spans="1:65" ht="19.95" customHeight="1" x14ac:dyDescent="0.3">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row>
    <row r="22" spans="1:65" ht="19.95" customHeight="1" x14ac:dyDescent="0.3">
      <c r="A22" s="11"/>
      <c r="B22" s="11"/>
      <c r="C22" s="11"/>
      <c r="D22" s="11"/>
      <c r="E22" s="11"/>
      <c r="F22" s="11"/>
      <c r="G22" s="11"/>
      <c r="H22" s="11"/>
      <c r="I22" s="15" t="e">
        <f>table!#REF!</f>
        <v>#REF!</v>
      </c>
      <c r="J22" s="15" t="e">
        <f>table!#REF!</f>
        <v>#REF!</v>
      </c>
      <c r="K22" s="15" t="e">
        <f>table!#REF!</f>
        <v>#REF!</v>
      </c>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row>
    <row r="23" spans="1:65" ht="44.4" customHeight="1" x14ac:dyDescent="0.3">
      <c r="A23" s="11"/>
      <c r="B23" s="11"/>
      <c r="C23" s="11"/>
      <c r="D23" s="11"/>
      <c r="E23" s="11"/>
      <c r="F23" s="11"/>
      <c r="G23" s="11"/>
      <c r="H23" s="16" t="s">
        <v>30</v>
      </c>
      <c r="I23" s="14">
        <f ca="1">table!CL7</f>
        <v>10702.152702929823</v>
      </c>
      <c r="J23" s="14">
        <f ca="1">table!CL8</f>
        <v>53999.073733518388</v>
      </c>
      <c r="K23" s="14">
        <f ca="1">table!CL9</f>
        <v>1650.0885323200848</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row>
    <row r="24" spans="1:65" ht="43.2" customHeight="1" x14ac:dyDescent="0.3">
      <c r="A24" s="11"/>
      <c r="B24" s="11"/>
      <c r="C24" s="11"/>
      <c r="D24" s="11"/>
      <c r="E24" s="11"/>
      <c r="F24" s="11"/>
      <c r="G24" s="11"/>
      <c r="H24" s="16" t="s">
        <v>31</v>
      </c>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row>
    <row r="25" spans="1:65" ht="19.95" customHeight="1" x14ac:dyDescent="0.3">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row>
    <row r="26" spans="1:65" ht="19.95" customHeight="1" x14ac:dyDescent="0.3">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row>
    <row r="27" spans="1:65" ht="19.95" customHeight="1" x14ac:dyDescent="0.3">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row>
    <row r="28" spans="1:65" ht="19.95" customHeight="1" x14ac:dyDescent="0.3">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row>
    <row r="29" spans="1:65" ht="19.95" customHeight="1"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row>
    <row r="30" spans="1:65" ht="19.95" customHeight="1"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row>
    <row r="31" spans="1:65" ht="19.95" customHeight="1"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row>
    <row r="32" spans="1:65" ht="19.95" customHeight="1"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row>
    <row r="33" spans="1:65" ht="19.95" customHeight="1"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row>
    <row r="34" spans="1:65" ht="19.95" customHeight="1"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row>
    <row r="35" spans="1:65" ht="19.95" customHeight="1"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row>
    <row r="36" spans="1:65" ht="19.95" customHeight="1"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row>
    <row r="37" spans="1:65" ht="19.95" customHeight="1"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row>
    <row r="38" spans="1:65" ht="19.95" customHeight="1"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row>
    <row r="39" spans="1:65" ht="19.95" customHeight="1"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row>
    <row r="40" spans="1:65" ht="19.95" customHeight="1" x14ac:dyDescent="0.3">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row>
    <row r="41" spans="1:65" ht="19.95" customHeight="1" x14ac:dyDescent="0.3">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row>
    <row r="42" spans="1:65" ht="19.95" customHeight="1" x14ac:dyDescent="0.3">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row>
    <row r="43" spans="1:65" ht="19.95" customHeight="1" x14ac:dyDescent="0.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row>
    <row r="44" spans="1:65" ht="19.95" customHeight="1" x14ac:dyDescent="0.3">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row>
    <row r="45" spans="1:65" ht="19.95" customHeight="1" x14ac:dyDescent="0.3">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row>
    <row r="46" spans="1:65" ht="19.95" customHeight="1" x14ac:dyDescent="0.3">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row>
    <row r="47" spans="1:65" ht="19.95" customHeight="1" x14ac:dyDescent="0.3">
      <c r="A47" s="11"/>
      <c r="B47" s="11"/>
      <c r="C47" s="11"/>
      <c r="D47" s="11"/>
      <c r="E47" s="11"/>
      <c r="F47" s="11">
        <v>80</v>
      </c>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row>
    <row r="48" spans="1:65" ht="19.95" customHeight="1" x14ac:dyDescent="0.3">
      <c r="A48" s="11"/>
      <c r="B48" s="11"/>
      <c r="C48" s="11"/>
      <c r="D48" s="11"/>
      <c r="E48" s="11"/>
      <c r="F48" s="11">
        <v>60</v>
      </c>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row>
    <row r="49" spans="1:65" ht="19.95" customHeight="1" x14ac:dyDescent="0.3">
      <c r="A49" s="11"/>
      <c r="B49" s="11"/>
      <c r="C49" s="11"/>
      <c r="D49" s="11"/>
      <c r="E49" s="11"/>
      <c r="F49" s="11">
        <v>40</v>
      </c>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row>
    <row r="50" spans="1:65" ht="19.95" customHeight="1" x14ac:dyDescent="0.3">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row>
    <row r="51" spans="1:65" ht="19.95" customHeight="1" x14ac:dyDescent="0.3">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row>
    <row r="52" spans="1:65" ht="19.95" customHeight="1" x14ac:dyDescent="0.3">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row>
    <row r="53" spans="1:65" ht="19.95" customHeight="1" x14ac:dyDescent="0.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row>
    <row r="54" spans="1:65" ht="19.95" customHeight="1" x14ac:dyDescent="0.3">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row>
    <row r="55" spans="1:65" ht="19.95" customHeight="1" x14ac:dyDescent="0.3">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row>
    <row r="56" spans="1:65" ht="19.95" customHeight="1" x14ac:dyDescent="0.3">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row>
    <row r="57" spans="1:65" ht="19.95" customHeight="1" x14ac:dyDescent="0.3">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row>
    <row r="58" spans="1:65" ht="19.95" customHeight="1" x14ac:dyDescent="0.3">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row>
    <row r="59" spans="1:65" ht="19.95" customHeight="1" x14ac:dyDescent="0.3">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row>
    <row r="60" spans="1:65" ht="19.95" customHeight="1" x14ac:dyDescent="0.3">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row>
    <row r="61" spans="1:65" ht="19.95" customHeight="1" x14ac:dyDescent="0.3">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row>
    <row r="62" spans="1:65" ht="19.95" customHeight="1" x14ac:dyDescent="0.3">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row>
    <row r="63" spans="1:65" ht="19.95" customHeight="1" x14ac:dyDescent="0.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row>
    <row r="64" spans="1:65" ht="19.95" customHeight="1" x14ac:dyDescent="0.3">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row>
    <row r="65" spans="1:65" ht="19.95" customHeight="1" x14ac:dyDescent="0.3">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c r="BG65" s="11"/>
      <c r="BH65" s="11"/>
      <c r="BI65" s="11"/>
      <c r="BJ65" s="11"/>
      <c r="BK65" s="11"/>
      <c r="BL65" s="11"/>
      <c r="BM65" s="11"/>
    </row>
    <row r="66" spans="1:65" ht="19.95" customHeight="1" x14ac:dyDescent="0.3">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row>
    <row r="67" spans="1:65" ht="19.95" customHeight="1" x14ac:dyDescent="0.3">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c r="BF67" s="11"/>
      <c r="BG67" s="11"/>
      <c r="BH67" s="11"/>
      <c r="BI67" s="11"/>
      <c r="BJ67" s="11"/>
      <c r="BK67" s="11"/>
      <c r="BL67" s="11"/>
      <c r="BM67" s="11"/>
    </row>
    <row r="68" spans="1:65" ht="19.95" customHeight="1" x14ac:dyDescent="0.3">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row>
    <row r="69" spans="1:65" ht="19.95" customHeight="1" x14ac:dyDescent="0.3">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c r="BF69" s="11"/>
      <c r="BG69" s="11"/>
      <c r="BH69" s="11"/>
      <c r="BI69" s="11"/>
      <c r="BJ69" s="11"/>
      <c r="BK69" s="11"/>
      <c r="BL69" s="11"/>
      <c r="BM69" s="11"/>
    </row>
    <row r="70" spans="1:65" ht="19.95" customHeight="1" x14ac:dyDescent="0.3">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row>
    <row r="71" spans="1:65" ht="19.95" customHeight="1" x14ac:dyDescent="0.3">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row>
    <row r="72" spans="1:65" ht="19.95" customHeight="1" x14ac:dyDescent="0.3">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row>
    <row r="73" spans="1:65" ht="19.95" customHeight="1" x14ac:dyDescent="0.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c r="BF73" s="11"/>
      <c r="BG73" s="11"/>
      <c r="BH73" s="11"/>
      <c r="BI73" s="11"/>
      <c r="BJ73" s="11"/>
      <c r="BK73" s="11"/>
      <c r="BL73" s="11"/>
      <c r="BM73" s="11"/>
    </row>
    <row r="74" spans="1:65" ht="19.95" customHeight="1" x14ac:dyDescent="0.3">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row>
    <row r="75" spans="1:65" ht="19.95" customHeight="1" x14ac:dyDescent="0.3">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row>
    <row r="76" spans="1:65" ht="19.95" customHeight="1" x14ac:dyDescent="0.3">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row>
    <row r="77" spans="1:65" ht="19.95" customHeight="1" x14ac:dyDescent="0.3">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row>
    <row r="78" spans="1:65" ht="19.95" customHeight="1" x14ac:dyDescent="0.3">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11"/>
      <c r="BI78" s="11"/>
      <c r="BJ78" s="11"/>
      <c r="BK78" s="11"/>
      <c r="BL78" s="11"/>
      <c r="BM78" s="11"/>
    </row>
    <row r="79" spans="1:65" ht="19.95" customHeight="1" x14ac:dyDescent="0.3">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row>
    <row r="80" spans="1:65" ht="19.95" customHeight="1" x14ac:dyDescent="0.3">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row>
    <row r="81" spans="1:65" ht="19.95" customHeight="1" x14ac:dyDescent="0.3">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c r="BG81" s="11"/>
      <c r="BH81" s="11"/>
      <c r="BI81" s="11"/>
      <c r="BJ81" s="11"/>
      <c r="BK81" s="11"/>
      <c r="BL81" s="11"/>
      <c r="BM81" s="11"/>
    </row>
    <row r="82" spans="1:65" ht="19.95" customHeight="1" x14ac:dyDescent="0.3">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c r="BG82" s="11"/>
      <c r="BH82" s="11"/>
      <c r="BI82" s="11"/>
      <c r="BJ82" s="11"/>
      <c r="BK82" s="11"/>
      <c r="BL82" s="11"/>
      <c r="BM82" s="11"/>
    </row>
    <row r="83" spans="1:65" ht="19.95" customHeight="1" x14ac:dyDescent="0.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c r="BG83" s="11"/>
      <c r="BH83" s="11"/>
      <c r="BI83" s="11"/>
      <c r="BJ83" s="11"/>
      <c r="BK83" s="11"/>
      <c r="BL83" s="11"/>
      <c r="BM83" s="11"/>
    </row>
    <row r="84" spans="1:65" ht="19.95" customHeight="1" x14ac:dyDescent="0.3">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row>
    <row r="85" spans="1:65" ht="19.95" customHeight="1" x14ac:dyDescent="0.3">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row>
    <row r="86" spans="1:65" ht="19.95" customHeight="1" x14ac:dyDescent="0.3">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row>
    <row r="87" spans="1:65" ht="19.95" customHeight="1" x14ac:dyDescent="0.3">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row>
    <row r="88" spans="1:65" ht="19.95" customHeight="1" x14ac:dyDescent="0.3">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row>
    <row r="89" spans="1:65" ht="19.95" customHeight="1" x14ac:dyDescent="0.3">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row>
    <row r="90" spans="1:65" ht="19.95" customHeight="1" x14ac:dyDescent="0.3">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row>
    <row r="91" spans="1:65" ht="19.95" customHeight="1" x14ac:dyDescent="0.3">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row>
    <row r="92" spans="1:65" ht="19.95" customHeight="1" x14ac:dyDescent="0.3">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row>
    <row r="93" spans="1:65" ht="19.95" customHeight="1" x14ac:dyDescent="0.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row>
    <row r="94" spans="1:65" ht="19.95" customHeight="1" x14ac:dyDescent="0.3">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row>
    <row r="95" spans="1:65" ht="19.95" customHeight="1" x14ac:dyDescent="0.3">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row>
    <row r="96" spans="1:65" ht="19.95" customHeight="1" x14ac:dyDescent="0.3">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11"/>
    </row>
    <row r="97" spans="1:65" ht="19.95" customHeight="1" x14ac:dyDescent="0.3">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c r="BG97" s="11"/>
      <c r="BH97" s="11"/>
      <c r="BI97" s="11"/>
      <c r="BJ97" s="11"/>
      <c r="BK97" s="11"/>
      <c r="BL97" s="11"/>
      <c r="BM97" s="11"/>
    </row>
    <row r="98" spans="1:65" ht="19.95" customHeight="1" x14ac:dyDescent="0.3">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row>
    <row r="99" spans="1:65" ht="19.95" customHeight="1" x14ac:dyDescent="0.3">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row>
    <row r="100" spans="1:65" ht="19.95" customHeight="1" x14ac:dyDescent="0.3">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row>
    <row r="101" spans="1:65" ht="19.95" customHeight="1" x14ac:dyDescent="0.3">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row>
    <row r="102" spans="1:65" ht="19.95" customHeight="1" x14ac:dyDescent="0.3">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row>
    <row r="103" spans="1:65" ht="19.95" customHeight="1" x14ac:dyDescent="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row>
    <row r="104" spans="1:65" ht="19.95" customHeight="1" x14ac:dyDescent="0.3">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row>
    <row r="105" spans="1:65" ht="19.95" customHeight="1" x14ac:dyDescent="0.3">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row>
    <row r="106" spans="1:65" ht="19.95" customHeight="1" x14ac:dyDescent="0.3">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row>
    <row r="107" spans="1:65" ht="19.95" customHeight="1" x14ac:dyDescent="0.3">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row>
    <row r="108" spans="1:65" ht="19.95" customHeight="1" x14ac:dyDescent="0.3">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row>
    <row r="109" spans="1:65" ht="19.95" customHeight="1" x14ac:dyDescent="0.3">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row>
    <row r="110" spans="1:65" ht="19.95" customHeight="1" x14ac:dyDescent="0.3">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row>
    <row r="111" spans="1:65" ht="19.95" customHeight="1" x14ac:dyDescent="0.3">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row>
    <row r="112" spans="1:65" ht="19.95" customHeight="1" x14ac:dyDescent="0.3">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row>
    <row r="113" spans="1:65" ht="19.95" customHeight="1" x14ac:dyDescent="0.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row>
    <row r="114" spans="1:65" ht="19.95" customHeight="1" x14ac:dyDescent="0.3">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1"/>
      <c r="BI114" s="11"/>
      <c r="BJ114" s="11"/>
      <c r="BK114" s="11"/>
      <c r="BL114" s="11"/>
      <c r="BM114" s="11"/>
    </row>
    <row r="115" spans="1:65" ht="19.95" customHeight="1" x14ac:dyDescent="0.3">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row>
    <row r="116" spans="1:65" ht="19.95" customHeight="1" x14ac:dyDescent="0.3">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row>
    <row r="117" spans="1:65" ht="19.95" customHeight="1" x14ac:dyDescent="0.3">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row>
    <row r="118" spans="1:65" ht="19.95" customHeight="1" x14ac:dyDescent="0.3">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row>
    <row r="119" spans="1:65" ht="19.95" customHeight="1" x14ac:dyDescent="0.3">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row>
    <row r="120" spans="1:65" ht="19.95" customHeight="1" x14ac:dyDescent="0.3">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row>
    <row r="121" spans="1:65" ht="19.95" customHeight="1" x14ac:dyDescent="0.3">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row>
    <row r="122" spans="1:65" ht="19.95" customHeight="1" x14ac:dyDescent="0.3">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row>
    <row r="123" spans="1:65" ht="19.95" customHeight="1" x14ac:dyDescent="0.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row>
    <row r="124" spans="1:65" ht="19.95" customHeight="1" x14ac:dyDescent="0.3">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row>
    <row r="125" spans="1:65" ht="19.95" customHeight="1" x14ac:dyDescent="0.3">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row>
    <row r="126" spans="1:65" ht="19.95" customHeight="1" x14ac:dyDescent="0.3">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row>
    <row r="127" spans="1:65" ht="19.95" customHeight="1" x14ac:dyDescent="0.3">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11"/>
      <c r="BH127" s="11"/>
      <c r="BI127" s="11"/>
      <c r="BJ127" s="11"/>
      <c r="BK127" s="11"/>
      <c r="BL127" s="11"/>
      <c r="BM127" s="11"/>
    </row>
    <row r="128" spans="1:65" ht="19.95" customHeight="1" x14ac:dyDescent="0.3">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row>
    <row r="129" spans="1:65" ht="19.95" customHeight="1" x14ac:dyDescent="0.3">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c r="BH129" s="11"/>
      <c r="BI129" s="11"/>
      <c r="BJ129" s="11"/>
      <c r="BK129" s="11"/>
      <c r="BL129" s="11"/>
      <c r="BM129" s="11"/>
    </row>
    <row r="130" spans="1:65" ht="19.95" customHeight="1" x14ac:dyDescent="0.3">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row>
    <row r="131" spans="1:65" ht="19.95" customHeight="1" x14ac:dyDescent="0.3">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row>
    <row r="132" spans="1:65" ht="19.95" customHeight="1" x14ac:dyDescent="0.3">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1"/>
      <c r="BI132" s="11"/>
      <c r="BJ132" s="11"/>
      <c r="BK132" s="11"/>
      <c r="BL132" s="11"/>
      <c r="BM132" s="11"/>
    </row>
    <row r="133" spans="1:65" ht="19.95" customHeight="1" x14ac:dyDescent="0.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c r="BF133" s="11"/>
      <c r="BG133" s="11"/>
      <c r="BH133" s="11"/>
      <c r="BI133" s="11"/>
      <c r="BJ133" s="11"/>
      <c r="BK133" s="11"/>
      <c r="BL133" s="11"/>
      <c r="BM133" s="11"/>
    </row>
    <row r="134" spans="1:65" ht="19.95" customHeight="1" x14ac:dyDescent="0.3">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row>
    <row r="135" spans="1:65" ht="19.95" customHeight="1" x14ac:dyDescent="0.3">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row>
    <row r="136" spans="1:65" ht="19.95" customHeight="1" x14ac:dyDescent="0.3">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row>
    <row r="137" spans="1:65" ht="19.95" customHeight="1" x14ac:dyDescent="0.3">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row>
    <row r="138" spans="1:65" ht="19.95" customHeight="1" x14ac:dyDescent="0.3">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row>
    <row r="139" spans="1:65" ht="19.95" customHeight="1" x14ac:dyDescent="0.3">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row>
    <row r="140" spans="1:65" ht="19.95" customHeight="1" x14ac:dyDescent="0.3">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row>
    <row r="141" spans="1:65" ht="19.95" customHeight="1" x14ac:dyDescent="0.3">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row>
    <row r="142" spans="1:65" ht="19.95" customHeight="1" x14ac:dyDescent="0.3">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row>
    <row r="143" spans="1:65" ht="19.95" customHeight="1" x14ac:dyDescent="0.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row>
    <row r="144" spans="1:65" ht="19.95" customHeight="1" x14ac:dyDescent="0.3">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row>
    <row r="145" spans="1:65" ht="19.95" customHeight="1" x14ac:dyDescent="0.3">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row>
    <row r="146" spans="1:65" ht="19.95" customHeight="1" x14ac:dyDescent="0.3">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row>
    <row r="147" spans="1:65" ht="19.95" customHeight="1" x14ac:dyDescent="0.3">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row>
    <row r="148" spans="1:65" ht="19.95" customHeight="1" x14ac:dyDescent="0.3">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row>
    <row r="149" spans="1:65" ht="19.95" customHeight="1" x14ac:dyDescent="0.3">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row>
    <row r="150" spans="1:65" ht="19.95" customHeight="1" x14ac:dyDescent="0.3">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row>
    <row r="151" spans="1:65" ht="19.95" customHeight="1" x14ac:dyDescent="0.3">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row>
    <row r="152" spans="1:65" ht="19.95" customHeight="1" x14ac:dyDescent="0.3">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row>
    <row r="153" spans="1:65" ht="19.95" customHeight="1" x14ac:dyDescent="0.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1"/>
      <c r="BI153" s="11"/>
      <c r="BJ153" s="11"/>
      <c r="BK153" s="11"/>
      <c r="BL153" s="11"/>
      <c r="BM153" s="11"/>
    </row>
    <row r="154" spans="1:65" ht="19.95" customHeight="1" x14ac:dyDescent="0.3">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row>
    <row r="155" spans="1:65" ht="19.95" customHeight="1" x14ac:dyDescent="0.3">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row>
    <row r="156" spans="1:65" ht="19.95" customHeight="1" x14ac:dyDescent="0.3">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row>
    <row r="157" spans="1:65" ht="19.95" customHeight="1" x14ac:dyDescent="0.3">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row>
    <row r="158" spans="1:65" ht="19.95" customHeight="1" x14ac:dyDescent="0.3">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row>
    <row r="159" spans="1:65" ht="19.95" customHeight="1" x14ac:dyDescent="0.3">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row>
    <row r="160" spans="1:65" ht="19.95" customHeight="1" x14ac:dyDescent="0.3">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row>
    <row r="161" spans="1:65" ht="19.95" customHeight="1" x14ac:dyDescent="0.3">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row>
    <row r="162" spans="1:65" ht="19.95" customHeight="1" x14ac:dyDescent="0.3">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row>
    <row r="163" spans="1:65" ht="19.95" customHeight="1" x14ac:dyDescent="0.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row>
    <row r="164" spans="1:65" ht="19.95" customHeight="1" x14ac:dyDescent="0.3">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row>
    <row r="165" spans="1:65" ht="19.95" customHeight="1" x14ac:dyDescent="0.3">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row>
    <row r="166" spans="1:65" ht="19.95" customHeight="1" x14ac:dyDescent="0.3">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row>
    <row r="167" spans="1:65" ht="19.95" customHeight="1" x14ac:dyDescent="0.3">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row>
    <row r="168" spans="1:65" ht="19.95" customHeight="1" x14ac:dyDescent="0.3">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11"/>
      <c r="BH168" s="11"/>
      <c r="BI168" s="11"/>
      <c r="BJ168" s="11"/>
      <c r="BK168" s="11"/>
      <c r="BL168" s="11"/>
      <c r="BM168" s="11"/>
    </row>
    <row r="169" spans="1:65" ht="19.95" customHeight="1" x14ac:dyDescent="0.3">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row>
    <row r="170" spans="1:65" ht="19.95" customHeight="1" x14ac:dyDescent="0.3">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row>
    <row r="171" spans="1:65" ht="19.95" customHeight="1" x14ac:dyDescent="0.3">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row>
    <row r="172" spans="1:65" ht="19.95" customHeight="1" x14ac:dyDescent="0.3">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row>
    <row r="173" spans="1:65" ht="19.95" customHeight="1" x14ac:dyDescent="0.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row>
    <row r="174" spans="1:65" ht="19.95" customHeight="1" x14ac:dyDescent="0.3">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row>
    <row r="175" spans="1:65" ht="19.95" customHeight="1" x14ac:dyDescent="0.3">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row>
    <row r="176" spans="1:65" ht="19.95" customHeight="1" x14ac:dyDescent="0.3">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row>
    <row r="177" spans="1:65" ht="19.95" customHeight="1" x14ac:dyDescent="0.3">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row>
    <row r="178" spans="1:65" ht="19.95" customHeight="1" x14ac:dyDescent="0.3">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row>
    <row r="179" spans="1:65" ht="19.95" customHeight="1" x14ac:dyDescent="0.3">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row>
    <row r="180" spans="1:65" ht="19.95" customHeight="1" x14ac:dyDescent="0.3">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row>
    <row r="181" spans="1:65" ht="19.95" customHeight="1" x14ac:dyDescent="0.3">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row>
    <row r="182" spans="1:65" ht="19.95" customHeight="1" x14ac:dyDescent="0.3">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row>
    <row r="183" spans="1:65" ht="19.95" customHeight="1" x14ac:dyDescent="0.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row>
    <row r="184" spans="1:65" ht="19.95" customHeight="1" x14ac:dyDescent="0.3">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row>
    <row r="185" spans="1:65" ht="19.95" customHeight="1" x14ac:dyDescent="0.3">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row>
    <row r="186" spans="1:65" ht="19.95" customHeight="1" x14ac:dyDescent="0.3">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row>
    <row r="187" spans="1:65" ht="19.95" customHeight="1" x14ac:dyDescent="0.3">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row>
    <row r="188" spans="1:65" ht="19.95" customHeight="1" x14ac:dyDescent="0.3">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row>
    <row r="189" spans="1:65" ht="19.95" customHeight="1" x14ac:dyDescent="0.3">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row>
    <row r="190" spans="1:65" ht="19.95" customHeight="1" x14ac:dyDescent="0.3">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row>
    <row r="191" spans="1:65" ht="19.95" customHeight="1" x14ac:dyDescent="0.3">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row>
    <row r="192" spans="1:65" ht="19.95" customHeight="1" x14ac:dyDescent="0.3">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row>
    <row r="193" spans="1:65" ht="19.95" customHeight="1" x14ac:dyDescent="0.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row>
    <row r="194" spans="1:65" ht="19.95" customHeight="1" x14ac:dyDescent="0.3">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row>
    <row r="195" spans="1:65" ht="19.95" customHeight="1" x14ac:dyDescent="0.3">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row>
    <row r="196" spans="1:65" ht="19.95" customHeight="1" x14ac:dyDescent="0.3">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row>
    <row r="197" spans="1:65" ht="19.95" customHeight="1" x14ac:dyDescent="0.3">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row>
    <row r="198" spans="1:65" ht="19.95" customHeight="1" x14ac:dyDescent="0.3">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11"/>
      <c r="BK198" s="11"/>
      <c r="BL198" s="11"/>
      <c r="BM198" s="11"/>
    </row>
    <row r="199" spans="1:65" ht="19.95" customHeight="1" x14ac:dyDescent="0.3">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1"/>
      <c r="BI199" s="11"/>
      <c r="BJ199" s="11"/>
      <c r="BK199" s="11"/>
      <c r="BL199" s="11"/>
      <c r="BM199" s="11"/>
    </row>
    <row r="200" spans="1:65" ht="19.95" customHeight="1" x14ac:dyDescent="0.3">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11"/>
      <c r="BK200" s="11"/>
      <c r="BL200" s="11"/>
      <c r="BM200" s="11"/>
    </row>
    <row r="201" spans="1:65" ht="19.95" customHeight="1" x14ac:dyDescent="0.3">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11"/>
      <c r="BH201" s="11"/>
      <c r="BI201" s="11"/>
      <c r="BJ201" s="11"/>
      <c r="BK201" s="11"/>
      <c r="BL201" s="11"/>
      <c r="BM201" s="11"/>
    </row>
    <row r="202" spans="1:65" ht="19.95" customHeight="1" x14ac:dyDescent="0.3">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c r="BJ202" s="11"/>
      <c r="BK202" s="11"/>
      <c r="BL202" s="11"/>
      <c r="BM202" s="11"/>
    </row>
    <row r="203" spans="1:65" ht="19.95" customHeight="1" x14ac:dyDescent="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1"/>
      <c r="BI203" s="11"/>
      <c r="BJ203" s="11"/>
      <c r="BK203" s="11"/>
      <c r="BL203" s="11"/>
      <c r="BM203" s="11"/>
    </row>
    <row r="204" spans="1:65" ht="19.95" customHeight="1" x14ac:dyDescent="0.3">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11"/>
      <c r="BH204" s="11"/>
      <c r="BI204" s="11"/>
      <c r="BJ204" s="11"/>
      <c r="BK204" s="11"/>
      <c r="BL204" s="11"/>
      <c r="BM204" s="11"/>
    </row>
    <row r="205" spans="1:65" ht="19.95" customHeight="1" x14ac:dyDescent="0.3">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1"/>
      <c r="BI205" s="11"/>
      <c r="BJ205" s="11"/>
      <c r="BK205" s="11"/>
      <c r="BL205" s="11"/>
      <c r="BM205" s="11"/>
    </row>
    <row r="206" spans="1:65" ht="19.95" customHeight="1" x14ac:dyDescent="0.3">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row>
    <row r="207" spans="1:65" ht="19.95" customHeight="1" x14ac:dyDescent="0.3">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row>
    <row r="208" spans="1:65" ht="19.95" customHeight="1" x14ac:dyDescent="0.3">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11"/>
      <c r="BH208" s="11"/>
      <c r="BI208" s="11"/>
      <c r="BJ208" s="11"/>
      <c r="BK208" s="11"/>
      <c r="BL208" s="11"/>
      <c r="BM208" s="11"/>
    </row>
    <row r="209" spans="1:65" ht="19.95" customHeight="1" x14ac:dyDescent="0.3">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1"/>
      <c r="BI209" s="11"/>
      <c r="BJ209" s="11"/>
      <c r="BK209" s="11"/>
      <c r="BL209" s="11"/>
      <c r="BM209" s="11"/>
    </row>
    <row r="210" spans="1:65" ht="19.95" customHeight="1" x14ac:dyDescent="0.3">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row>
    <row r="211" spans="1:65" ht="19.95" customHeight="1" x14ac:dyDescent="0.3">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row>
    <row r="212" spans="1:65" ht="19.95" customHeight="1" x14ac:dyDescent="0.3">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1"/>
      <c r="BI212" s="11"/>
      <c r="BJ212" s="11"/>
      <c r="BK212" s="11"/>
      <c r="BL212" s="11"/>
      <c r="BM212" s="11"/>
    </row>
    <row r="213" spans="1:65" ht="19.95" customHeight="1" x14ac:dyDescent="0.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row>
    <row r="214" spans="1:65" ht="19.95" customHeight="1" x14ac:dyDescent="0.3">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1"/>
      <c r="BI214" s="11"/>
      <c r="BJ214" s="11"/>
      <c r="BK214" s="11"/>
      <c r="BL214" s="11"/>
      <c r="BM214" s="11"/>
    </row>
    <row r="215" spans="1:65" ht="19.95" customHeight="1" x14ac:dyDescent="0.3">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11"/>
      <c r="BH215" s="11"/>
      <c r="BI215" s="11"/>
      <c r="BJ215" s="11"/>
      <c r="BK215" s="11"/>
      <c r="BL215" s="11"/>
      <c r="BM215" s="11"/>
    </row>
    <row r="216" spans="1:65" ht="19.95" customHeight="1" x14ac:dyDescent="0.3">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c r="BF216" s="11"/>
      <c r="BG216" s="11"/>
      <c r="BH216" s="11"/>
      <c r="BI216" s="11"/>
      <c r="BJ216" s="11"/>
      <c r="BK216" s="11"/>
      <c r="BL216" s="11"/>
      <c r="BM216" s="11"/>
    </row>
    <row r="217" spans="1:65" ht="19.95" customHeight="1" x14ac:dyDescent="0.3">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11"/>
      <c r="BH217" s="11"/>
      <c r="BI217" s="11"/>
      <c r="BJ217" s="11"/>
      <c r="BK217" s="11"/>
      <c r="BL217" s="11"/>
      <c r="BM217" s="11"/>
    </row>
    <row r="218" spans="1:65" ht="19.95" customHeight="1" x14ac:dyDescent="0.3">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11"/>
      <c r="BH218" s="11"/>
      <c r="BI218" s="11"/>
      <c r="BJ218" s="11"/>
      <c r="BK218" s="11"/>
      <c r="BL218" s="11"/>
      <c r="BM218" s="11"/>
    </row>
    <row r="219" spans="1:65" ht="19.95" customHeight="1" x14ac:dyDescent="0.3">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11"/>
      <c r="BH219" s="11"/>
      <c r="BI219" s="11"/>
      <c r="BJ219" s="11"/>
      <c r="BK219" s="11"/>
      <c r="BL219" s="11"/>
      <c r="BM219" s="11"/>
    </row>
    <row r="220" spans="1:65" ht="19.95" customHeight="1" x14ac:dyDescent="0.3">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11"/>
    </row>
    <row r="221" spans="1:65" ht="19.95" customHeight="1" x14ac:dyDescent="0.3">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1"/>
      <c r="BI221" s="11"/>
      <c r="BJ221" s="11"/>
      <c r="BK221" s="11"/>
      <c r="BL221" s="11"/>
      <c r="BM221" s="11"/>
    </row>
    <row r="222" spans="1:65" ht="19.95" customHeight="1" x14ac:dyDescent="0.3">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1"/>
      <c r="BI222" s="11"/>
      <c r="BJ222" s="11"/>
      <c r="BK222" s="11"/>
      <c r="BL222" s="11"/>
      <c r="BM222" s="11"/>
    </row>
    <row r="223" spans="1:65" ht="19.95" customHeight="1" x14ac:dyDescent="0.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1"/>
      <c r="BI223" s="11"/>
      <c r="BJ223" s="11"/>
      <c r="BK223" s="11"/>
      <c r="BL223" s="11"/>
      <c r="BM223" s="11"/>
    </row>
    <row r="224" spans="1:65" ht="19.95" customHeight="1" x14ac:dyDescent="0.3">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11"/>
      <c r="BH224" s="11"/>
      <c r="BI224" s="11"/>
      <c r="BJ224" s="11"/>
      <c r="BK224" s="11"/>
      <c r="BL224" s="11"/>
      <c r="BM224" s="11"/>
    </row>
    <row r="225" spans="1:65" ht="19.95" customHeight="1" x14ac:dyDescent="0.3">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11"/>
      <c r="BH225" s="11"/>
      <c r="BI225" s="11"/>
      <c r="BJ225" s="11"/>
      <c r="BK225" s="11"/>
      <c r="BL225" s="11"/>
      <c r="BM225" s="11"/>
    </row>
    <row r="226" spans="1:65" ht="19.95" customHeight="1" x14ac:dyDescent="0.3">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c r="BF226" s="11"/>
      <c r="BG226" s="11"/>
      <c r="BH226" s="11"/>
      <c r="BI226" s="11"/>
      <c r="BJ226" s="11"/>
      <c r="BK226" s="11"/>
      <c r="BL226" s="11"/>
      <c r="BM226" s="11"/>
    </row>
    <row r="227" spans="1:65" ht="19.95" customHeight="1" x14ac:dyDescent="0.3">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11"/>
      <c r="BH227" s="11"/>
      <c r="BI227" s="11"/>
      <c r="BJ227" s="11"/>
      <c r="BK227" s="11"/>
      <c r="BL227" s="11"/>
      <c r="BM227" s="11"/>
    </row>
    <row r="228" spans="1:65" ht="19.95" customHeight="1" x14ac:dyDescent="0.3">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11"/>
      <c r="BH228" s="11"/>
      <c r="BI228" s="11"/>
      <c r="BJ228" s="11"/>
      <c r="BK228" s="11"/>
      <c r="BL228" s="11"/>
      <c r="BM228" s="11"/>
    </row>
    <row r="229" spans="1:65" ht="19.95" customHeight="1" x14ac:dyDescent="0.3">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1"/>
      <c r="BI229" s="11"/>
      <c r="BJ229" s="11"/>
      <c r="BK229" s="11"/>
      <c r="BL229" s="11"/>
      <c r="BM229" s="11"/>
    </row>
    <row r="230" spans="1:65" ht="19.95" customHeight="1" x14ac:dyDescent="0.3">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1"/>
      <c r="BI230" s="11"/>
      <c r="BJ230" s="11"/>
      <c r="BK230" s="11"/>
      <c r="BL230" s="11"/>
      <c r="BM230" s="11"/>
    </row>
    <row r="231" spans="1:65" ht="19.95" customHeight="1" x14ac:dyDescent="0.3">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c r="BF231" s="11"/>
      <c r="BG231" s="11"/>
      <c r="BH231" s="11"/>
      <c r="BI231" s="11"/>
      <c r="BJ231" s="11"/>
      <c r="BK231" s="11"/>
      <c r="BL231" s="11"/>
      <c r="BM231" s="11"/>
    </row>
    <row r="232" spans="1:65" ht="19.95" customHeight="1" x14ac:dyDescent="0.3">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c r="BF232" s="11"/>
      <c r="BG232" s="11"/>
      <c r="BH232" s="11"/>
      <c r="BI232" s="11"/>
      <c r="BJ232" s="11"/>
      <c r="BK232" s="11"/>
      <c r="BL232" s="11"/>
      <c r="BM232" s="11"/>
    </row>
    <row r="233" spans="1:65" ht="19.95" customHeight="1" x14ac:dyDescent="0.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c r="BF233" s="11"/>
      <c r="BG233" s="11"/>
      <c r="BH233" s="11"/>
      <c r="BI233" s="11"/>
      <c r="BJ233" s="11"/>
      <c r="BK233" s="11"/>
      <c r="BL233" s="11"/>
      <c r="BM233" s="11"/>
    </row>
    <row r="234" spans="1:65" ht="19.95" customHeight="1" x14ac:dyDescent="0.3">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c r="BF234" s="11"/>
      <c r="BG234" s="11"/>
      <c r="BH234" s="11"/>
      <c r="BI234" s="11"/>
      <c r="BJ234" s="11"/>
      <c r="BK234" s="11"/>
      <c r="BL234" s="11"/>
      <c r="BM234" s="11"/>
    </row>
    <row r="235" spans="1:65" ht="19.95" customHeight="1" x14ac:dyDescent="0.3">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c r="BF235" s="11"/>
      <c r="BG235" s="11"/>
      <c r="BH235" s="11"/>
      <c r="BI235" s="11"/>
      <c r="BJ235" s="11"/>
      <c r="BK235" s="11"/>
      <c r="BL235" s="11"/>
      <c r="BM235" s="11"/>
    </row>
    <row r="236" spans="1:65" ht="19.95" customHeight="1" x14ac:dyDescent="0.3">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c r="BF236" s="11"/>
      <c r="BG236" s="11"/>
      <c r="BH236" s="11"/>
      <c r="BI236" s="11"/>
      <c r="BJ236" s="11"/>
      <c r="BK236" s="11"/>
      <c r="BL236" s="11"/>
      <c r="BM236" s="11"/>
    </row>
    <row r="237" spans="1:65" ht="19.95" customHeight="1" x14ac:dyDescent="0.3">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11"/>
      <c r="BH237" s="11"/>
      <c r="BI237" s="11"/>
      <c r="BJ237" s="11"/>
      <c r="BK237" s="11"/>
      <c r="BL237" s="11"/>
      <c r="BM237" s="11"/>
    </row>
    <row r="238" spans="1:65" ht="19.95" customHeight="1" x14ac:dyDescent="0.3">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1"/>
      <c r="BI238" s="11"/>
      <c r="BJ238" s="11"/>
      <c r="BK238" s="11"/>
      <c r="BL238" s="11"/>
      <c r="BM238" s="11"/>
    </row>
    <row r="239" spans="1:65" ht="19.95" customHeight="1" x14ac:dyDescent="0.3">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row>
    <row r="240" spans="1:65" ht="19.95" customHeight="1" x14ac:dyDescent="0.3">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1"/>
      <c r="BI240" s="11"/>
      <c r="BJ240" s="11"/>
      <c r="BK240" s="11"/>
      <c r="BL240" s="11"/>
      <c r="BM240" s="11"/>
    </row>
    <row r="241" spans="1:65" ht="19.95" customHeight="1" x14ac:dyDescent="0.3">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11"/>
      <c r="BH241" s="11"/>
      <c r="BI241" s="11"/>
      <c r="BJ241" s="11"/>
      <c r="BK241" s="11"/>
      <c r="BL241" s="11"/>
      <c r="BM241" s="11"/>
    </row>
    <row r="242" spans="1:65" ht="19.95" customHeight="1" x14ac:dyDescent="0.3">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1"/>
      <c r="BI242" s="11"/>
      <c r="BJ242" s="11"/>
      <c r="BK242" s="11"/>
      <c r="BL242" s="11"/>
      <c r="BM242" s="11"/>
    </row>
    <row r="243" spans="1:65" ht="19.95" customHeight="1" x14ac:dyDescent="0.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11"/>
      <c r="BH243" s="11"/>
      <c r="BI243" s="11"/>
      <c r="BJ243" s="11"/>
      <c r="BK243" s="11"/>
      <c r="BL243" s="11"/>
      <c r="BM243" s="11"/>
    </row>
    <row r="244" spans="1:65" ht="19.95" customHeight="1" x14ac:dyDescent="0.3">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11"/>
      <c r="BH244" s="11"/>
      <c r="BI244" s="11"/>
      <c r="BJ244" s="11"/>
      <c r="BK244" s="11"/>
      <c r="BL244" s="11"/>
      <c r="BM244" s="11"/>
    </row>
    <row r="245" spans="1:65" ht="19.95" customHeight="1" x14ac:dyDescent="0.3">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c r="BF245" s="11"/>
      <c r="BG245" s="11"/>
      <c r="BH245" s="11"/>
      <c r="BI245" s="11"/>
      <c r="BJ245" s="11"/>
      <c r="BK245" s="11"/>
      <c r="BL245" s="11"/>
      <c r="BM245" s="11"/>
    </row>
    <row r="246" spans="1:65" ht="19.95" customHeight="1" x14ac:dyDescent="0.3">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c r="BF246" s="11"/>
      <c r="BG246" s="11"/>
      <c r="BH246" s="11"/>
      <c r="BI246" s="11"/>
      <c r="BJ246" s="11"/>
      <c r="BK246" s="11"/>
      <c r="BL246" s="11"/>
      <c r="BM246" s="11"/>
    </row>
    <row r="247" spans="1:65" ht="19.95" customHeight="1" x14ac:dyDescent="0.3">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1"/>
      <c r="BI247" s="11"/>
      <c r="BJ247" s="11"/>
      <c r="BK247" s="11"/>
      <c r="BL247" s="11"/>
      <c r="BM247" s="11"/>
    </row>
    <row r="248" spans="1:65" ht="19.95" customHeight="1" x14ac:dyDescent="0.3">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11"/>
      <c r="BH248" s="11"/>
      <c r="BI248" s="11"/>
      <c r="BJ248" s="11"/>
      <c r="BK248" s="11"/>
      <c r="BL248" s="11"/>
      <c r="BM248" s="11"/>
    </row>
    <row r="249" spans="1:65" ht="19.95" customHeight="1" x14ac:dyDescent="0.3">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1"/>
      <c r="BI249" s="11"/>
      <c r="BJ249" s="11"/>
      <c r="BK249" s="11"/>
      <c r="BL249" s="11"/>
      <c r="BM249" s="11"/>
    </row>
    <row r="250" spans="1:65" ht="19.95" customHeight="1" x14ac:dyDescent="0.3">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11"/>
      <c r="BH250" s="11"/>
      <c r="BI250" s="11"/>
      <c r="BJ250" s="11"/>
      <c r="BK250" s="11"/>
      <c r="BL250" s="11"/>
      <c r="BM250" s="11"/>
    </row>
    <row r="251" spans="1:65" ht="19.95" customHeight="1" x14ac:dyDescent="0.3">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c r="BF251" s="11"/>
      <c r="BG251" s="11"/>
      <c r="BH251" s="11"/>
      <c r="BI251" s="11"/>
      <c r="BJ251" s="11"/>
      <c r="BK251" s="11"/>
      <c r="BL251" s="11"/>
      <c r="BM251" s="11"/>
    </row>
    <row r="252" spans="1:65" ht="19.95" customHeight="1" x14ac:dyDescent="0.3">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1"/>
      <c r="BI252" s="11"/>
      <c r="BJ252" s="11"/>
      <c r="BK252" s="11"/>
      <c r="BL252" s="11"/>
      <c r="BM252" s="11"/>
    </row>
    <row r="253" spans="1:65" ht="19.95" customHeight="1" x14ac:dyDescent="0.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11"/>
      <c r="BH253" s="11"/>
      <c r="BI253" s="11"/>
      <c r="BJ253" s="11"/>
      <c r="BK253" s="11"/>
      <c r="BL253" s="11"/>
      <c r="BM253" s="11"/>
    </row>
    <row r="254" spans="1:65" ht="19.95" customHeight="1" x14ac:dyDescent="0.3">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11"/>
      <c r="BH254" s="11"/>
      <c r="BI254" s="11"/>
      <c r="BJ254" s="11"/>
      <c r="BK254" s="11"/>
      <c r="BL254" s="11"/>
      <c r="BM254" s="11"/>
    </row>
    <row r="255" spans="1:65" ht="19.95" customHeight="1" x14ac:dyDescent="0.3">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row>
    <row r="256" spans="1:65" ht="19.95" customHeight="1" x14ac:dyDescent="0.3">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1"/>
      <c r="BI256" s="11"/>
      <c r="BJ256" s="11"/>
      <c r="BK256" s="11"/>
      <c r="BL256" s="11"/>
      <c r="BM256" s="11"/>
    </row>
    <row r="257" spans="1:65" ht="19.95" customHeight="1" x14ac:dyDescent="0.3">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c r="BH257" s="11"/>
      <c r="BI257" s="11"/>
      <c r="BJ257" s="11"/>
      <c r="BK257" s="11"/>
      <c r="BL257" s="11"/>
      <c r="BM257" s="11"/>
    </row>
    <row r="258" spans="1:65" ht="19.95" customHeight="1" x14ac:dyDescent="0.3">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row>
    <row r="259" spans="1:65" ht="19.95" customHeight="1" x14ac:dyDescent="0.3">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11"/>
      <c r="BH259" s="11"/>
      <c r="BI259" s="11"/>
      <c r="BJ259" s="11"/>
      <c r="BK259" s="11"/>
      <c r="BL259" s="11"/>
      <c r="BM259" s="11"/>
    </row>
    <row r="260" spans="1:65" ht="19.95" customHeight="1" x14ac:dyDescent="0.3">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c r="BF260" s="11"/>
      <c r="BG260" s="11"/>
      <c r="BH260" s="11"/>
      <c r="BI260" s="11"/>
      <c r="BJ260" s="11"/>
      <c r="BK260" s="11"/>
      <c r="BL260" s="11"/>
      <c r="BM260" s="11"/>
    </row>
    <row r="261" spans="1:65" ht="19.95" customHeight="1" x14ac:dyDescent="0.3">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c r="BF261" s="11"/>
      <c r="BG261" s="11"/>
      <c r="BH261" s="11"/>
      <c r="BI261" s="11"/>
      <c r="BJ261" s="11"/>
      <c r="BK261" s="11"/>
      <c r="BL261" s="11"/>
      <c r="BM261" s="11"/>
    </row>
    <row r="262" spans="1:65" ht="19.95" customHeight="1" x14ac:dyDescent="0.3">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1"/>
      <c r="BI262" s="11"/>
      <c r="BJ262" s="11"/>
      <c r="BK262" s="11"/>
      <c r="BL262" s="11"/>
      <c r="BM262" s="11"/>
    </row>
    <row r="263" spans="1:65" ht="19.95" customHeight="1" x14ac:dyDescent="0.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11"/>
      <c r="BH263" s="11"/>
      <c r="BI263" s="11"/>
      <c r="BJ263" s="11"/>
      <c r="BK263" s="11"/>
      <c r="BL263" s="11"/>
      <c r="BM263" s="11"/>
    </row>
    <row r="264" spans="1:65" ht="19.95" customHeight="1" x14ac:dyDescent="0.3">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row>
    <row r="265" spans="1:65" ht="19.95" customHeight="1" x14ac:dyDescent="0.3">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row>
    <row r="266" spans="1:65" ht="19.95" customHeight="1" x14ac:dyDescent="0.3">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row>
    <row r="267" spans="1:65" ht="19.95" customHeight="1" x14ac:dyDescent="0.3">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row>
    <row r="268" spans="1:65" ht="19.95" customHeight="1" x14ac:dyDescent="0.3">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row>
    <row r="269" spans="1:65" ht="19.95" customHeight="1" x14ac:dyDescent="0.3">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row>
    <row r="270" spans="1:65" ht="19.95" customHeight="1" x14ac:dyDescent="0.3">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row>
    <row r="271" spans="1:65" ht="19.95" customHeight="1" x14ac:dyDescent="0.3">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1"/>
      <c r="BI271" s="11"/>
      <c r="BJ271" s="11"/>
      <c r="BK271" s="11"/>
      <c r="BL271" s="11"/>
      <c r="BM271" s="11"/>
    </row>
    <row r="272" spans="1:65" ht="19.95" customHeight="1" x14ac:dyDescent="0.3">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11"/>
      <c r="BH272" s="11"/>
      <c r="BI272" s="11"/>
      <c r="BJ272" s="11"/>
      <c r="BK272" s="11"/>
      <c r="BL272" s="11"/>
      <c r="BM272" s="11"/>
    </row>
    <row r="273" spans="1:65" ht="19.95" customHeight="1" x14ac:dyDescent="0.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c r="BF273" s="11"/>
      <c r="BG273" s="11"/>
      <c r="BH273" s="11"/>
      <c r="BI273" s="11"/>
      <c r="BJ273" s="11"/>
      <c r="BK273" s="11"/>
      <c r="BL273" s="11"/>
      <c r="BM273" s="11"/>
    </row>
    <row r="274" spans="1:65" ht="19.95" customHeight="1" x14ac:dyDescent="0.3">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1"/>
      <c r="BI274" s="11"/>
      <c r="BJ274" s="11"/>
      <c r="BK274" s="11"/>
      <c r="BL274" s="11"/>
      <c r="BM274" s="11"/>
    </row>
    <row r="275" spans="1:65" ht="19.95" customHeight="1" x14ac:dyDescent="0.3">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11"/>
      <c r="BH275" s="11"/>
      <c r="BI275" s="11"/>
      <c r="BJ275" s="11"/>
      <c r="BK275" s="11"/>
      <c r="BL275" s="11"/>
      <c r="BM275" s="11"/>
    </row>
    <row r="276" spans="1:65" ht="19.95" customHeight="1" x14ac:dyDescent="0.3">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11"/>
      <c r="BH276" s="11"/>
      <c r="BI276" s="11"/>
      <c r="BJ276" s="11"/>
      <c r="BK276" s="11"/>
      <c r="BL276" s="11"/>
      <c r="BM276" s="11"/>
    </row>
    <row r="277" spans="1:65" ht="19.95" customHeight="1" x14ac:dyDescent="0.3">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11"/>
      <c r="BH277" s="11"/>
      <c r="BI277" s="11"/>
      <c r="BJ277" s="11"/>
      <c r="BK277" s="11"/>
      <c r="BL277" s="11"/>
      <c r="BM277" s="11"/>
    </row>
    <row r="278" spans="1:65" ht="19.95" customHeight="1" x14ac:dyDescent="0.3">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11"/>
      <c r="BH278" s="11"/>
      <c r="BI278" s="11"/>
      <c r="BJ278" s="11"/>
      <c r="BK278" s="11"/>
      <c r="BL278" s="11"/>
      <c r="BM278" s="11"/>
    </row>
    <row r="279" spans="1:65" ht="19.95" customHeight="1" x14ac:dyDescent="0.3">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11"/>
      <c r="BH279" s="11"/>
      <c r="BI279" s="11"/>
      <c r="BJ279" s="11"/>
      <c r="BK279" s="11"/>
      <c r="BL279" s="11"/>
      <c r="BM279" s="11"/>
    </row>
    <row r="280" spans="1:65" ht="19.95" customHeight="1" x14ac:dyDescent="0.3">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c r="BJ280" s="11"/>
      <c r="BK280" s="11"/>
      <c r="BL280" s="11"/>
      <c r="BM280" s="11"/>
    </row>
    <row r="281" spans="1:65" ht="19.95" customHeight="1" x14ac:dyDescent="0.3">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11"/>
      <c r="BH281" s="11"/>
      <c r="BI281" s="11"/>
      <c r="BJ281" s="11"/>
      <c r="BK281" s="11"/>
      <c r="BL281" s="11"/>
      <c r="BM281" s="11"/>
    </row>
    <row r="282" spans="1:65" ht="19.95" customHeight="1" x14ac:dyDescent="0.3">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row>
    <row r="283" spans="1:65" ht="19.95" customHeight="1" x14ac:dyDescent="0.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1"/>
      <c r="BI283" s="11"/>
      <c r="BJ283" s="11"/>
      <c r="BK283" s="11"/>
      <c r="BL283" s="11"/>
      <c r="BM283" s="11"/>
    </row>
    <row r="284" spans="1:65" ht="19.95" customHeight="1" x14ac:dyDescent="0.3">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11"/>
      <c r="BH284" s="11"/>
      <c r="BI284" s="11"/>
      <c r="BJ284" s="11"/>
      <c r="BK284" s="11"/>
      <c r="BL284" s="11"/>
      <c r="BM284" s="11"/>
    </row>
    <row r="285" spans="1:65" ht="19.95" customHeight="1" x14ac:dyDescent="0.3">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c r="BF285" s="11"/>
      <c r="BG285" s="11"/>
      <c r="BH285" s="11"/>
      <c r="BI285" s="11"/>
      <c r="BJ285" s="11"/>
      <c r="BK285" s="11"/>
      <c r="BL285" s="11"/>
      <c r="BM285" s="11"/>
    </row>
    <row r="286" spans="1:65" ht="19.95" customHeight="1" x14ac:dyDescent="0.3">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11"/>
      <c r="BH286" s="11"/>
      <c r="BI286" s="11"/>
      <c r="BJ286" s="11"/>
      <c r="BK286" s="11"/>
      <c r="BL286" s="11"/>
      <c r="BM286" s="11"/>
    </row>
    <row r="287" spans="1:65" ht="19.95" customHeight="1" x14ac:dyDescent="0.3">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11"/>
      <c r="BH287" s="11"/>
      <c r="BI287" s="11"/>
      <c r="BJ287" s="11"/>
      <c r="BK287" s="11"/>
      <c r="BL287" s="11"/>
      <c r="BM287" s="11"/>
    </row>
    <row r="288" spans="1:65" ht="19.95" customHeight="1" x14ac:dyDescent="0.3">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1"/>
      <c r="BI288" s="11"/>
      <c r="BJ288" s="11"/>
      <c r="BK288" s="11"/>
      <c r="BL288" s="11"/>
      <c r="BM288" s="11"/>
    </row>
    <row r="289" spans="1:65" ht="19.95" customHeight="1" x14ac:dyDescent="0.3">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row>
    <row r="290" spans="1:65" ht="19.95" customHeight="1" x14ac:dyDescent="0.3">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1"/>
      <c r="BI290" s="11"/>
      <c r="BJ290" s="11"/>
      <c r="BK290" s="11"/>
      <c r="BL290" s="11"/>
      <c r="BM290" s="11"/>
    </row>
    <row r="291" spans="1:65" ht="19.95" customHeight="1" x14ac:dyDescent="0.3">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row>
    <row r="292" spans="1:65" ht="19.95" customHeight="1" x14ac:dyDescent="0.3">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row>
    <row r="293" spans="1:65" ht="19.95" customHeight="1" x14ac:dyDescent="0.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row>
    <row r="294" spans="1:65" ht="19.95" customHeight="1" x14ac:dyDescent="0.3">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row>
    <row r="295" spans="1:65" ht="19.95" customHeight="1" x14ac:dyDescent="0.3">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row>
    <row r="296" spans="1:65" ht="19.95" customHeight="1" x14ac:dyDescent="0.3">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1"/>
      <c r="BI296" s="11"/>
      <c r="BJ296" s="11"/>
      <c r="BK296" s="11"/>
      <c r="BL296" s="11"/>
      <c r="BM296" s="11"/>
    </row>
    <row r="297" spans="1:65" ht="19.95" customHeight="1" x14ac:dyDescent="0.3">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1"/>
      <c r="BI297" s="11"/>
      <c r="BJ297" s="11"/>
      <c r="BK297" s="11"/>
      <c r="BL297" s="11"/>
      <c r="BM297" s="11"/>
    </row>
    <row r="298" spans="1:65" ht="19.95" customHeight="1" x14ac:dyDescent="0.3">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c r="BH298" s="11"/>
      <c r="BI298" s="11"/>
      <c r="BJ298" s="11"/>
      <c r="BK298" s="11"/>
      <c r="BL298" s="11"/>
      <c r="BM298" s="11"/>
    </row>
    <row r="299" spans="1:65" ht="19.95" customHeight="1" x14ac:dyDescent="0.3">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c r="BH299" s="11"/>
      <c r="BI299" s="11"/>
      <c r="BJ299" s="11"/>
      <c r="BK299" s="11"/>
      <c r="BL299" s="11"/>
      <c r="BM299" s="11"/>
    </row>
    <row r="300" spans="1:65" ht="19.95" customHeight="1" x14ac:dyDescent="0.3">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1"/>
      <c r="BI300" s="11"/>
      <c r="BJ300" s="11"/>
      <c r="BK300" s="11"/>
      <c r="BL300" s="11"/>
      <c r="BM300" s="11"/>
    </row>
    <row r="301" spans="1:65" ht="19.95" customHeight="1" x14ac:dyDescent="0.3">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row>
    <row r="302" spans="1:65" ht="19.95" customHeight="1" x14ac:dyDescent="0.3">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row>
    <row r="303" spans="1:65" ht="19.95" customHeight="1" x14ac:dyDescent="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11"/>
      <c r="BH303" s="11"/>
      <c r="BI303" s="11"/>
      <c r="BJ303" s="11"/>
      <c r="BK303" s="11"/>
      <c r="BL303" s="11"/>
      <c r="BM303" s="11"/>
    </row>
    <row r="304" spans="1:65" ht="19.95" customHeight="1" x14ac:dyDescent="0.3">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11"/>
      <c r="BH304" s="11"/>
      <c r="BI304" s="11"/>
      <c r="BJ304" s="11"/>
      <c r="BK304" s="11"/>
      <c r="BL304" s="11"/>
      <c r="BM304" s="11"/>
    </row>
    <row r="305" spans="1:65" ht="19.95" customHeight="1" x14ac:dyDescent="0.3">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c r="BH305" s="11"/>
      <c r="BI305" s="11"/>
      <c r="BJ305" s="11"/>
      <c r="BK305" s="11"/>
      <c r="BL305" s="11"/>
      <c r="BM305" s="11"/>
    </row>
    <row r="306" spans="1:65" ht="19.95" customHeight="1" x14ac:dyDescent="0.3">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1"/>
      <c r="BI306" s="11"/>
      <c r="BJ306" s="11"/>
      <c r="BK306" s="11"/>
      <c r="BL306" s="11"/>
      <c r="BM306" s="11"/>
    </row>
    <row r="307" spans="1:65" ht="19.95" customHeight="1" x14ac:dyDescent="0.3">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11"/>
      <c r="BH307" s="11"/>
      <c r="BI307" s="11"/>
      <c r="BJ307" s="11"/>
      <c r="BK307" s="11"/>
      <c r="BL307" s="11"/>
      <c r="BM307" s="11"/>
    </row>
    <row r="308" spans="1:65" ht="19.95" customHeight="1" x14ac:dyDescent="0.3">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row>
    <row r="309" spans="1:65" ht="19.95" customHeight="1" x14ac:dyDescent="0.3">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11"/>
      <c r="BH309" s="11"/>
      <c r="BI309" s="11"/>
      <c r="BJ309" s="11"/>
      <c r="BK309" s="11"/>
      <c r="BL309" s="11"/>
      <c r="BM309" s="11"/>
    </row>
    <row r="310" spans="1:65" ht="19.95" customHeight="1" x14ac:dyDescent="0.3">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row>
    <row r="311" spans="1:65" ht="19.95" customHeight="1" x14ac:dyDescent="0.3">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row>
    <row r="312" spans="1:65" ht="19.95" customHeight="1" x14ac:dyDescent="0.3">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row>
    <row r="313" spans="1:65" ht="19.95" customHeight="1" x14ac:dyDescent="0.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row>
    <row r="314" spans="1:65" ht="19.95" customHeight="1" x14ac:dyDescent="0.3">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row>
    <row r="315" spans="1:65" ht="19.95" customHeight="1" x14ac:dyDescent="0.3">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c r="BH315" s="11"/>
      <c r="BI315" s="11"/>
      <c r="BJ315" s="11"/>
      <c r="BK315" s="11"/>
      <c r="BL315" s="11"/>
      <c r="BM315" s="11"/>
    </row>
    <row r="316" spans="1:65" ht="19.95" customHeight="1" x14ac:dyDescent="0.3">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row>
    <row r="317" spans="1:65" ht="19.95" customHeight="1" x14ac:dyDescent="0.3">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11"/>
      <c r="BH317" s="11"/>
      <c r="BI317" s="11"/>
      <c r="BJ317" s="11"/>
      <c r="BK317" s="11"/>
      <c r="BL317" s="11"/>
      <c r="BM317" s="11"/>
    </row>
    <row r="318" spans="1:65" ht="19.95" customHeight="1" x14ac:dyDescent="0.3">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11"/>
      <c r="BH318" s="11"/>
      <c r="BI318" s="11"/>
      <c r="BJ318" s="11"/>
      <c r="BK318" s="11"/>
      <c r="BL318" s="11"/>
      <c r="BM318" s="11"/>
    </row>
    <row r="319" spans="1:65" ht="19.95" customHeight="1" x14ac:dyDescent="0.3">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11"/>
      <c r="BH319" s="11"/>
      <c r="BI319" s="11"/>
      <c r="BJ319" s="11"/>
      <c r="BK319" s="11"/>
      <c r="BL319" s="11"/>
      <c r="BM319" s="11"/>
    </row>
    <row r="320" spans="1:65" ht="19.95" customHeight="1" x14ac:dyDescent="0.3">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11"/>
      <c r="BH320" s="11"/>
      <c r="BI320" s="11"/>
      <c r="BJ320" s="11"/>
      <c r="BK320" s="11"/>
      <c r="BL320" s="11"/>
      <c r="BM320" s="11"/>
    </row>
    <row r="321" spans="1:65" ht="19.95" customHeight="1" x14ac:dyDescent="0.3">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11"/>
      <c r="BH321" s="11"/>
      <c r="BI321" s="11"/>
      <c r="BJ321" s="11"/>
      <c r="BK321" s="11"/>
      <c r="BL321" s="11"/>
      <c r="BM321" s="11"/>
    </row>
    <row r="322" spans="1:65" ht="19.95" customHeight="1" x14ac:dyDescent="0.3">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c r="BH322" s="11"/>
      <c r="BI322" s="11"/>
      <c r="BJ322" s="11"/>
      <c r="BK322" s="11"/>
      <c r="BL322" s="11"/>
      <c r="BM322" s="11"/>
    </row>
    <row r="323" spans="1:65" ht="19.95" customHeight="1" x14ac:dyDescent="0.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c r="BH323" s="11"/>
      <c r="BI323" s="11"/>
      <c r="BJ323" s="11"/>
      <c r="BK323" s="11"/>
      <c r="BL323" s="11"/>
      <c r="BM323" s="11"/>
    </row>
    <row r="324" spans="1:65" ht="19.95" customHeight="1" x14ac:dyDescent="0.3">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row>
    <row r="325" spans="1:65" ht="19.95" customHeight="1" x14ac:dyDescent="0.3">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11"/>
      <c r="BH325" s="11"/>
      <c r="BI325" s="11"/>
      <c r="BJ325" s="11"/>
      <c r="BK325" s="11"/>
      <c r="BL325" s="11"/>
      <c r="BM325" s="11"/>
    </row>
    <row r="326" spans="1:65" ht="19.95" customHeight="1" x14ac:dyDescent="0.3">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row>
    <row r="327" spans="1:65" ht="19.95" customHeight="1" x14ac:dyDescent="0.3">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row>
    <row r="328" spans="1:65" ht="19.95" customHeight="1" x14ac:dyDescent="0.3">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row>
    <row r="329" spans="1:65" ht="19.95" customHeight="1" x14ac:dyDescent="0.3">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row>
    <row r="330" spans="1:65" ht="19.95" customHeight="1" x14ac:dyDescent="0.3">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11"/>
      <c r="BH330" s="11"/>
      <c r="BI330" s="11"/>
      <c r="BJ330" s="11"/>
      <c r="BK330" s="11"/>
      <c r="BL330" s="11"/>
      <c r="BM330" s="11"/>
    </row>
    <row r="331" spans="1:65" ht="19.95" customHeight="1" x14ac:dyDescent="0.3">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11"/>
      <c r="BH331" s="11"/>
      <c r="BI331" s="11"/>
      <c r="BJ331" s="11"/>
      <c r="BK331" s="11"/>
      <c r="BL331" s="11"/>
      <c r="BM331" s="11"/>
    </row>
    <row r="332" spans="1:65" ht="19.95" customHeight="1" x14ac:dyDescent="0.3">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row>
    <row r="333" spans="1:65" ht="19.95" customHeight="1" x14ac:dyDescent="0.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c r="BF333" s="11"/>
      <c r="BG333" s="11"/>
      <c r="BH333" s="11"/>
      <c r="BI333" s="11"/>
      <c r="BJ333" s="11"/>
      <c r="BK333" s="11"/>
      <c r="BL333" s="11"/>
      <c r="BM333" s="11"/>
    </row>
    <row r="334" spans="1:65" ht="19.95" customHeight="1" x14ac:dyDescent="0.3">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c r="BF334" s="11"/>
      <c r="BG334" s="11"/>
      <c r="BH334" s="11"/>
      <c r="BI334" s="11"/>
      <c r="BJ334" s="11"/>
      <c r="BK334" s="11"/>
      <c r="BL334" s="11"/>
      <c r="BM334" s="11"/>
    </row>
    <row r="335" spans="1:65" ht="19.95" customHeight="1" x14ac:dyDescent="0.3">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c r="BF335" s="11"/>
      <c r="BG335" s="11"/>
      <c r="BH335" s="11"/>
      <c r="BI335" s="11"/>
      <c r="BJ335" s="11"/>
      <c r="BK335" s="11"/>
      <c r="BL335" s="11"/>
      <c r="BM335" s="11"/>
    </row>
    <row r="336" spans="1:65" ht="19.95" customHeight="1" x14ac:dyDescent="0.3">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c r="BF336" s="11"/>
      <c r="BG336" s="11"/>
      <c r="BH336" s="11"/>
      <c r="BI336" s="11"/>
      <c r="BJ336" s="11"/>
      <c r="BK336" s="11"/>
      <c r="BL336" s="11"/>
      <c r="BM336" s="11"/>
    </row>
    <row r="337" spans="1:65" ht="19.95" customHeight="1" x14ac:dyDescent="0.3">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11"/>
      <c r="BH337" s="11"/>
      <c r="BI337" s="11"/>
      <c r="BJ337" s="11"/>
      <c r="BK337" s="11"/>
      <c r="BL337" s="11"/>
      <c r="BM337" s="11"/>
    </row>
    <row r="338" spans="1:65" ht="19.95" customHeight="1" x14ac:dyDescent="0.3">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row>
    <row r="339" spans="1:65" ht="19.95" customHeight="1" x14ac:dyDescent="0.3">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row>
    <row r="340" spans="1:65" ht="19.95" customHeight="1" x14ac:dyDescent="0.3">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c r="BF340" s="11"/>
      <c r="BG340" s="11"/>
      <c r="BH340" s="11"/>
      <c r="BI340" s="11"/>
      <c r="BJ340" s="11"/>
      <c r="BK340" s="11"/>
      <c r="BL340" s="11"/>
      <c r="BM340" s="11"/>
    </row>
    <row r="341" spans="1:65" ht="19.95" customHeight="1" x14ac:dyDescent="0.3">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c r="BF341" s="11"/>
      <c r="BG341" s="11"/>
      <c r="BH341" s="11"/>
      <c r="BI341" s="11"/>
      <c r="BJ341" s="11"/>
      <c r="BK341" s="11"/>
      <c r="BL341" s="11"/>
      <c r="BM341" s="11"/>
    </row>
    <row r="342" spans="1:65" ht="19.95" customHeight="1" x14ac:dyDescent="0.3">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11"/>
      <c r="BH342" s="11"/>
      <c r="BI342" s="11"/>
      <c r="BJ342" s="11"/>
      <c r="BK342" s="11"/>
      <c r="BL342" s="11"/>
      <c r="BM342" s="11"/>
    </row>
    <row r="343" spans="1:65" ht="19.95" customHeight="1" x14ac:dyDescent="0.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c r="BF343" s="11"/>
      <c r="BG343" s="11"/>
      <c r="BH343" s="11"/>
      <c r="BI343" s="11"/>
      <c r="BJ343" s="11"/>
      <c r="BK343" s="11"/>
      <c r="BL343" s="11"/>
      <c r="BM343" s="11"/>
    </row>
    <row r="344" spans="1:65" ht="19.95" customHeight="1" x14ac:dyDescent="0.3">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c r="BF344" s="11"/>
      <c r="BG344" s="11"/>
      <c r="BH344" s="11"/>
      <c r="BI344" s="11"/>
      <c r="BJ344" s="11"/>
      <c r="BK344" s="11"/>
      <c r="BL344" s="11"/>
      <c r="BM344" s="11"/>
    </row>
    <row r="345" spans="1:65" ht="19.95" customHeight="1" x14ac:dyDescent="0.3">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1"/>
      <c r="BI345" s="11"/>
      <c r="BJ345" s="11"/>
      <c r="BK345" s="11"/>
      <c r="BL345" s="11"/>
      <c r="BM345" s="11"/>
    </row>
    <row r="346" spans="1:65" ht="19.95" customHeight="1" x14ac:dyDescent="0.3">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row>
    <row r="347" spans="1:65" ht="19.95" customHeight="1" x14ac:dyDescent="0.3">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c r="BF347" s="11"/>
      <c r="BG347" s="11"/>
      <c r="BH347" s="11"/>
      <c r="BI347" s="11"/>
      <c r="BJ347" s="11"/>
      <c r="BK347" s="11"/>
      <c r="BL347" s="11"/>
      <c r="BM347" s="11"/>
    </row>
    <row r="348" spans="1:65" ht="19.95" customHeight="1" x14ac:dyDescent="0.3">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c r="BF348" s="11"/>
      <c r="BG348" s="11"/>
      <c r="BH348" s="11"/>
      <c r="BI348" s="11"/>
      <c r="BJ348" s="11"/>
      <c r="BK348" s="11"/>
      <c r="BL348" s="11"/>
      <c r="BM348" s="11"/>
    </row>
    <row r="349" spans="1:65" ht="19.95" customHeight="1" x14ac:dyDescent="0.3">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c r="BF349" s="11"/>
      <c r="BG349" s="11"/>
      <c r="BH349" s="11"/>
      <c r="BI349" s="11"/>
      <c r="BJ349" s="11"/>
      <c r="BK349" s="11"/>
      <c r="BL349" s="11"/>
      <c r="BM349" s="11"/>
    </row>
    <row r="350" spans="1:65" ht="19.95" customHeight="1" x14ac:dyDescent="0.3">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row>
    <row r="351" spans="1:65" ht="19.95" customHeight="1" x14ac:dyDescent="0.3">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11"/>
      <c r="BH351" s="11"/>
      <c r="BI351" s="11"/>
      <c r="BJ351" s="11"/>
      <c r="BK351" s="11"/>
      <c r="BL351" s="11"/>
      <c r="BM351" s="11"/>
    </row>
    <row r="352" spans="1:65" ht="19.95" customHeight="1" x14ac:dyDescent="0.3">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row>
    <row r="353" spans="1:65" ht="19.95" customHeight="1" x14ac:dyDescent="0.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row>
    <row r="354" spans="1:65" ht="19.95" customHeight="1" x14ac:dyDescent="0.3">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c r="BF354" s="11"/>
      <c r="BG354" s="11"/>
      <c r="BH354" s="11"/>
      <c r="BI354" s="11"/>
      <c r="BJ354" s="11"/>
      <c r="BK354" s="11"/>
      <c r="BL354" s="11"/>
      <c r="BM354" s="11"/>
    </row>
  </sheetData>
  <pageMargins left="0.7" right="0.7" top="0.75" bottom="0.75" header="0.3" footer="0.3"/>
  <pageSetup paperSize="9" orientation="portrait" r:id="rId1"/>
  <headerFooter>
    <oddFooter>&amp;CAir Products Internal Use Only</oddFooter>
  </headerFooter>
  <drawing r:id="rId2"/>
  <picture r:id="rId3"/>
  <extLst>
    <ext xmlns:x14="http://schemas.microsoft.com/office/spreadsheetml/2009/9/main" uri="{05C60535-1F16-4fd2-B633-F4F36F0B64E0}">
      <x14:sparklineGroups xmlns:xm="http://schemas.microsoft.com/office/excel/2006/main">
        <x14:sparklineGroup displayEmptyCellsAs="gap" xr2:uid="{7BBD6D50-1D63-445B-9CCC-1CAC07741E8F}">
          <x14:colorSeries theme="0"/>
          <x14:colorNegative rgb="FFD00000"/>
          <x14:colorAxis rgb="FF000000"/>
          <x14:colorMarkers rgb="FFD00000"/>
          <x14:colorFirst rgb="FFD00000"/>
          <x14:colorLast rgb="FFD00000"/>
          <x14:colorHigh rgb="FFD00000"/>
          <x14:colorLow rgb="FFD00000"/>
          <x14:sparklines>
            <x14:sparkline>
              <xm:f>table!BI7:CL7</xm:f>
              <xm:sqref>I24</xm:sqref>
            </x14:sparkline>
            <x14:sparkline>
              <xm:f>table!BI8:CL8</xm:f>
              <xm:sqref>J24</xm:sqref>
            </x14:sparkline>
            <x14:sparkline>
              <xm:f>table!BI9:CL9</xm:f>
              <xm:sqref>K24</xm:sqref>
            </x14:sparkline>
          </x14:sparklines>
        </x14:sparklineGroup>
      </x14:sparklineGroups>
    </ex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F1C51-20C7-4509-8CA4-DA9CF92A5282}">
  <dimension ref="B6:AD40"/>
  <sheetViews>
    <sheetView showGridLines="0" showRowColHeaders="0" tabSelected="1" topLeftCell="A4" zoomScale="55" zoomScaleNormal="55" workbookViewId="0">
      <selection activeCell="D29" sqref="D29"/>
    </sheetView>
  </sheetViews>
  <sheetFormatPr defaultRowHeight="14.4" x14ac:dyDescent="0.3"/>
  <cols>
    <col min="1" max="1" width="8.88671875" style="47"/>
    <col min="2" max="2" width="2.44140625" style="47" customWidth="1"/>
    <col min="3" max="3" width="20.5546875" style="47" customWidth="1"/>
    <col min="4" max="4" width="22.44140625" style="47" customWidth="1"/>
    <col min="5" max="5" width="24.6640625" style="47" customWidth="1"/>
    <col min="6" max="6" width="22" style="47" customWidth="1"/>
    <col min="7" max="7" width="4.109375" style="47" customWidth="1"/>
    <col min="8" max="9" width="5" style="47" customWidth="1"/>
    <col min="10" max="10" width="10.33203125" style="47" customWidth="1"/>
    <col min="11" max="11" width="20" style="47" customWidth="1"/>
    <col min="12" max="12" width="51.77734375" style="47" customWidth="1"/>
    <col min="13" max="13" width="10" style="47" customWidth="1"/>
    <col min="14" max="16384" width="8.88671875" style="47"/>
  </cols>
  <sheetData>
    <row r="6" spans="26:30" ht="15" thickBot="1" x14ac:dyDescent="0.35"/>
    <row r="7" spans="26:30" x14ac:dyDescent="0.3">
      <c r="Z7" s="82" t="s">
        <v>158</v>
      </c>
      <c r="AA7" s="83"/>
      <c r="AB7" s="83"/>
      <c r="AC7" s="83"/>
      <c r="AD7" s="84"/>
    </row>
    <row r="8" spans="26:30" x14ac:dyDescent="0.3">
      <c r="Z8" s="85"/>
      <c r="AA8" s="86"/>
      <c r="AB8" s="86"/>
      <c r="AC8" s="86"/>
      <c r="AD8" s="87"/>
    </row>
    <row r="9" spans="26:30" x14ac:dyDescent="0.3">
      <c r="Z9" s="85"/>
      <c r="AA9" s="86"/>
      <c r="AB9" s="86"/>
      <c r="AC9" s="86"/>
      <c r="AD9" s="87"/>
    </row>
    <row r="10" spans="26:30" x14ac:dyDescent="0.3">
      <c r="Z10" s="85"/>
      <c r="AA10" s="86"/>
      <c r="AB10" s="86"/>
      <c r="AC10" s="86"/>
      <c r="AD10" s="87"/>
    </row>
    <row r="11" spans="26:30" x14ac:dyDescent="0.3">
      <c r="Z11" s="85"/>
      <c r="AA11" s="86"/>
      <c r="AB11" s="86"/>
      <c r="AC11" s="86"/>
      <c r="AD11" s="87"/>
    </row>
    <row r="12" spans="26:30" x14ac:dyDescent="0.3">
      <c r="Z12" s="85"/>
      <c r="AA12" s="86"/>
      <c r="AB12" s="86"/>
      <c r="AC12" s="86"/>
      <c r="AD12" s="87"/>
    </row>
    <row r="13" spans="26:30" x14ac:dyDescent="0.3">
      <c r="Z13" s="85"/>
      <c r="AA13" s="86"/>
      <c r="AB13" s="86"/>
      <c r="AC13" s="86"/>
      <c r="AD13" s="87"/>
    </row>
    <row r="14" spans="26:30" x14ac:dyDescent="0.3">
      <c r="Z14" s="85"/>
      <c r="AA14" s="86"/>
      <c r="AB14" s="86"/>
      <c r="AC14" s="86"/>
      <c r="AD14" s="87"/>
    </row>
    <row r="15" spans="26:30" x14ac:dyDescent="0.3">
      <c r="Z15" s="85"/>
      <c r="AA15" s="86"/>
      <c r="AB15" s="86"/>
      <c r="AC15" s="86"/>
      <c r="AD15" s="87"/>
    </row>
    <row r="16" spans="26:30" x14ac:dyDescent="0.3">
      <c r="Z16" s="85"/>
      <c r="AA16" s="86"/>
      <c r="AB16" s="86"/>
      <c r="AC16" s="86"/>
      <c r="AD16" s="87"/>
    </row>
    <row r="17" spans="2:30" x14ac:dyDescent="0.3">
      <c r="Z17" s="85"/>
      <c r="AA17" s="86"/>
      <c r="AB17" s="86"/>
      <c r="AC17" s="86"/>
      <c r="AD17" s="87"/>
    </row>
    <row r="18" spans="2:30" x14ac:dyDescent="0.3">
      <c r="Z18" s="85"/>
      <c r="AA18" s="86"/>
      <c r="AB18" s="86"/>
      <c r="AC18" s="86"/>
      <c r="AD18" s="87"/>
    </row>
    <row r="19" spans="2:30" x14ac:dyDescent="0.3">
      <c r="Z19" s="85"/>
      <c r="AA19" s="86"/>
      <c r="AB19" s="86"/>
      <c r="AC19" s="86"/>
      <c r="AD19" s="87"/>
    </row>
    <row r="20" spans="2:30" x14ac:dyDescent="0.3">
      <c r="Z20" s="85"/>
      <c r="AA20" s="86"/>
      <c r="AB20" s="86"/>
      <c r="AC20" s="86"/>
      <c r="AD20" s="87"/>
    </row>
    <row r="21" spans="2:30" x14ac:dyDescent="0.3">
      <c r="Z21" s="85"/>
      <c r="AA21" s="86"/>
      <c r="AB21" s="86"/>
      <c r="AC21" s="86"/>
      <c r="AD21" s="87"/>
    </row>
    <row r="22" spans="2:30" x14ac:dyDescent="0.3">
      <c r="Z22" s="85"/>
      <c r="AA22" s="86"/>
      <c r="AB22" s="86"/>
      <c r="AC22" s="86"/>
      <c r="AD22" s="87"/>
    </row>
    <row r="23" spans="2:30" x14ac:dyDescent="0.3">
      <c r="Z23" s="85"/>
      <c r="AA23" s="86"/>
      <c r="AB23" s="86"/>
      <c r="AC23" s="86"/>
      <c r="AD23" s="87"/>
    </row>
    <row r="24" spans="2:30" x14ac:dyDescent="0.3">
      <c r="Z24" s="85"/>
      <c r="AA24" s="86"/>
      <c r="AB24" s="86"/>
      <c r="AC24" s="86"/>
      <c r="AD24" s="87"/>
    </row>
    <row r="25" spans="2:30" x14ac:dyDescent="0.3">
      <c r="Z25" s="85"/>
      <c r="AA25" s="86"/>
      <c r="AB25" s="86"/>
      <c r="AC25" s="86"/>
      <c r="AD25" s="87"/>
    </row>
    <row r="26" spans="2:30" x14ac:dyDescent="0.3">
      <c r="Z26" s="85"/>
      <c r="AA26" s="86"/>
      <c r="AB26" s="86"/>
      <c r="AC26" s="86"/>
      <c r="AD26" s="87"/>
    </row>
    <row r="27" spans="2:30" x14ac:dyDescent="0.3">
      <c r="Z27" s="85"/>
      <c r="AA27" s="86"/>
      <c r="AB27" s="86"/>
      <c r="AC27" s="86"/>
      <c r="AD27" s="87"/>
    </row>
    <row r="28" spans="2:30" x14ac:dyDescent="0.3">
      <c r="Z28" s="85"/>
      <c r="AA28" s="86"/>
      <c r="AB28" s="86"/>
      <c r="AC28" s="86"/>
      <c r="AD28" s="87"/>
    </row>
    <row r="29" spans="2:30" x14ac:dyDescent="0.3">
      <c r="Z29" s="85"/>
      <c r="AA29" s="86"/>
      <c r="AB29" s="86"/>
      <c r="AC29" s="86"/>
      <c r="AD29" s="87"/>
    </row>
    <row r="30" spans="2:30" ht="61.2" customHeight="1" x14ac:dyDescent="0.3">
      <c r="Z30" s="85"/>
      <c r="AA30" s="86"/>
      <c r="AB30" s="86"/>
      <c r="AC30" s="86"/>
      <c r="AD30" s="87"/>
    </row>
    <row r="31" spans="2:30" ht="16.2" customHeight="1" thickBot="1" x14ac:dyDescent="0.35">
      <c r="Z31" s="85"/>
      <c r="AA31" s="86"/>
      <c r="AB31" s="86"/>
      <c r="AC31" s="86"/>
      <c r="AD31" s="87"/>
    </row>
    <row r="32" spans="2:30" ht="28.2" customHeight="1" x14ac:dyDescent="0.3">
      <c r="B32" s="70" t="s">
        <v>129</v>
      </c>
      <c r="C32" s="71"/>
      <c r="D32" s="71"/>
      <c r="E32" s="71"/>
      <c r="F32" s="71"/>
      <c r="G32" s="72"/>
      <c r="I32" s="70" t="s">
        <v>130</v>
      </c>
      <c r="J32" s="71"/>
      <c r="K32" s="71"/>
      <c r="L32" s="71"/>
      <c r="M32" s="72"/>
      <c r="N32" s="56"/>
      <c r="O32" s="73" t="s">
        <v>157</v>
      </c>
      <c r="P32" s="74"/>
      <c r="Q32" s="74"/>
      <c r="R32" s="74"/>
      <c r="S32" s="74"/>
      <c r="T32" s="74"/>
      <c r="U32" s="74"/>
      <c r="V32" s="74"/>
      <c r="W32" s="74"/>
      <c r="X32" s="75"/>
      <c r="Z32" s="85"/>
      <c r="AA32" s="86"/>
      <c r="AB32" s="86"/>
      <c r="AC32" s="86"/>
      <c r="AD32" s="87"/>
    </row>
    <row r="33" spans="2:30" ht="27.6" customHeight="1" x14ac:dyDescent="0.3">
      <c r="B33" s="64"/>
      <c r="C33" s="48"/>
      <c r="D33" s="53" t="str">
        <f>table!BH7</f>
        <v>TN120</v>
      </c>
      <c r="E33" s="53" t="str">
        <f>table!BH8</f>
        <v>TN550 I (N2)</v>
      </c>
      <c r="F33" s="53" t="str">
        <f>table!BH9</f>
        <v>TN550 I (O2)</v>
      </c>
      <c r="G33" s="65"/>
      <c r="I33" s="64"/>
      <c r="K33" s="58">
        <f ca="1">TODAY()-1</f>
        <v>44233</v>
      </c>
      <c r="L33" s="54" t="s">
        <v>131</v>
      </c>
      <c r="M33" s="65"/>
      <c r="O33" s="76"/>
      <c r="P33" s="77"/>
      <c r="Q33" s="77"/>
      <c r="R33" s="77"/>
      <c r="S33" s="77"/>
      <c r="T33" s="77"/>
      <c r="U33" s="77"/>
      <c r="V33" s="77"/>
      <c r="W33" s="77"/>
      <c r="X33" s="78"/>
      <c r="Z33" s="85"/>
      <c r="AA33" s="86"/>
      <c r="AB33" s="86"/>
      <c r="AC33" s="86"/>
      <c r="AD33" s="87"/>
    </row>
    <row r="34" spans="2:30" ht="51.6" customHeight="1" x14ac:dyDescent="0.3">
      <c r="B34" s="64"/>
      <c r="C34" s="54" t="s">
        <v>30</v>
      </c>
      <c r="D34" s="49">
        <f ca="1">table!CL7</f>
        <v>10702.152702929823</v>
      </c>
      <c r="E34" s="49">
        <f ca="1">table!CL8</f>
        <v>53999.073733518388</v>
      </c>
      <c r="F34" s="49">
        <f ca="1">table!CL9</f>
        <v>1650.0885323200848</v>
      </c>
      <c r="G34" s="65"/>
      <c r="I34" s="64"/>
      <c r="J34" s="53" t="s">
        <v>59</v>
      </c>
      <c r="K34" s="57">
        <f ca="1">table!CL19</f>
        <v>66074.321697375417</v>
      </c>
      <c r="L34" s="69"/>
      <c r="M34" s="65"/>
      <c r="O34" s="76"/>
      <c r="P34" s="77"/>
      <c r="Q34" s="77"/>
      <c r="R34" s="77"/>
      <c r="S34" s="77"/>
      <c r="T34" s="77"/>
      <c r="U34" s="77"/>
      <c r="V34" s="77"/>
      <c r="W34" s="77"/>
      <c r="X34" s="78"/>
      <c r="Z34" s="85"/>
      <c r="AA34" s="86"/>
      <c r="AB34" s="86"/>
      <c r="AC34" s="86"/>
      <c r="AD34" s="87"/>
    </row>
    <row r="35" spans="2:30" ht="46.8" x14ac:dyDescent="0.3">
      <c r="B35" s="64"/>
      <c r="C35" s="54" t="s">
        <v>31</v>
      </c>
      <c r="D35" s="50"/>
      <c r="E35" s="50"/>
      <c r="F35" s="50"/>
      <c r="G35" s="65"/>
      <c r="I35" s="64"/>
      <c r="J35" s="53" t="s">
        <v>60</v>
      </c>
      <c r="K35" s="57">
        <f ca="1">table!CL20</f>
        <v>1308.7551133144573</v>
      </c>
      <c r="L35" s="59"/>
      <c r="M35" s="65"/>
      <c r="O35" s="76"/>
      <c r="P35" s="77"/>
      <c r="Q35" s="77"/>
      <c r="R35" s="77"/>
      <c r="S35" s="77"/>
      <c r="T35" s="77"/>
      <c r="U35" s="77"/>
      <c r="V35" s="77"/>
      <c r="W35" s="77"/>
      <c r="X35" s="78"/>
      <c r="Z35" s="85"/>
      <c r="AA35" s="86"/>
      <c r="AB35" s="86"/>
      <c r="AC35" s="86"/>
      <c r="AD35" s="87"/>
    </row>
    <row r="36" spans="2:30" ht="43.8" customHeight="1" x14ac:dyDescent="0.3">
      <c r="B36" s="64"/>
      <c r="C36" s="54" t="str">
        <f>table!BG13</f>
        <v>Recovery
(%)</v>
      </c>
      <c r="D36" s="49">
        <f ca="1">table!CL13</f>
        <v>71.05</v>
      </c>
      <c r="E36" s="49">
        <f ca="1">table!CL14</f>
        <v>71.53</v>
      </c>
      <c r="F36" s="49">
        <f ca="1">table!CL15</f>
        <v>2.1857164564077849E-2</v>
      </c>
      <c r="G36" s="65"/>
      <c r="I36" s="64"/>
      <c r="J36" s="53" t="s">
        <v>61</v>
      </c>
      <c r="K36" s="57">
        <f ca="1">table!CL21</f>
        <v>98597.394175667476</v>
      </c>
      <c r="L36" s="59"/>
      <c r="M36" s="65"/>
      <c r="O36" s="76"/>
      <c r="P36" s="77"/>
      <c r="Q36" s="77"/>
      <c r="R36" s="77"/>
      <c r="S36" s="77"/>
      <c r="T36" s="77"/>
      <c r="U36" s="77"/>
      <c r="V36" s="77"/>
      <c r="W36" s="77"/>
      <c r="X36" s="78"/>
      <c r="Z36" s="85"/>
      <c r="AA36" s="86"/>
      <c r="AB36" s="86"/>
      <c r="AC36" s="86"/>
      <c r="AD36" s="87"/>
    </row>
    <row r="37" spans="2:30" ht="47.4" customHeight="1" x14ac:dyDescent="0.3">
      <c r="B37" s="64"/>
      <c r="C37" s="54" t="str">
        <f>C35</f>
        <v>Trend
30Days</v>
      </c>
      <c r="D37" s="51"/>
      <c r="E37" s="51"/>
      <c r="F37" s="51"/>
      <c r="G37" s="65"/>
      <c r="I37" s="64"/>
      <c r="J37" s="53" t="s">
        <v>62</v>
      </c>
      <c r="K37" s="57">
        <f ca="1">table!CL22</f>
        <v>427.09244426698177</v>
      </c>
      <c r="L37" s="59"/>
      <c r="M37" s="65"/>
      <c r="O37" s="76"/>
      <c r="P37" s="77"/>
      <c r="Q37" s="77"/>
      <c r="R37" s="77"/>
      <c r="S37" s="77"/>
      <c r="T37" s="77"/>
      <c r="U37" s="77"/>
      <c r="V37" s="77"/>
      <c r="W37" s="77"/>
      <c r="X37" s="78"/>
      <c r="Z37" s="85"/>
      <c r="AA37" s="86"/>
      <c r="AB37" s="86"/>
      <c r="AC37" s="86"/>
      <c r="AD37" s="87"/>
    </row>
    <row r="38" spans="2:30" ht="47.4" customHeight="1" x14ac:dyDescent="0.3">
      <c r="B38" s="64"/>
      <c r="C38" s="54" t="s">
        <v>102</v>
      </c>
      <c r="D38" s="52">
        <f ca="1">table!CL16</f>
        <v>1.3600000000000001E-2</v>
      </c>
      <c r="E38" s="52">
        <f ca="1">table!CL17</f>
        <v>0</v>
      </c>
      <c r="F38" s="52">
        <f ca="1">table!CL18</f>
        <v>0.2068576396477953</v>
      </c>
      <c r="G38" s="65"/>
      <c r="I38" s="64"/>
      <c r="J38" s="53" t="s">
        <v>63</v>
      </c>
      <c r="K38" s="57">
        <f ca="1">table!CL23</f>
        <v>207.21313348435265</v>
      </c>
      <c r="L38" s="59"/>
      <c r="M38" s="65"/>
      <c r="O38" s="76"/>
      <c r="P38" s="77"/>
      <c r="Q38" s="77"/>
      <c r="R38" s="77"/>
      <c r="S38" s="77"/>
      <c r="T38" s="77"/>
      <c r="U38" s="77"/>
      <c r="V38" s="77"/>
      <c r="W38" s="77"/>
      <c r="X38" s="78"/>
      <c r="Z38" s="85"/>
      <c r="AA38" s="86"/>
      <c r="AB38" s="86"/>
      <c r="AC38" s="86"/>
      <c r="AD38" s="87"/>
    </row>
    <row r="39" spans="2:30" ht="42" customHeight="1" x14ac:dyDescent="0.3">
      <c r="B39" s="64"/>
      <c r="C39" s="54" t="str">
        <f>C35</f>
        <v>Trend
30Days</v>
      </c>
      <c r="D39" s="51"/>
      <c r="E39" s="51"/>
      <c r="F39" s="51"/>
      <c r="G39" s="65"/>
      <c r="I39" s="64"/>
      <c r="J39" s="53" t="s">
        <v>64</v>
      </c>
      <c r="K39" s="57">
        <f ca="1">table!CL24</f>
        <v>33.202215407806335</v>
      </c>
      <c r="L39" s="59"/>
      <c r="M39" s="65"/>
      <c r="O39" s="76"/>
      <c r="P39" s="77"/>
      <c r="Q39" s="77"/>
      <c r="R39" s="77"/>
      <c r="S39" s="77"/>
      <c r="T39" s="77"/>
      <c r="U39" s="77"/>
      <c r="V39" s="77"/>
      <c r="W39" s="77"/>
      <c r="X39" s="78"/>
      <c r="Z39" s="85"/>
      <c r="AA39" s="86"/>
      <c r="AB39" s="86"/>
      <c r="AC39" s="86"/>
      <c r="AD39" s="87"/>
    </row>
    <row r="40" spans="2:30" ht="15" thickBot="1" x14ac:dyDescent="0.35">
      <c r="B40" s="66"/>
      <c r="C40" s="67"/>
      <c r="D40" s="67"/>
      <c r="E40" s="67"/>
      <c r="F40" s="67"/>
      <c r="G40" s="68"/>
      <c r="I40" s="66"/>
      <c r="J40" s="67"/>
      <c r="K40" s="67"/>
      <c r="L40" s="67"/>
      <c r="M40" s="68"/>
      <c r="O40" s="79"/>
      <c r="P40" s="80"/>
      <c r="Q40" s="80"/>
      <c r="R40" s="80"/>
      <c r="S40" s="80"/>
      <c r="T40" s="80"/>
      <c r="U40" s="80"/>
      <c r="V40" s="80"/>
      <c r="W40" s="80"/>
      <c r="X40" s="81"/>
      <c r="Z40" s="88"/>
      <c r="AA40" s="89"/>
      <c r="AB40" s="89"/>
      <c r="AC40" s="89"/>
      <c r="AD40" s="90"/>
    </row>
  </sheetData>
  <mergeCells count="4">
    <mergeCell ref="B32:G32"/>
    <mergeCell ref="I32:M32"/>
    <mergeCell ref="O32:X40"/>
    <mergeCell ref="Z7:AD40"/>
  </mergeCells>
  <pageMargins left="0.7" right="0.7" top="0.75" bottom="0.75" header="0.3" footer="0.3"/>
  <pageSetup paperSize="9" orientation="portrait" r:id="rId1"/>
  <headerFooter>
    <oddFooter>&amp;CAir Products Internal Use Only</oddFooter>
  </headerFooter>
  <drawing r:id="rId2"/>
  <picture r:id="rId3"/>
  <extLst>
    <ext xmlns:x14="http://schemas.microsoft.com/office/spreadsheetml/2009/9/main" uri="{05C60535-1F16-4fd2-B633-F4F36F0B64E0}">
      <x14:sparklineGroups xmlns:xm="http://schemas.microsoft.com/office/excel/2006/main">
        <x14:sparklineGroup lineWeight="1" displayEmptyCellsAs="gap" high="1" low="1" displayXAxis="1" xr2:uid="{BE646071-2FB0-48DE-98F0-7CFFB71C2D50}">
          <x14:colorSeries theme="6" tint="0.39997558519241921"/>
          <x14:colorNegative theme="0" tint="-0.499984740745262"/>
          <x14:colorAxis rgb="FF000000"/>
          <x14:colorMarkers theme="6" tint="0.79998168889431442"/>
          <x14:colorFirst theme="6" tint="-0.249977111117893"/>
          <x14:colorLast theme="6" tint="-0.249977111117893"/>
          <x14:colorHigh rgb="FFFFC000"/>
          <x14:colorLow rgb="FFFFC000"/>
          <x14:sparklines>
            <x14:sparkline>
              <xm:f>table!BJ19:CL19</xm:f>
              <xm:sqref>L34</xm:sqref>
            </x14:sparkline>
            <x14:sparkline>
              <xm:f>table!BJ20:CL20</xm:f>
              <xm:sqref>L35</xm:sqref>
            </x14:sparkline>
            <x14:sparkline>
              <xm:f>table!BJ21:CL21</xm:f>
              <xm:sqref>L36</xm:sqref>
            </x14:sparkline>
            <x14:sparkline>
              <xm:f>table!BJ22:CL22</xm:f>
              <xm:sqref>L37</xm:sqref>
            </x14:sparkline>
            <x14:sparkline>
              <xm:f>table!BJ23:CL23</xm:f>
              <xm:sqref>L38</xm:sqref>
            </x14:sparkline>
            <x14:sparkline>
              <xm:f>table!BJ24:CL24</xm:f>
              <xm:sqref>L39</xm:sqref>
            </x14:sparkline>
          </x14:sparklines>
        </x14:sparklineGroup>
        <x14:sparklineGroup lineWeight="1" displayEmptyCellsAs="gap" xr2:uid="{F6D06A80-D209-4CF0-A0DA-F6FABF7E9D30}">
          <x14:colorSeries theme="6" tint="0.39997558519241921"/>
          <x14:colorNegative theme="0" tint="-0.499984740745262"/>
          <x14:colorAxis rgb="FF000000"/>
          <x14:colorMarkers theme="6" tint="0.79998168889431442"/>
          <x14:colorFirst theme="6" tint="-0.249977111117893"/>
          <x14:colorLast theme="6" tint="-0.249977111117893"/>
          <x14:colorHigh theme="6" tint="-0.499984740745262"/>
          <x14:colorLow theme="6" tint="-0.499984740745262"/>
          <x14:sparklines>
            <x14:sparkline>
              <xm:f>table!BI13:CL13</xm:f>
              <xm:sqref>D37</xm:sqref>
            </x14:sparkline>
            <x14:sparkline>
              <xm:f>table!BI14:CL14</xm:f>
              <xm:sqref>E37</xm:sqref>
            </x14:sparkline>
            <x14:sparkline>
              <xm:f>table!BI15:CL15</xm:f>
              <xm:sqref>F37</xm:sqref>
            </x14:sparkline>
          </x14:sparklines>
        </x14:sparklineGroup>
        <x14:sparklineGroup lineWeight="1" displayEmptyCellsAs="gap" xr2:uid="{EC33939D-F02C-4D98-8DF6-BFA04FA36886}">
          <x14:colorSeries theme="6" tint="0.39997558519241921"/>
          <x14:colorNegative theme="0" tint="-0.499984740745262"/>
          <x14:colorAxis rgb="FF000000"/>
          <x14:colorMarkers theme="6" tint="0.79998168889431442"/>
          <x14:colorFirst theme="6" tint="-0.249977111117893"/>
          <x14:colorLast theme="6" tint="-0.249977111117893"/>
          <x14:colorHigh theme="6" tint="-0.499984740745262"/>
          <x14:colorLow theme="6" tint="-0.499984740745262"/>
          <x14:sparklines>
            <x14:sparkline>
              <xm:f>table!BI16:CL16</xm:f>
              <xm:sqref>D39</xm:sqref>
            </x14:sparkline>
            <x14:sparkline>
              <xm:f>table!BI17:CL17</xm:f>
              <xm:sqref>E39</xm:sqref>
            </x14:sparkline>
            <x14:sparkline>
              <xm:f>table!BI18:CL18</xm:f>
              <xm:sqref>F39</xm:sqref>
            </x14:sparkline>
          </x14:sparklines>
        </x14:sparklineGroup>
        <x14:sparklineGroup lineWeight="1" displayEmptyCellsAs="gap" xr2:uid="{CEE8B467-7FDA-4368-A20B-73507193CE2A}">
          <x14:colorSeries theme="3" tint="0.499984740745262"/>
          <x14:colorNegative theme="1" tint="0.249977111117893"/>
          <x14:colorAxis rgb="FF000000"/>
          <x14:colorMarkers theme="1" tint="0.249977111117893"/>
          <x14:colorFirst theme="1" tint="0.249977111117893"/>
          <x14:colorLast theme="1" tint="0.249977111117893"/>
          <x14:colorHigh theme="1" tint="0.249977111117893"/>
          <x14:colorLow theme="1" tint="0.249977111117893"/>
          <x14:sparklines>
            <x14:sparkline>
              <xm:f>table!BI7:CL7</xm:f>
              <xm:sqref>D35</xm:sqref>
            </x14:sparkline>
            <x14:sparkline>
              <xm:f>table!BI8:CL8</xm:f>
              <xm:sqref>E35</xm:sqref>
            </x14:sparkline>
            <x14:sparkline>
              <xm:f>table!BI9:CL9</xm:f>
              <xm:sqref>F35</xm:sqref>
            </x14:sparkline>
          </x14:sparklines>
        </x14:sparklineGroup>
      </x14:sparklineGroups>
    </ex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Production</vt:lpstr>
      <vt:lpstr>CW</vt:lpstr>
      <vt:lpstr>Spec Power</vt:lpstr>
      <vt:lpstr>table</vt:lpstr>
      <vt:lpstr>Dashboard</vt:lpstr>
      <vt:lpstr>DASHBOARD1</vt:lpstr>
      <vt:lpstr>E</vt:lpstr>
      <vt:lpstr>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Li,Ada</cp:lastModifiedBy>
  <dcterms:created xsi:type="dcterms:W3CDTF">2021-01-28T06:19:25Z</dcterms:created>
  <dcterms:modified xsi:type="dcterms:W3CDTF">2021-02-07T00:58:25Z</dcterms:modified>
</cp:coreProperties>
</file>