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文件\"/>
    </mc:Choice>
  </mc:AlternateContent>
  <xr:revisionPtr revIDLastSave="0" documentId="13_ncr:1_{C873E360-AFF2-4D3F-A67F-25446011A571}" xr6:coauthVersionLast="47" xr6:coauthVersionMax="47" xr10:uidLastSave="{00000000-0000-0000-0000-000000000000}"/>
  <bookViews>
    <workbookView xWindow="-98" yWindow="-98" windowWidth="28996" windowHeight="15796" firstSheet="1" activeTab="1" xr2:uid="{11BAA387-3BBF-43C5-BD58-E0D09C4B9BBF}"/>
  </bookViews>
  <sheets>
    <sheet name="Volume Assumptions (2)" sheetId="3" state="hidden" r:id="rId1"/>
    <sheet name="Project List (2)" sheetId="11" r:id="rId2"/>
    <sheet name="Project List" sheetId="1" state="hidden" r:id="rId3"/>
    <sheet name="CBY AE new request" sheetId="12" state="hidden" r:id="rId4"/>
    <sheet name="May FF" sheetId="8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4" hidden="1">'May FF'!$B$5:$O$38</definedName>
    <definedName name="_xlnm._FilterDatabase" localSheetId="2" hidden="1">'Project List'!$A$2:$EB$285</definedName>
    <definedName name="_xlnm._FilterDatabase" localSheetId="1" hidden="1">'Project List (2)'!$B$2:$BA$280</definedName>
    <definedName name="_xlnm._FilterDatabase" localSheetId="0" hidden="1">'Volume Assumptions (2)'!$A$2:$T$25</definedName>
    <definedName name="List">[1]Test!$A$5:$M$5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2" i="11" l="1"/>
  <c r="I282" i="11"/>
  <c r="J282" i="11"/>
  <c r="K282" i="11"/>
  <c r="L282" i="11"/>
  <c r="M282" i="11"/>
  <c r="N282" i="11"/>
  <c r="O282" i="11"/>
  <c r="P282" i="11"/>
  <c r="Q282" i="11"/>
  <c r="R282" i="11"/>
  <c r="G282" i="11"/>
  <c r="S3" i="11"/>
  <c r="S4" i="11"/>
  <c r="S5" i="11"/>
  <c r="S6" i="11"/>
  <c r="S10" i="11"/>
  <c r="S11" i="11"/>
  <c r="S12" i="11"/>
  <c r="S13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S111" i="11"/>
  <c r="S112" i="11"/>
  <c r="S113" i="11"/>
  <c r="S114" i="11"/>
  <c r="S115" i="11"/>
  <c r="S116" i="11"/>
  <c r="S117" i="11"/>
  <c r="S118" i="11"/>
  <c r="S119" i="11"/>
  <c r="S120" i="11"/>
  <c r="S121" i="11"/>
  <c r="S122" i="11"/>
  <c r="S123" i="11"/>
  <c r="S124" i="11"/>
  <c r="S125" i="11"/>
  <c r="S126" i="11"/>
  <c r="S127" i="11"/>
  <c r="S128" i="11"/>
  <c r="S129" i="11"/>
  <c r="S130" i="11"/>
  <c r="S131" i="11"/>
  <c r="S132" i="11"/>
  <c r="S133" i="11"/>
  <c r="S134" i="11"/>
  <c r="S135" i="11"/>
  <c r="S136" i="11"/>
  <c r="S137" i="11"/>
  <c r="S138" i="11"/>
  <c r="S139" i="11"/>
  <c r="S140" i="11"/>
  <c r="S141" i="11"/>
  <c r="S142" i="11"/>
  <c r="S143" i="11"/>
  <c r="S144" i="11"/>
  <c r="S145" i="11"/>
  <c r="S146" i="11"/>
  <c r="S147" i="11"/>
  <c r="S148" i="11"/>
  <c r="S149" i="11"/>
  <c r="S150" i="11"/>
  <c r="S151" i="11"/>
  <c r="S152" i="11"/>
  <c r="S153" i="11"/>
  <c r="S154" i="11"/>
  <c r="S155" i="11"/>
  <c r="S156" i="11"/>
  <c r="S157" i="11"/>
  <c r="S158" i="11"/>
  <c r="S159" i="11"/>
  <c r="S160" i="11"/>
  <c r="S161" i="11"/>
  <c r="S162" i="11"/>
  <c r="S163" i="11"/>
  <c r="S164" i="11"/>
  <c r="S165" i="11"/>
  <c r="S166" i="11"/>
  <c r="S167" i="11"/>
  <c r="S168" i="11"/>
  <c r="S169" i="11"/>
  <c r="S170" i="11"/>
  <c r="S171" i="11"/>
  <c r="S172" i="11"/>
  <c r="S173" i="11"/>
  <c r="S174" i="11"/>
  <c r="S175" i="11"/>
  <c r="S176" i="11"/>
  <c r="S177" i="11"/>
  <c r="S178" i="11"/>
  <c r="S179" i="11"/>
  <c r="S180" i="11"/>
  <c r="S181" i="11"/>
  <c r="S182" i="11"/>
  <c r="S183" i="11"/>
  <c r="S184" i="11"/>
  <c r="S185" i="11"/>
  <c r="S186" i="11"/>
  <c r="S187" i="11"/>
  <c r="S188" i="11"/>
  <c r="S189" i="11"/>
  <c r="S190" i="11"/>
  <c r="S191" i="11"/>
  <c r="S192" i="11"/>
  <c r="S193" i="11"/>
  <c r="S194" i="11"/>
  <c r="S195" i="11"/>
  <c r="S196" i="11"/>
  <c r="S197" i="11"/>
  <c r="S198" i="11"/>
  <c r="S199" i="11"/>
  <c r="S200" i="11"/>
  <c r="S201" i="11"/>
  <c r="S202" i="11"/>
  <c r="S203" i="11"/>
  <c r="S204" i="11"/>
  <c r="S205" i="11"/>
  <c r="S206" i="11"/>
  <c r="S207" i="11"/>
  <c r="S208" i="11"/>
  <c r="S209" i="11"/>
  <c r="S210" i="11"/>
  <c r="S211" i="11"/>
  <c r="S212" i="11"/>
  <c r="S213" i="11"/>
  <c r="S214" i="11"/>
  <c r="S215" i="11"/>
  <c r="S216" i="11"/>
  <c r="S217" i="11"/>
  <c r="S218" i="11"/>
  <c r="S219" i="11"/>
  <c r="S220" i="11"/>
  <c r="S222" i="11"/>
  <c r="S223" i="11"/>
  <c r="S224" i="11"/>
  <c r="S225" i="11"/>
  <c r="S226" i="11"/>
  <c r="S227" i="11"/>
  <c r="S228" i="11"/>
  <c r="S229" i="11"/>
  <c r="S230" i="11"/>
  <c r="S231" i="11"/>
  <c r="S232" i="11"/>
  <c r="S233" i="11"/>
  <c r="S234" i="11"/>
  <c r="S235" i="11"/>
  <c r="S236" i="11"/>
  <c r="S237" i="11"/>
  <c r="S238" i="11"/>
  <c r="S239" i="11"/>
  <c r="S240" i="11"/>
  <c r="S241" i="11"/>
  <c r="S242" i="11"/>
  <c r="S243" i="11"/>
  <c r="S244" i="11"/>
  <c r="S245" i="11"/>
  <c r="S246" i="11"/>
  <c r="S247" i="11"/>
  <c r="S248" i="11"/>
  <c r="S249" i="11"/>
  <c r="S250" i="11"/>
  <c r="S251" i="11"/>
  <c r="S252" i="11"/>
  <c r="S253" i="11"/>
  <c r="S254" i="11"/>
  <c r="S255" i="11"/>
  <c r="S256" i="11"/>
  <c r="S257" i="11"/>
  <c r="S258" i="11"/>
  <c r="S259" i="11"/>
  <c r="S260" i="11"/>
  <c r="S261" i="11"/>
  <c r="S262" i="11"/>
  <c r="S263" i="11"/>
  <c r="S264" i="11"/>
  <c r="S265" i="11"/>
  <c r="S266" i="11"/>
  <c r="S267" i="11"/>
  <c r="S268" i="11"/>
  <c r="S269" i="11"/>
  <c r="S270" i="11"/>
  <c r="S271" i="11"/>
  <c r="S272" i="11"/>
  <c r="S273" i="11"/>
  <c r="S274" i="11"/>
  <c r="S275" i="11"/>
  <c r="S276" i="11"/>
  <c r="S277" i="11"/>
  <c r="S278" i="11"/>
  <c r="S279" i="11"/>
  <c r="S280" i="11"/>
  <c r="AE14" i="11" l="1"/>
  <c r="S14" i="11" s="1"/>
  <c r="AC221" i="11" l="1"/>
  <c r="AR178" i="11"/>
  <c r="AS178" i="11"/>
  <c r="AT178" i="11"/>
  <c r="AU178" i="11"/>
  <c r="AV178" i="11"/>
  <c r="AW178" i="11"/>
  <c r="AX178" i="11"/>
  <c r="AY178" i="11"/>
  <c r="AZ178" i="11"/>
  <c r="BA178" i="11"/>
  <c r="AR179" i="11"/>
  <c r="AS179" i="11"/>
  <c r="AT179" i="11"/>
  <c r="AU179" i="11"/>
  <c r="AV179" i="11"/>
  <c r="AW179" i="11"/>
  <c r="AX179" i="11"/>
  <c r="AY179" i="11"/>
  <c r="AZ179" i="11"/>
  <c r="BA179" i="11"/>
  <c r="AS177" i="11"/>
  <c r="AT177" i="11"/>
  <c r="AU177" i="11"/>
  <c r="AV177" i="11"/>
  <c r="AW177" i="11"/>
  <c r="AX177" i="11"/>
  <c r="AY177" i="11"/>
  <c r="AZ177" i="11"/>
  <c r="BA177" i="11"/>
  <c r="AR177" i="11"/>
  <c r="S221" i="11" l="1"/>
  <c r="AC9" i="11"/>
  <c r="AC7" i="11"/>
  <c r="S7" i="11" l="1"/>
  <c r="S9" i="11"/>
  <c r="AC40" i="11" a="1"/>
  <c r="AC40" i="11" s="1"/>
  <c r="S40" i="11" s="1"/>
  <c r="K8" i="12" l="1"/>
  <c r="K10" i="12" s="1"/>
  <c r="E10" i="12"/>
  <c r="E53" i="12"/>
  <c r="E47" i="12"/>
  <c r="L10" i="12" l="1"/>
  <c r="L3" i="12"/>
  <c r="L4" i="12"/>
  <c r="L5" i="12"/>
  <c r="L6" i="12"/>
  <c r="L7" i="12"/>
  <c r="L8" i="12"/>
  <c r="L2" i="12"/>
  <c r="AA39" i="11" l="1" a="1"/>
  <c r="AA39" i="11" s="1"/>
  <c r="Z8" i="11" l="1"/>
  <c r="S8" i="11" l="1"/>
  <c r="Z282" i="11"/>
  <c r="AE39" i="11" l="1" a="1"/>
  <c r="AE39" i="11" s="1"/>
  <c r="AE282" i="11" s="1"/>
  <c r="AD39" i="11" a="1"/>
  <c r="AD39" i="11" s="1"/>
  <c r="AD282" i="11" s="1"/>
  <c r="AC39" i="11" a="1"/>
  <c r="AC39" i="11" s="1"/>
  <c r="AB39" i="11" a="1"/>
  <c r="AB39" i="11" s="1"/>
  <c r="AB282" i="11" s="1"/>
  <c r="AA282" i="11"/>
  <c r="Y39" i="11" a="1"/>
  <c r="Y39" i="11" s="1"/>
  <c r="Y282" i="11" s="1"/>
  <c r="X39" i="11" a="1"/>
  <c r="X39" i="11" s="1"/>
  <c r="X282" i="11" s="1"/>
  <c r="W39" i="11" a="1"/>
  <c r="W39" i="11" s="1"/>
  <c r="W282" i="11" s="1"/>
  <c r="V39" i="11" a="1"/>
  <c r="V39" i="11" s="1"/>
  <c r="V282" i="11" s="1"/>
  <c r="U39" i="11" a="1"/>
  <c r="U39" i="11" s="1"/>
  <c r="U282" i="11" s="1"/>
  <c r="T39" i="11" a="1"/>
  <c r="T39" i="11" s="1"/>
  <c r="DH94" i="1"/>
  <c r="DH221" i="1"/>
  <c r="DJ221" i="1"/>
  <c r="DI221" i="1"/>
  <c r="DP295" i="1"/>
  <c r="DQ295" i="1"/>
  <c r="DR295" i="1"/>
  <c r="DS295" i="1"/>
  <c r="DT295" i="1"/>
  <c r="DU295" i="1"/>
  <c r="DV295" i="1"/>
  <c r="DW295" i="1"/>
  <c r="DX295" i="1"/>
  <c r="DY295" i="1"/>
  <c r="DZ295" i="1"/>
  <c r="DO295" i="1"/>
  <c r="DI311" i="1"/>
  <c r="DJ311" i="1"/>
  <c r="DH311" i="1"/>
  <c r="DJ306" i="1"/>
  <c r="DI301" i="1"/>
  <c r="DJ304" i="1"/>
  <c r="DI304" i="1"/>
  <c r="DH304" i="1"/>
  <c r="DH297" i="1"/>
  <c r="DH295" i="1"/>
  <c r="DH293" i="1"/>
  <c r="DH176" i="1"/>
  <c r="DN35" i="1"/>
  <c r="DN34" i="1"/>
  <c r="DN60" i="1"/>
  <c r="DN56" i="1"/>
  <c r="DH207" i="1"/>
  <c r="DI207" i="1"/>
  <c r="DF176" i="1"/>
  <c r="DH197" i="1"/>
  <c r="DJ197" i="1"/>
  <c r="DH161" i="1"/>
  <c r="DF11" i="1"/>
  <c r="DH15" i="1"/>
  <c r="DI197" i="1"/>
  <c r="DM148" i="1"/>
  <c r="DM149" i="1"/>
  <c r="DM150" i="1"/>
  <c r="DM145" i="1"/>
  <c r="DM146" i="1"/>
  <c r="DM129" i="1"/>
  <c r="DM130" i="1"/>
  <c r="DM131" i="1"/>
  <c r="DM133" i="1"/>
  <c r="DM134" i="1"/>
  <c r="DM135" i="1"/>
  <c r="DM136" i="1"/>
  <c r="DM137" i="1"/>
  <c r="DM138" i="1"/>
  <c r="DM139" i="1"/>
  <c r="DM140" i="1"/>
  <c r="DM141" i="1"/>
  <c r="DM142" i="1"/>
  <c r="DM126" i="1"/>
  <c r="DM125" i="1"/>
  <c r="DH125" i="1"/>
  <c r="DJ125" i="1"/>
  <c r="DS132" i="1"/>
  <c r="DM132" i="1"/>
  <c r="DN125" i="1"/>
  <c r="DM287" i="1"/>
  <c r="DI125" i="1"/>
  <c r="DJ161" i="1"/>
  <c r="DJ176" i="1"/>
  <c r="DJ178" i="1"/>
  <c r="DI15" i="1"/>
  <c r="DI161" i="1"/>
  <c r="DI176" i="1"/>
  <c r="DI178" i="1"/>
  <c r="DH285" i="1"/>
  <c r="DJ285" i="1"/>
  <c r="DH284" i="1"/>
  <c r="DH283" i="1"/>
  <c r="DJ283" i="1"/>
  <c r="DH282" i="1"/>
  <c r="DJ282" i="1"/>
  <c r="DH281" i="1"/>
  <c r="DJ281" i="1"/>
  <c r="DH280" i="1"/>
  <c r="DH279" i="1"/>
  <c r="DH278" i="1"/>
  <c r="DJ278" i="1"/>
  <c r="DH277" i="1"/>
  <c r="DJ277" i="1"/>
  <c r="DH276" i="1"/>
  <c r="DJ276" i="1"/>
  <c r="DH275" i="1"/>
  <c r="DJ275" i="1"/>
  <c r="DH274" i="1"/>
  <c r="DJ274" i="1"/>
  <c r="DH273" i="1"/>
  <c r="DJ273" i="1"/>
  <c r="DH272" i="1"/>
  <c r="DH271" i="1"/>
  <c r="DH270" i="1"/>
  <c r="DJ270" i="1"/>
  <c r="DH269" i="1"/>
  <c r="DJ269" i="1"/>
  <c r="DH268" i="1"/>
  <c r="DJ268" i="1"/>
  <c r="DH267" i="1"/>
  <c r="DF266" i="1"/>
  <c r="DH266" i="1"/>
  <c r="DJ266" i="1"/>
  <c r="DH265" i="1"/>
  <c r="DH264" i="1"/>
  <c r="DH263" i="1"/>
  <c r="DH262" i="1"/>
  <c r="DJ262" i="1"/>
  <c r="DH261" i="1"/>
  <c r="DJ261" i="1"/>
  <c r="DH260" i="1"/>
  <c r="DJ260" i="1"/>
  <c r="DH259" i="1"/>
  <c r="DH258" i="1"/>
  <c r="DJ258" i="1"/>
  <c r="DH257" i="1"/>
  <c r="DJ257" i="1"/>
  <c r="DH256" i="1"/>
  <c r="DH255" i="1"/>
  <c r="DH254" i="1"/>
  <c r="DJ254" i="1"/>
  <c r="DH253" i="1"/>
  <c r="DJ253" i="1"/>
  <c r="DH252" i="1"/>
  <c r="DJ252" i="1"/>
  <c r="DH251" i="1"/>
  <c r="DH212" i="1"/>
  <c r="DH249" i="1"/>
  <c r="DH248" i="1"/>
  <c r="DH247" i="1"/>
  <c r="DH246" i="1"/>
  <c r="DH250" i="1"/>
  <c r="DH245" i="1"/>
  <c r="DH244" i="1"/>
  <c r="DH243" i="1"/>
  <c r="DH242" i="1"/>
  <c r="DH241" i="1"/>
  <c r="DH240" i="1"/>
  <c r="DH238" i="1"/>
  <c r="DJ238" i="1"/>
  <c r="DH237" i="1"/>
  <c r="DH199" i="1"/>
  <c r="DH236" i="1"/>
  <c r="DH235" i="1"/>
  <c r="DH234" i="1"/>
  <c r="DH184" i="1"/>
  <c r="DH233" i="1"/>
  <c r="DH229" i="1"/>
  <c r="DH231" i="1"/>
  <c r="DH232" i="1"/>
  <c r="DH226" i="1"/>
  <c r="DH230" i="1"/>
  <c r="DH224" i="1"/>
  <c r="DH228" i="1"/>
  <c r="DH227" i="1"/>
  <c r="DH225" i="1"/>
  <c r="DH219" i="1"/>
  <c r="DH223" i="1"/>
  <c r="DH217" i="1"/>
  <c r="DH222" i="1"/>
  <c r="DH215" i="1"/>
  <c r="DH214" i="1"/>
  <c r="DH220" i="1"/>
  <c r="DH218" i="1"/>
  <c r="DH216" i="1"/>
  <c r="DH213" i="1"/>
  <c r="DH209" i="1"/>
  <c r="DH211" i="1"/>
  <c r="DH210" i="1"/>
  <c r="DH208" i="1"/>
  <c r="DH187" i="1"/>
  <c r="DH203" i="1"/>
  <c r="DH206" i="1"/>
  <c r="DH205" i="1"/>
  <c r="DH204" i="1"/>
  <c r="DH202" i="1"/>
  <c r="DH201" i="1"/>
  <c r="DH200" i="1"/>
  <c r="DH198" i="1"/>
  <c r="DH196" i="1"/>
  <c r="DH195" i="1"/>
  <c r="DH194" i="1"/>
  <c r="DH193" i="1"/>
  <c r="DH192" i="1"/>
  <c r="DH191" i="1"/>
  <c r="DH190" i="1"/>
  <c r="DH189" i="1"/>
  <c r="DH188" i="1"/>
  <c r="DH186" i="1"/>
  <c r="DH185" i="1"/>
  <c r="DH239" i="1"/>
  <c r="DH183" i="1"/>
  <c r="DH182" i="1"/>
  <c r="DH181" i="1"/>
  <c r="DF180" i="1"/>
  <c r="DH180" i="1"/>
  <c r="DH179" i="1"/>
  <c r="DF178" i="1"/>
  <c r="DH177" i="1"/>
  <c r="DH175" i="1"/>
  <c r="DH174" i="1"/>
  <c r="DH173" i="1"/>
  <c r="DH172" i="1"/>
  <c r="DH171" i="1"/>
  <c r="DH170" i="1"/>
  <c r="DH169" i="1"/>
  <c r="DH168" i="1"/>
  <c r="DH167" i="1"/>
  <c r="DH166" i="1"/>
  <c r="DH165" i="1"/>
  <c r="DH164" i="1"/>
  <c r="DH163" i="1"/>
  <c r="DH162" i="1"/>
  <c r="DH160" i="1"/>
  <c r="DH159" i="1"/>
  <c r="DH158" i="1"/>
  <c r="DH157" i="1"/>
  <c r="DH156" i="1"/>
  <c r="DH155" i="1"/>
  <c r="DH154" i="1"/>
  <c r="DH153" i="1"/>
  <c r="DH152" i="1"/>
  <c r="DH151" i="1"/>
  <c r="DH150" i="1"/>
  <c r="DH149" i="1"/>
  <c r="DH148" i="1"/>
  <c r="DH147" i="1"/>
  <c r="DH146" i="1"/>
  <c r="DH145" i="1"/>
  <c r="DH144" i="1"/>
  <c r="DH143" i="1"/>
  <c r="DH142" i="1"/>
  <c r="DH141" i="1"/>
  <c r="DH140" i="1"/>
  <c r="DH139" i="1"/>
  <c r="DH138" i="1"/>
  <c r="DH137" i="1"/>
  <c r="DH136" i="1"/>
  <c r="DH135" i="1"/>
  <c r="DH134" i="1"/>
  <c r="DH133" i="1"/>
  <c r="DH132" i="1"/>
  <c r="DH131" i="1"/>
  <c r="DH130" i="1"/>
  <c r="DH129" i="1"/>
  <c r="DH128" i="1"/>
  <c r="DH127" i="1"/>
  <c r="DH126" i="1"/>
  <c r="DH124" i="1"/>
  <c r="DH123" i="1"/>
  <c r="DH122" i="1"/>
  <c r="DH121" i="1"/>
  <c r="DH120" i="1"/>
  <c r="DH119" i="1"/>
  <c r="DH118" i="1"/>
  <c r="DH117" i="1"/>
  <c r="DH116" i="1"/>
  <c r="DH115" i="1"/>
  <c r="DH114" i="1"/>
  <c r="DH113" i="1"/>
  <c r="DH112" i="1"/>
  <c r="DH111" i="1"/>
  <c r="DH110" i="1"/>
  <c r="DH109" i="1"/>
  <c r="DH108" i="1"/>
  <c r="DH107" i="1"/>
  <c r="DH106" i="1"/>
  <c r="DH105" i="1"/>
  <c r="DH104" i="1"/>
  <c r="DH103" i="1"/>
  <c r="DH102" i="1"/>
  <c r="DH101" i="1"/>
  <c r="DH100" i="1"/>
  <c r="DH99" i="1"/>
  <c r="DH98" i="1"/>
  <c r="DH97" i="1"/>
  <c r="DH96" i="1"/>
  <c r="DH95" i="1"/>
  <c r="DH93" i="1"/>
  <c r="DH92" i="1"/>
  <c r="DH91" i="1"/>
  <c r="DH90" i="1"/>
  <c r="DH89" i="1"/>
  <c r="DH88" i="1"/>
  <c r="DH87" i="1"/>
  <c r="DH86" i="1"/>
  <c r="DH85" i="1"/>
  <c r="DH84" i="1"/>
  <c r="DH83" i="1"/>
  <c r="DH82" i="1"/>
  <c r="DH81" i="1"/>
  <c r="DH80" i="1"/>
  <c r="DH79" i="1"/>
  <c r="DH78" i="1"/>
  <c r="DH77" i="1"/>
  <c r="DH76" i="1"/>
  <c r="DH75" i="1"/>
  <c r="DH74" i="1"/>
  <c r="DH73" i="1"/>
  <c r="DH72" i="1"/>
  <c r="DH71" i="1"/>
  <c r="DH70" i="1"/>
  <c r="DH69" i="1"/>
  <c r="DH68" i="1"/>
  <c r="DH67" i="1"/>
  <c r="DH66" i="1"/>
  <c r="DH65" i="1"/>
  <c r="DH64" i="1"/>
  <c r="DH63" i="1"/>
  <c r="DH62" i="1"/>
  <c r="DH61" i="1"/>
  <c r="DH60" i="1"/>
  <c r="DH59" i="1"/>
  <c r="DH58" i="1"/>
  <c r="DH57" i="1"/>
  <c r="DH56" i="1"/>
  <c r="DH55" i="1"/>
  <c r="DH54" i="1"/>
  <c r="DH53" i="1"/>
  <c r="DH52" i="1"/>
  <c r="DJ52" i="1"/>
  <c r="DH51" i="1"/>
  <c r="DH50" i="1"/>
  <c r="DH49" i="1"/>
  <c r="DH48" i="1"/>
  <c r="DH47" i="1"/>
  <c r="DH46" i="1"/>
  <c r="DH45" i="1"/>
  <c r="DH44" i="1"/>
  <c r="DH43" i="1"/>
  <c r="DH42" i="1"/>
  <c r="DH41" i="1"/>
  <c r="DH40" i="1"/>
  <c r="DH39" i="1"/>
  <c r="DH38" i="1"/>
  <c r="DH37" i="1"/>
  <c r="DH36" i="1"/>
  <c r="DH35" i="1"/>
  <c r="DJ35" i="1"/>
  <c r="DH34" i="1"/>
  <c r="DH33" i="1"/>
  <c r="DH32" i="1"/>
  <c r="DH31" i="1"/>
  <c r="DH30" i="1"/>
  <c r="DH29" i="1"/>
  <c r="DH28" i="1"/>
  <c r="DH27" i="1"/>
  <c r="DH26" i="1"/>
  <c r="DH25" i="1"/>
  <c r="DH24" i="1"/>
  <c r="DH23" i="1"/>
  <c r="DH22" i="1"/>
  <c r="DH21" i="1"/>
  <c r="DH20" i="1"/>
  <c r="DH19" i="1"/>
  <c r="DH18" i="1"/>
  <c r="DH17" i="1"/>
  <c r="DH16" i="1"/>
  <c r="DH14" i="1"/>
  <c r="DH13" i="1"/>
  <c r="DF12" i="1"/>
  <c r="DH12" i="1"/>
  <c r="DH11" i="1"/>
  <c r="DH10" i="1"/>
  <c r="DH9" i="1"/>
  <c r="DH8" i="1"/>
  <c r="DH7" i="1"/>
  <c r="DH6" i="1"/>
  <c r="DH5" i="1"/>
  <c r="DH4" i="1"/>
  <c r="DH3" i="1"/>
  <c r="DH287" i="1"/>
  <c r="DJ272" i="1"/>
  <c r="DJ256" i="1"/>
  <c r="DJ264" i="1"/>
  <c r="DJ271" i="1"/>
  <c r="DJ279" i="1"/>
  <c r="DJ280" i="1"/>
  <c r="DJ259" i="1"/>
  <c r="DJ267" i="1"/>
  <c r="DJ174" i="1"/>
  <c r="DJ265" i="1"/>
  <c r="DJ255" i="1"/>
  <c r="DJ263" i="1"/>
  <c r="DN150" i="1"/>
  <c r="DN149" i="1"/>
  <c r="DN148" i="1"/>
  <c r="DN146" i="1"/>
  <c r="DN145" i="1"/>
  <c r="DN142" i="1"/>
  <c r="DN141" i="1"/>
  <c r="DN140" i="1"/>
  <c r="DN139" i="1"/>
  <c r="DN138" i="1"/>
  <c r="DN137" i="1"/>
  <c r="DN136" i="1"/>
  <c r="DN135" i="1"/>
  <c r="DN134" i="1"/>
  <c r="DN133" i="1"/>
  <c r="DN132" i="1"/>
  <c r="DN131" i="1"/>
  <c r="DN130" i="1"/>
  <c r="DN129" i="1"/>
  <c r="DN126" i="1"/>
  <c r="CX89" i="1"/>
  <c r="CZ86" i="1"/>
  <c r="DI86" i="1"/>
  <c r="DO296" i="1"/>
  <c r="DN212" i="1"/>
  <c r="DN238" i="1"/>
  <c r="DP296" i="1"/>
  <c r="DQ296" i="1"/>
  <c r="DR296" i="1"/>
  <c r="DS296" i="1"/>
  <c r="DT296" i="1"/>
  <c r="DU296" i="1"/>
  <c r="DV296" i="1"/>
  <c r="DW296" i="1"/>
  <c r="DX296" i="1"/>
  <c r="DY296" i="1"/>
  <c r="DZ296" i="1"/>
  <c r="CZ252" i="1"/>
  <c r="DI252" i="1"/>
  <c r="CZ255" i="1"/>
  <c r="DI255" i="1"/>
  <c r="CZ283" i="1"/>
  <c r="DI283" i="1"/>
  <c r="CZ260" i="1"/>
  <c r="DI260" i="1"/>
  <c r="CZ261" i="1"/>
  <c r="DI261" i="1"/>
  <c r="CW205" i="1"/>
  <c r="DJ205" i="1"/>
  <c r="CZ205" i="1"/>
  <c r="CZ35" i="1"/>
  <c r="DA35" i="1"/>
  <c r="DI35" i="1"/>
  <c r="DA205" i="1"/>
  <c r="DI205" i="1"/>
  <c r="DB205" i="1"/>
  <c r="DB35" i="1"/>
  <c r="DN250" i="1"/>
  <c r="DN245" i="1"/>
  <c r="DN244" i="1"/>
  <c r="DN243" i="1"/>
  <c r="DN242" i="1"/>
  <c r="DN241" i="1"/>
  <c r="DN240" i="1"/>
  <c r="CZ141" i="1"/>
  <c r="DI141" i="1"/>
  <c r="CZ65" i="1"/>
  <c r="DI65" i="1"/>
  <c r="CZ66" i="1"/>
  <c r="DI66" i="1"/>
  <c r="CZ67" i="1"/>
  <c r="DI67" i="1"/>
  <c r="CZ68" i="1"/>
  <c r="DI68" i="1"/>
  <c r="DN122" i="1"/>
  <c r="DN119" i="1"/>
  <c r="DN117" i="1"/>
  <c r="DN116" i="1"/>
  <c r="DN115" i="1"/>
  <c r="DN114" i="1"/>
  <c r="DN113" i="1"/>
  <c r="DN112" i="1"/>
  <c r="DN110" i="1"/>
  <c r="DN109" i="1"/>
  <c r="DN108" i="1"/>
  <c r="DN106" i="1"/>
  <c r="DN105" i="1"/>
  <c r="DN104" i="1"/>
  <c r="DN103" i="1"/>
  <c r="DN101" i="1"/>
  <c r="DN99" i="1"/>
  <c r="DN98" i="1"/>
  <c r="DN94" i="1"/>
  <c r="DN93" i="1"/>
  <c r="DN92" i="1"/>
  <c r="DN91" i="1"/>
  <c r="DN90" i="1"/>
  <c r="DN89" i="1"/>
  <c r="DN88" i="1"/>
  <c r="DN87" i="1"/>
  <c r="DN86" i="1"/>
  <c r="DN85" i="1"/>
  <c r="DN84" i="1"/>
  <c r="DN83" i="1"/>
  <c r="DN82" i="1"/>
  <c r="DN81" i="1"/>
  <c r="DN80" i="1"/>
  <c r="DN79" i="1"/>
  <c r="DN78" i="1"/>
  <c r="DN77" i="1"/>
  <c r="DN76" i="1"/>
  <c r="DN75" i="1"/>
  <c r="DN74" i="1"/>
  <c r="DN73" i="1"/>
  <c r="DN72" i="1"/>
  <c r="DN71" i="1"/>
  <c r="DN70" i="1"/>
  <c r="DN69" i="1"/>
  <c r="DN68" i="1"/>
  <c r="DN67" i="1"/>
  <c r="DN66" i="1"/>
  <c r="DN65" i="1"/>
  <c r="DN64" i="1"/>
  <c r="DN63" i="1"/>
  <c r="CZ71" i="1"/>
  <c r="DI71" i="1"/>
  <c r="CZ106" i="1"/>
  <c r="DI106" i="1"/>
  <c r="DN54" i="1"/>
  <c r="DN52" i="1"/>
  <c r="DN33" i="1"/>
  <c r="CX16" i="1"/>
  <c r="CX12" i="1"/>
  <c r="CX11" i="1"/>
  <c r="CZ259" i="1"/>
  <c r="DI259" i="1"/>
  <c r="Q71" i="1"/>
  <c r="Q161" i="1"/>
  <c r="CZ238" i="1"/>
  <c r="DI238" i="1"/>
  <c r="DB178" i="1"/>
  <c r="DB176" i="1"/>
  <c r="DB161" i="1"/>
  <c r="DB238" i="1"/>
  <c r="DC238" i="1"/>
  <c r="DA238" i="1"/>
  <c r="CQ52" i="1"/>
  <c r="CZ52" i="1"/>
  <c r="DI52" i="1"/>
  <c r="DB52" i="1"/>
  <c r="DA52" i="1"/>
  <c r="CW284" i="1"/>
  <c r="DJ284" i="1"/>
  <c r="DA176" i="1"/>
  <c r="DA178" i="1"/>
  <c r="DA161" i="1"/>
  <c r="CQ212" i="1"/>
  <c r="CW212" i="1"/>
  <c r="DJ212" i="1"/>
  <c r="CZ212" i="1"/>
  <c r="CZ174" i="1"/>
  <c r="DI174" i="1"/>
  <c r="CX156" i="1"/>
  <c r="DC212" i="1"/>
  <c r="DI212" i="1"/>
  <c r="DB174" i="1"/>
  <c r="U174" i="1"/>
  <c r="DB212" i="1"/>
  <c r="DA174" i="1"/>
  <c r="DA212" i="1"/>
  <c r="CZ251" i="1"/>
  <c r="DI251" i="1"/>
  <c r="CZ250" i="1"/>
  <c r="CZ249" i="1"/>
  <c r="DI249" i="1"/>
  <c r="CZ248" i="1"/>
  <c r="DI248" i="1"/>
  <c r="CZ247" i="1"/>
  <c r="DI247" i="1"/>
  <c r="CZ246" i="1"/>
  <c r="DI246" i="1"/>
  <c r="CZ245" i="1"/>
  <c r="DI245" i="1"/>
  <c r="CZ244" i="1"/>
  <c r="DI244" i="1"/>
  <c r="CZ243" i="1"/>
  <c r="DI243" i="1"/>
  <c r="CZ242" i="1"/>
  <c r="DI242" i="1"/>
  <c r="CZ241" i="1"/>
  <c r="DI241" i="1"/>
  <c r="CZ240" i="1"/>
  <c r="DI240" i="1"/>
  <c r="CZ186" i="1"/>
  <c r="DI186" i="1"/>
  <c r="CZ237" i="1"/>
  <c r="DI237" i="1"/>
  <c r="CZ199" i="1"/>
  <c r="DI199" i="1"/>
  <c r="CZ236" i="1"/>
  <c r="DI236" i="1"/>
  <c r="CZ235" i="1"/>
  <c r="DI235" i="1"/>
  <c r="CZ234" i="1"/>
  <c r="DI234" i="1"/>
  <c r="CZ184" i="1"/>
  <c r="DI184" i="1"/>
  <c r="CZ233" i="1"/>
  <c r="DI233" i="1"/>
  <c r="CZ232" i="1"/>
  <c r="DI232" i="1"/>
  <c r="CZ229" i="1"/>
  <c r="DI229" i="1"/>
  <c r="CZ231" i="1"/>
  <c r="DI231" i="1"/>
  <c r="CZ230" i="1"/>
  <c r="DI230" i="1"/>
  <c r="CZ226" i="1"/>
  <c r="DI226" i="1"/>
  <c r="CZ228" i="1"/>
  <c r="DI228" i="1"/>
  <c r="CZ224" i="1"/>
  <c r="DI224" i="1"/>
  <c r="CZ227" i="1"/>
  <c r="DI227" i="1"/>
  <c r="CZ225" i="1"/>
  <c r="DI225" i="1"/>
  <c r="CZ223" i="1"/>
  <c r="DI223" i="1"/>
  <c r="CZ219" i="1"/>
  <c r="DI219" i="1"/>
  <c r="CZ222" i="1"/>
  <c r="DI222" i="1"/>
  <c r="CZ217" i="1"/>
  <c r="DI217" i="1"/>
  <c r="CZ220" i="1"/>
  <c r="DI220" i="1"/>
  <c r="CZ215" i="1"/>
  <c r="DI215" i="1"/>
  <c r="CZ214" i="1"/>
  <c r="DI214" i="1"/>
  <c r="CZ218" i="1"/>
  <c r="DI218" i="1"/>
  <c r="CZ216" i="1"/>
  <c r="DI216" i="1"/>
  <c r="CZ213" i="1"/>
  <c r="DI213" i="1"/>
  <c r="CZ209" i="1"/>
  <c r="DI209" i="1"/>
  <c r="CZ211" i="1"/>
  <c r="DI211" i="1"/>
  <c r="CZ210" i="1"/>
  <c r="DI210" i="1"/>
  <c r="CZ208" i="1"/>
  <c r="DI208" i="1"/>
  <c r="CZ203" i="1"/>
  <c r="DI203" i="1"/>
  <c r="CZ187" i="1"/>
  <c r="DI187" i="1"/>
  <c r="CZ206" i="1"/>
  <c r="DI206" i="1"/>
  <c r="CZ204" i="1"/>
  <c r="DI204" i="1"/>
  <c r="CZ202" i="1"/>
  <c r="DI202" i="1"/>
  <c r="CZ201" i="1"/>
  <c r="DI201" i="1"/>
  <c r="CZ200" i="1"/>
  <c r="DI200" i="1"/>
  <c r="CZ198" i="1"/>
  <c r="DI198" i="1"/>
  <c r="CZ196" i="1"/>
  <c r="DI196" i="1"/>
  <c r="CZ195" i="1"/>
  <c r="DI195" i="1"/>
  <c r="CZ194" i="1"/>
  <c r="DI194" i="1"/>
  <c r="CZ193" i="1"/>
  <c r="DI193" i="1"/>
  <c r="CZ192" i="1"/>
  <c r="DI192" i="1"/>
  <c r="CZ191" i="1"/>
  <c r="DI191" i="1"/>
  <c r="CZ190" i="1"/>
  <c r="DI190" i="1"/>
  <c r="CZ189" i="1"/>
  <c r="DI189" i="1"/>
  <c r="CZ188" i="1"/>
  <c r="DI188" i="1"/>
  <c r="CZ185" i="1"/>
  <c r="DI185" i="1"/>
  <c r="CZ239" i="1"/>
  <c r="DI239" i="1"/>
  <c r="CZ183" i="1"/>
  <c r="DI183" i="1"/>
  <c r="CZ182" i="1"/>
  <c r="DI182" i="1"/>
  <c r="CZ181" i="1"/>
  <c r="DI181" i="1"/>
  <c r="CX180" i="1"/>
  <c r="CZ180" i="1"/>
  <c r="DI180" i="1"/>
  <c r="CZ179" i="1"/>
  <c r="DI179" i="1"/>
  <c r="CX178" i="1"/>
  <c r="CZ177" i="1"/>
  <c r="DI177" i="1"/>
  <c r="CX176" i="1"/>
  <c r="CZ175" i="1"/>
  <c r="DI175" i="1"/>
  <c r="CZ173" i="1"/>
  <c r="DI173" i="1"/>
  <c r="CZ172" i="1"/>
  <c r="DI172" i="1"/>
  <c r="CZ171" i="1"/>
  <c r="DI171" i="1"/>
  <c r="CZ170" i="1"/>
  <c r="DI170" i="1"/>
  <c r="CZ169" i="1"/>
  <c r="DI169" i="1"/>
  <c r="CZ168" i="1"/>
  <c r="DI168" i="1"/>
  <c r="CZ167" i="1"/>
  <c r="DI167" i="1"/>
  <c r="CZ166" i="1"/>
  <c r="DI166" i="1"/>
  <c r="CZ165" i="1"/>
  <c r="DI165" i="1"/>
  <c r="CZ164" i="1"/>
  <c r="DI164" i="1"/>
  <c r="CZ163" i="1"/>
  <c r="DI163" i="1"/>
  <c r="CZ162" i="1"/>
  <c r="DI162" i="1"/>
  <c r="CZ160" i="1"/>
  <c r="DI160" i="1"/>
  <c r="CZ159" i="1"/>
  <c r="DI159" i="1"/>
  <c r="CZ158" i="1"/>
  <c r="DI158" i="1"/>
  <c r="CZ157" i="1"/>
  <c r="DI157" i="1"/>
  <c r="CZ156" i="1"/>
  <c r="DI156" i="1"/>
  <c r="CZ155" i="1"/>
  <c r="DI155" i="1"/>
  <c r="CZ154" i="1"/>
  <c r="DI154" i="1"/>
  <c r="CZ153" i="1"/>
  <c r="DI153" i="1"/>
  <c r="CZ152" i="1"/>
  <c r="DI152" i="1"/>
  <c r="CZ151" i="1"/>
  <c r="DI151" i="1"/>
  <c r="CZ150" i="1"/>
  <c r="DI150" i="1"/>
  <c r="CZ149" i="1"/>
  <c r="DI149" i="1"/>
  <c r="CZ148" i="1"/>
  <c r="DI148" i="1"/>
  <c r="CZ147" i="1"/>
  <c r="DI147" i="1"/>
  <c r="CZ146" i="1"/>
  <c r="DI146" i="1"/>
  <c r="CZ145" i="1"/>
  <c r="DI145" i="1"/>
  <c r="CZ144" i="1"/>
  <c r="DI144" i="1"/>
  <c r="CZ143" i="1"/>
  <c r="DI143" i="1"/>
  <c r="CZ142" i="1"/>
  <c r="DI142" i="1"/>
  <c r="CZ140" i="1"/>
  <c r="DI140" i="1"/>
  <c r="CZ139" i="1"/>
  <c r="DI139" i="1"/>
  <c r="CZ138" i="1"/>
  <c r="DI138" i="1"/>
  <c r="CZ137" i="1"/>
  <c r="DI137" i="1"/>
  <c r="CZ136" i="1"/>
  <c r="DI136" i="1"/>
  <c r="CZ135" i="1"/>
  <c r="DI135" i="1"/>
  <c r="CZ134" i="1"/>
  <c r="DI134" i="1"/>
  <c r="CZ133" i="1"/>
  <c r="DI133" i="1"/>
  <c r="CZ132" i="1"/>
  <c r="DI132" i="1"/>
  <c r="CZ131" i="1"/>
  <c r="DI131" i="1"/>
  <c r="CZ130" i="1"/>
  <c r="DI130" i="1"/>
  <c r="CZ129" i="1"/>
  <c r="DI129" i="1"/>
  <c r="CZ128" i="1"/>
  <c r="DI128" i="1"/>
  <c r="CZ127" i="1"/>
  <c r="DI127" i="1"/>
  <c r="CZ126" i="1"/>
  <c r="DI126" i="1"/>
  <c r="CZ124" i="1"/>
  <c r="DI124" i="1"/>
  <c r="CZ123" i="1"/>
  <c r="DI123" i="1"/>
  <c r="CZ122" i="1"/>
  <c r="DI122" i="1"/>
  <c r="CZ121" i="1"/>
  <c r="DI121" i="1"/>
  <c r="CZ120" i="1"/>
  <c r="DI120" i="1"/>
  <c r="CZ119" i="1"/>
  <c r="DI119" i="1"/>
  <c r="CZ118" i="1"/>
  <c r="DI118" i="1"/>
  <c r="CZ117" i="1"/>
  <c r="DI117" i="1"/>
  <c r="CZ116" i="1"/>
  <c r="DI116" i="1"/>
  <c r="CZ115" i="1"/>
  <c r="DI115" i="1"/>
  <c r="CZ114" i="1"/>
  <c r="DI114" i="1"/>
  <c r="CZ113" i="1"/>
  <c r="DI113" i="1"/>
  <c r="CZ112" i="1"/>
  <c r="DI112" i="1"/>
  <c r="CZ111" i="1"/>
  <c r="DI111" i="1"/>
  <c r="CZ110" i="1"/>
  <c r="DI110" i="1"/>
  <c r="CZ109" i="1"/>
  <c r="DI109" i="1"/>
  <c r="CZ85" i="1"/>
  <c r="DI85" i="1"/>
  <c r="CZ107" i="1"/>
  <c r="DI107" i="1"/>
  <c r="CZ108" i="1"/>
  <c r="DI108" i="1"/>
  <c r="CZ105" i="1"/>
  <c r="CZ104" i="1"/>
  <c r="DI104" i="1"/>
  <c r="CZ102" i="1"/>
  <c r="DI102" i="1"/>
  <c r="CZ103" i="1"/>
  <c r="DI103" i="1"/>
  <c r="CZ100" i="1"/>
  <c r="DI100" i="1"/>
  <c r="CZ101" i="1"/>
  <c r="DI101" i="1"/>
  <c r="CZ99" i="1"/>
  <c r="DI99" i="1"/>
  <c r="CZ98" i="1"/>
  <c r="DI98" i="1"/>
  <c r="CZ96" i="1"/>
  <c r="DI96" i="1"/>
  <c r="CZ95" i="1"/>
  <c r="DI95" i="1"/>
  <c r="CZ97" i="1"/>
  <c r="DI97" i="1"/>
  <c r="CZ94" i="1"/>
  <c r="DI94" i="1"/>
  <c r="CZ93" i="1"/>
  <c r="DI93" i="1"/>
  <c r="CZ92" i="1"/>
  <c r="DI92" i="1"/>
  <c r="CZ91" i="1"/>
  <c r="DI91" i="1"/>
  <c r="CZ90" i="1"/>
  <c r="DI90" i="1"/>
  <c r="CZ89" i="1"/>
  <c r="DI89" i="1"/>
  <c r="CZ88" i="1"/>
  <c r="DI88" i="1"/>
  <c r="CZ87" i="1"/>
  <c r="DI87" i="1"/>
  <c r="CZ84" i="1"/>
  <c r="DI84" i="1"/>
  <c r="CZ83" i="1"/>
  <c r="DI83" i="1"/>
  <c r="CZ82" i="1"/>
  <c r="DI82" i="1"/>
  <c r="CZ81" i="1"/>
  <c r="DI81" i="1"/>
  <c r="CZ80" i="1"/>
  <c r="DI80" i="1"/>
  <c r="CZ79" i="1"/>
  <c r="DI79" i="1"/>
  <c r="CZ78" i="1"/>
  <c r="DI78" i="1"/>
  <c r="CZ77" i="1"/>
  <c r="DI77" i="1"/>
  <c r="CZ76" i="1"/>
  <c r="DI76" i="1"/>
  <c r="CZ75" i="1"/>
  <c r="DI75" i="1"/>
  <c r="CZ74" i="1"/>
  <c r="DI74" i="1"/>
  <c r="CZ73" i="1"/>
  <c r="DI73" i="1"/>
  <c r="CZ72" i="1"/>
  <c r="DI72" i="1"/>
  <c r="CZ70" i="1"/>
  <c r="DI70" i="1"/>
  <c r="CZ69" i="1"/>
  <c r="DI69" i="1"/>
  <c r="Q67" i="1"/>
  <c r="Q66" i="1"/>
  <c r="Q65" i="1"/>
  <c r="CZ64" i="1"/>
  <c r="DI64" i="1"/>
  <c r="CZ63" i="1"/>
  <c r="DI63" i="1"/>
  <c r="CZ62" i="1"/>
  <c r="DI62" i="1"/>
  <c r="CZ61" i="1"/>
  <c r="DI61" i="1"/>
  <c r="CZ54" i="1"/>
  <c r="DI54" i="1"/>
  <c r="CZ59" i="1"/>
  <c r="DI59" i="1"/>
  <c r="CZ58" i="1"/>
  <c r="DI58" i="1"/>
  <c r="CZ57" i="1"/>
  <c r="DI57" i="1"/>
  <c r="CZ60" i="1"/>
  <c r="DI60" i="1"/>
  <c r="CZ55" i="1"/>
  <c r="DI55" i="1"/>
  <c r="CZ53" i="1"/>
  <c r="DI53" i="1"/>
  <c r="CZ23" i="1"/>
  <c r="DI23" i="1"/>
  <c r="CZ51" i="1"/>
  <c r="DI51" i="1"/>
  <c r="CZ50" i="1"/>
  <c r="DI50" i="1"/>
  <c r="CZ49" i="1"/>
  <c r="DI49" i="1"/>
  <c r="CZ48" i="1"/>
  <c r="DI48" i="1"/>
  <c r="CZ47" i="1"/>
  <c r="DI47" i="1"/>
  <c r="CZ46" i="1"/>
  <c r="DI46" i="1"/>
  <c r="CZ44" i="1"/>
  <c r="DI44" i="1"/>
  <c r="CZ43" i="1"/>
  <c r="DI43" i="1"/>
  <c r="CZ45" i="1"/>
  <c r="DI45" i="1"/>
  <c r="CZ41" i="1"/>
  <c r="DI41" i="1"/>
  <c r="CZ40" i="1"/>
  <c r="DI40" i="1"/>
  <c r="CZ42" i="1"/>
  <c r="DI42" i="1"/>
  <c r="CZ39" i="1"/>
  <c r="DI39" i="1"/>
  <c r="CZ37" i="1"/>
  <c r="DI37" i="1"/>
  <c r="CZ38" i="1"/>
  <c r="DI38" i="1"/>
  <c r="CZ36" i="1"/>
  <c r="DI36" i="1"/>
  <c r="CZ56" i="1"/>
  <c r="DI56" i="1"/>
  <c r="CZ34" i="1"/>
  <c r="DI34" i="1"/>
  <c r="CZ33" i="1"/>
  <c r="DI33" i="1"/>
  <c r="CZ32" i="1"/>
  <c r="DI32" i="1"/>
  <c r="CZ30" i="1"/>
  <c r="DI30" i="1"/>
  <c r="CZ31" i="1"/>
  <c r="DI31" i="1"/>
  <c r="CZ29" i="1"/>
  <c r="CZ28" i="1"/>
  <c r="DI28" i="1"/>
  <c r="CZ27" i="1"/>
  <c r="DI27" i="1"/>
  <c r="CZ26" i="1"/>
  <c r="DI26" i="1"/>
  <c r="CZ25" i="1"/>
  <c r="DI25" i="1"/>
  <c r="CZ24" i="1"/>
  <c r="DI24" i="1"/>
  <c r="CX22" i="1"/>
  <c r="CZ22" i="1"/>
  <c r="DI22" i="1"/>
  <c r="CZ21" i="1"/>
  <c r="DI21" i="1"/>
  <c r="CZ20" i="1"/>
  <c r="DI20" i="1"/>
  <c r="CZ19" i="1"/>
  <c r="DI19" i="1"/>
  <c r="CZ18" i="1"/>
  <c r="DI18" i="1"/>
  <c r="CZ17" i="1"/>
  <c r="DI17" i="1"/>
  <c r="CZ16" i="1"/>
  <c r="DI16" i="1"/>
  <c r="Q15" i="1"/>
  <c r="CZ14" i="1"/>
  <c r="CX13" i="1"/>
  <c r="CZ13" i="1"/>
  <c r="DI13" i="1"/>
  <c r="CZ12" i="1"/>
  <c r="DI12" i="1"/>
  <c r="CZ11" i="1"/>
  <c r="CZ10" i="1"/>
  <c r="DI10" i="1"/>
  <c r="CZ9" i="1"/>
  <c r="DI9" i="1"/>
  <c r="CZ8" i="1"/>
  <c r="DI8" i="1"/>
  <c r="CZ7" i="1"/>
  <c r="CZ6" i="1"/>
  <c r="DI6" i="1"/>
  <c r="CZ5" i="1"/>
  <c r="DI5" i="1"/>
  <c r="CZ4" i="1"/>
  <c r="DI4" i="1"/>
  <c r="CZ3" i="1"/>
  <c r="V14" i="1"/>
  <c r="DI14" i="1"/>
  <c r="Q7" i="1"/>
  <c r="DI7" i="1"/>
  <c r="W29" i="1"/>
  <c r="DI29" i="1"/>
  <c r="W105" i="1"/>
  <c r="DI105" i="1"/>
  <c r="Q3" i="1"/>
  <c r="DI3" i="1"/>
  <c r="T11" i="1"/>
  <c r="DI11" i="1"/>
  <c r="DC250" i="1"/>
  <c r="DI250" i="1"/>
  <c r="Q191" i="1"/>
  <c r="W235" i="1"/>
  <c r="Q156" i="1"/>
  <c r="Z173" i="1"/>
  <c r="V182" i="1"/>
  <c r="Q192" i="1"/>
  <c r="Z236" i="1"/>
  <c r="Q171" i="1"/>
  <c r="Q172" i="1"/>
  <c r="Q193" i="1"/>
  <c r="Q158" i="1"/>
  <c r="W239" i="1"/>
  <c r="U206" i="1"/>
  <c r="Q163" i="1"/>
  <c r="Q159" i="1"/>
  <c r="Q168" i="1"/>
  <c r="Q177" i="1"/>
  <c r="V185" i="1"/>
  <c r="V187" i="1"/>
  <c r="V186" i="1"/>
  <c r="Q190" i="1"/>
  <c r="Q160" i="1"/>
  <c r="Q169" i="1"/>
  <c r="Q188" i="1"/>
  <c r="Q164" i="1"/>
  <c r="Q157" i="1"/>
  <c r="Q175" i="1"/>
  <c r="Y204" i="1"/>
  <c r="Q170" i="1"/>
  <c r="Q189" i="1"/>
  <c r="T198" i="1"/>
  <c r="T23" i="1"/>
  <c r="Q69" i="1"/>
  <c r="Q78" i="1"/>
  <c r="Q4" i="1"/>
  <c r="Q79" i="1"/>
  <c r="Q129" i="1"/>
  <c r="Q5" i="1"/>
  <c r="Q13" i="1"/>
  <c r="Q62" i="1"/>
  <c r="Q72" i="1"/>
  <c r="Q80" i="1"/>
  <c r="Q130" i="1"/>
  <c r="Q138" i="1"/>
  <c r="Q6" i="1"/>
  <c r="Q63" i="1"/>
  <c r="Q73" i="1"/>
  <c r="Q131" i="1"/>
  <c r="Q64" i="1"/>
  <c r="Q74" i="1"/>
  <c r="Q82" i="1"/>
  <c r="Q132" i="1"/>
  <c r="Q8" i="1"/>
  <c r="Q16" i="1"/>
  <c r="DA54" i="1"/>
  <c r="Q75" i="1"/>
  <c r="Q83" i="1"/>
  <c r="U85" i="1"/>
  <c r="Q133" i="1"/>
  <c r="Q9" i="1"/>
  <c r="Q76" i="1"/>
  <c r="Q84" i="1"/>
  <c r="Q126" i="1"/>
  <c r="Q134" i="1"/>
  <c r="Q10" i="1"/>
  <c r="Q77" i="1"/>
  <c r="BO280" i="1"/>
  <c r="CW249" i="1"/>
  <c r="DJ249" i="1"/>
  <c r="CW226" i="1"/>
  <c r="DJ226" i="1"/>
  <c r="Q179" i="1"/>
  <c r="R179" i="1"/>
  <c r="Q176" i="1"/>
  <c r="R176" i="1"/>
  <c r="CW246" i="1"/>
  <c r="DJ246" i="1"/>
  <c r="CW229" i="1"/>
  <c r="DJ229" i="1"/>
  <c r="CW247" i="1"/>
  <c r="DJ247" i="1"/>
  <c r="CW248" i="1"/>
  <c r="DJ248" i="1"/>
  <c r="CU235" i="1"/>
  <c r="CW54" i="1"/>
  <c r="DB54" i="1"/>
  <c r="DJ54" i="1"/>
  <c r="CW232" i="1"/>
  <c r="DB232" i="1"/>
  <c r="DJ232" i="1"/>
  <c r="CZ285" i="1"/>
  <c r="DI285" i="1"/>
  <c r="CZ284" i="1"/>
  <c r="DI284" i="1"/>
  <c r="CZ280" i="1"/>
  <c r="DI280" i="1"/>
  <c r="CZ282" i="1"/>
  <c r="DI282" i="1"/>
  <c r="CZ281" i="1"/>
  <c r="DI281" i="1"/>
  <c r="CZ279" i="1"/>
  <c r="DI279" i="1"/>
  <c r="CZ278" i="1"/>
  <c r="DI278" i="1"/>
  <c r="CZ277" i="1"/>
  <c r="DI277" i="1"/>
  <c r="CZ276" i="1"/>
  <c r="DI276" i="1"/>
  <c r="CZ275" i="1"/>
  <c r="DI275" i="1"/>
  <c r="CZ274" i="1"/>
  <c r="DI274" i="1"/>
  <c r="CZ273" i="1"/>
  <c r="DI273" i="1"/>
  <c r="CZ272" i="1"/>
  <c r="DI272" i="1"/>
  <c r="CZ271" i="1"/>
  <c r="DI271" i="1"/>
  <c r="CZ270" i="1"/>
  <c r="DI270" i="1"/>
  <c r="CZ269" i="1"/>
  <c r="DI269" i="1"/>
  <c r="CZ268" i="1"/>
  <c r="DI268" i="1"/>
  <c r="CZ267" i="1"/>
  <c r="DI267" i="1"/>
  <c r="CX266" i="1"/>
  <c r="CZ266" i="1"/>
  <c r="DI266" i="1"/>
  <c r="CZ265" i="1"/>
  <c r="DI265" i="1"/>
  <c r="CZ264" i="1"/>
  <c r="DI264" i="1"/>
  <c r="CZ263" i="1"/>
  <c r="DI263" i="1"/>
  <c r="CZ262" i="1"/>
  <c r="DI262" i="1"/>
  <c r="CZ258" i="1"/>
  <c r="DI258" i="1"/>
  <c r="CZ254" i="1"/>
  <c r="DI254" i="1"/>
  <c r="CZ253" i="1"/>
  <c r="DI253" i="1"/>
  <c r="CZ257" i="1"/>
  <c r="DI257" i="1"/>
  <c r="CZ256" i="1"/>
  <c r="DI256" i="1"/>
  <c r="CW251" i="1"/>
  <c r="DJ251" i="1"/>
  <c r="CW250" i="1"/>
  <c r="CW245" i="1"/>
  <c r="CW244" i="1"/>
  <c r="CW243" i="1"/>
  <c r="CW242" i="1"/>
  <c r="CW241" i="1"/>
  <c r="CW240" i="1"/>
  <c r="CW186" i="1"/>
  <c r="DJ186" i="1"/>
  <c r="CW237" i="1"/>
  <c r="CW199" i="1"/>
  <c r="CW236" i="1"/>
  <c r="CW235" i="1"/>
  <c r="CW234" i="1"/>
  <c r="DJ234" i="1"/>
  <c r="CW184" i="1"/>
  <c r="DJ184" i="1"/>
  <c r="CW233" i="1"/>
  <c r="CW231" i="1"/>
  <c r="CW230" i="1"/>
  <c r="CW228" i="1"/>
  <c r="CW224" i="1"/>
  <c r="DJ224" i="1"/>
  <c r="CW227" i="1"/>
  <c r="CW225" i="1"/>
  <c r="CW223" i="1"/>
  <c r="CW219" i="1"/>
  <c r="DJ219" i="1"/>
  <c r="CW222" i="1"/>
  <c r="CW217" i="1"/>
  <c r="DJ217" i="1"/>
  <c r="CW220" i="1"/>
  <c r="CW215" i="1"/>
  <c r="DJ215" i="1"/>
  <c r="CW214" i="1"/>
  <c r="DJ214" i="1"/>
  <c r="CW218" i="1"/>
  <c r="CW216" i="1"/>
  <c r="CW213" i="1"/>
  <c r="CW209" i="1"/>
  <c r="DJ209" i="1"/>
  <c r="CW211" i="1"/>
  <c r="CW210" i="1"/>
  <c r="CW208" i="1"/>
  <c r="CW203" i="1"/>
  <c r="DJ203" i="1"/>
  <c r="CW187" i="1"/>
  <c r="CW206" i="1"/>
  <c r="CW204" i="1"/>
  <c r="CW202" i="1"/>
  <c r="DJ202" i="1"/>
  <c r="CW201" i="1"/>
  <c r="CW200" i="1"/>
  <c r="CW198" i="1"/>
  <c r="CW196" i="1"/>
  <c r="DJ196" i="1"/>
  <c r="CW195" i="1"/>
  <c r="DJ195" i="1"/>
  <c r="CW194" i="1"/>
  <c r="CW193" i="1"/>
  <c r="CW192" i="1"/>
  <c r="CW191" i="1"/>
  <c r="CW190" i="1"/>
  <c r="DJ190" i="1"/>
  <c r="CW189" i="1"/>
  <c r="DJ189" i="1"/>
  <c r="CW188" i="1"/>
  <c r="DJ188" i="1"/>
  <c r="CW185" i="1"/>
  <c r="CW239" i="1"/>
  <c r="CW183" i="1"/>
  <c r="CW182" i="1"/>
  <c r="CW181" i="1"/>
  <c r="CU180" i="1"/>
  <c r="CW180" i="1"/>
  <c r="CW179" i="1"/>
  <c r="CU178" i="1"/>
  <c r="CW177" i="1"/>
  <c r="CU176" i="1"/>
  <c r="CW175" i="1"/>
  <c r="CW173" i="1"/>
  <c r="CW172" i="1"/>
  <c r="CW171" i="1"/>
  <c r="CW170" i="1"/>
  <c r="CW169" i="1"/>
  <c r="CW168" i="1"/>
  <c r="CW167" i="1"/>
  <c r="DJ167" i="1"/>
  <c r="CW166" i="1"/>
  <c r="CW165" i="1"/>
  <c r="CW164" i="1"/>
  <c r="CW163" i="1"/>
  <c r="CW162" i="1"/>
  <c r="DJ162" i="1"/>
  <c r="CW160" i="1"/>
  <c r="CW159" i="1"/>
  <c r="CW158" i="1"/>
  <c r="CW157" i="1"/>
  <c r="CW156" i="1"/>
  <c r="CW155" i="1"/>
  <c r="CW154" i="1"/>
  <c r="DJ154" i="1"/>
  <c r="CW153" i="1"/>
  <c r="DJ153" i="1"/>
  <c r="CW152" i="1"/>
  <c r="DJ152" i="1"/>
  <c r="CW151" i="1"/>
  <c r="CW150" i="1"/>
  <c r="CW149" i="1"/>
  <c r="CW148" i="1"/>
  <c r="CW147" i="1"/>
  <c r="DJ147" i="1"/>
  <c r="CW146" i="1"/>
  <c r="CW145" i="1"/>
  <c r="CW144" i="1"/>
  <c r="DJ144" i="1"/>
  <c r="CW143" i="1"/>
  <c r="DJ143" i="1"/>
  <c r="CW142" i="1"/>
  <c r="CW141" i="1"/>
  <c r="CW140" i="1"/>
  <c r="CW139" i="1"/>
  <c r="CW138" i="1"/>
  <c r="CW137" i="1"/>
  <c r="CW136" i="1"/>
  <c r="CW135" i="1"/>
  <c r="CW134" i="1"/>
  <c r="CW133" i="1"/>
  <c r="CW132" i="1"/>
  <c r="CW131" i="1"/>
  <c r="CW130" i="1"/>
  <c r="CW129" i="1"/>
  <c r="CW128" i="1"/>
  <c r="DJ128" i="1"/>
  <c r="CW127" i="1"/>
  <c r="DJ127" i="1"/>
  <c r="CW126" i="1"/>
  <c r="CW124" i="1"/>
  <c r="DJ124" i="1"/>
  <c r="CW123" i="1"/>
  <c r="CW122" i="1"/>
  <c r="CW121" i="1"/>
  <c r="DJ121" i="1"/>
  <c r="CW120" i="1"/>
  <c r="DJ120" i="1"/>
  <c r="CW119" i="1"/>
  <c r="CW118" i="1"/>
  <c r="DJ118" i="1"/>
  <c r="CW117" i="1"/>
  <c r="CW116" i="1"/>
  <c r="CW115" i="1"/>
  <c r="CW114" i="1"/>
  <c r="CW113" i="1"/>
  <c r="CW112" i="1"/>
  <c r="CW111" i="1"/>
  <c r="DJ111" i="1"/>
  <c r="CW110" i="1"/>
  <c r="CW109" i="1"/>
  <c r="CW85" i="1"/>
  <c r="CW107" i="1"/>
  <c r="DJ107" i="1"/>
  <c r="CW108" i="1"/>
  <c r="CW106" i="1"/>
  <c r="CW105" i="1"/>
  <c r="CW104" i="1"/>
  <c r="CW102" i="1"/>
  <c r="DJ102" i="1"/>
  <c r="CW103" i="1"/>
  <c r="CW100" i="1"/>
  <c r="DJ100" i="1"/>
  <c r="CW101" i="1"/>
  <c r="CW99" i="1"/>
  <c r="CW98" i="1"/>
  <c r="CW96" i="1"/>
  <c r="DJ96" i="1"/>
  <c r="CW95" i="1"/>
  <c r="DJ95" i="1"/>
  <c r="CW97" i="1"/>
  <c r="CW94" i="1"/>
  <c r="CW93" i="1"/>
  <c r="CW92" i="1"/>
  <c r="CW91" i="1"/>
  <c r="CW90" i="1"/>
  <c r="CU89" i="1"/>
  <c r="CW89" i="1"/>
  <c r="CW88" i="1"/>
  <c r="CW87" i="1"/>
  <c r="CW86" i="1"/>
  <c r="CW84" i="1"/>
  <c r="CW83" i="1"/>
  <c r="CW82" i="1"/>
  <c r="CW81" i="1"/>
  <c r="CW80" i="1"/>
  <c r="CW79" i="1"/>
  <c r="CW78" i="1"/>
  <c r="CW77" i="1"/>
  <c r="CW76" i="1"/>
  <c r="CW75" i="1"/>
  <c r="CW74" i="1"/>
  <c r="CW73" i="1"/>
  <c r="CW72" i="1"/>
  <c r="CU71" i="1"/>
  <c r="CW71" i="1"/>
  <c r="CW70" i="1"/>
  <c r="CW69" i="1"/>
  <c r="CW68" i="1"/>
  <c r="CW67" i="1"/>
  <c r="CW66" i="1"/>
  <c r="CW65" i="1"/>
  <c r="CW64" i="1"/>
  <c r="CW63" i="1"/>
  <c r="CW62" i="1"/>
  <c r="CW61" i="1"/>
  <c r="DJ61" i="1"/>
  <c r="CW59" i="1"/>
  <c r="DJ59" i="1"/>
  <c r="CW58" i="1"/>
  <c r="DJ58" i="1"/>
  <c r="CW57" i="1"/>
  <c r="DJ57" i="1"/>
  <c r="CW60" i="1"/>
  <c r="CW55" i="1"/>
  <c r="DJ55" i="1"/>
  <c r="CW53" i="1"/>
  <c r="DJ53" i="1"/>
  <c r="CW23" i="1"/>
  <c r="CW51" i="1"/>
  <c r="CW50" i="1"/>
  <c r="CW49" i="1"/>
  <c r="CW48" i="1"/>
  <c r="CW47" i="1"/>
  <c r="CW46" i="1"/>
  <c r="CW44" i="1"/>
  <c r="DJ44" i="1"/>
  <c r="CW43" i="1"/>
  <c r="DJ43" i="1"/>
  <c r="CW45" i="1"/>
  <c r="CW41" i="1"/>
  <c r="DJ41" i="1"/>
  <c r="CW40" i="1"/>
  <c r="DJ40" i="1"/>
  <c r="CW42" i="1"/>
  <c r="CW39" i="1"/>
  <c r="CW37" i="1"/>
  <c r="DJ37" i="1"/>
  <c r="CW38" i="1"/>
  <c r="CW36" i="1"/>
  <c r="CW56" i="1"/>
  <c r="CW34" i="1"/>
  <c r="CW33" i="1"/>
  <c r="CW32" i="1"/>
  <c r="CW30" i="1"/>
  <c r="DJ30" i="1"/>
  <c r="CW31" i="1"/>
  <c r="CW29" i="1"/>
  <c r="CW28" i="1"/>
  <c r="CW27" i="1"/>
  <c r="CW26" i="1"/>
  <c r="CW25" i="1"/>
  <c r="CW24" i="1"/>
  <c r="CU22" i="1"/>
  <c r="CW22" i="1"/>
  <c r="CW21" i="1"/>
  <c r="CW20" i="1"/>
  <c r="CW19" i="1"/>
  <c r="CW18" i="1"/>
  <c r="CW17" i="1"/>
  <c r="CU16" i="1"/>
  <c r="CW16" i="1"/>
  <c r="CW15" i="1"/>
  <c r="CW14" i="1"/>
  <c r="CU13" i="1"/>
  <c r="CW13" i="1"/>
  <c r="CU12" i="1"/>
  <c r="CW12" i="1"/>
  <c r="CU11" i="1"/>
  <c r="CW11" i="1"/>
  <c r="CW10" i="1"/>
  <c r="CW9" i="1"/>
  <c r="CW8" i="1"/>
  <c r="CW7" i="1"/>
  <c r="CW6" i="1"/>
  <c r="CW5" i="1"/>
  <c r="CW4" i="1"/>
  <c r="CW3" i="1"/>
  <c r="DI287" i="1"/>
  <c r="DB8" i="1"/>
  <c r="DJ8" i="1"/>
  <c r="DB49" i="1"/>
  <c r="DJ49" i="1"/>
  <c r="DB82" i="1"/>
  <c r="DJ82" i="1"/>
  <c r="DB114" i="1"/>
  <c r="DJ114" i="1"/>
  <c r="DB164" i="1"/>
  <c r="DJ164" i="1"/>
  <c r="DB230" i="1"/>
  <c r="DJ230" i="1"/>
  <c r="DB26" i="1"/>
  <c r="DJ26" i="1"/>
  <c r="DB83" i="1"/>
  <c r="DJ83" i="1"/>
  <c r="DB140" i="1"/>
  <c r="DJ140" i="1"/>
  <c r="DB93" i="1"/>
  <c r="DJ93" i="1"/>
  <c r="DB116" i="1"/>
  <c r="DJ116" i="1"/>
  <c r="DB149" i="1"/>
  <c r="DJ149" i="1"/>
  <c r="DB157" i="1"/>
  <c r="DJ157" i="1"/>
  <c r="DB166" i="1"/>
  <c r="DJ166" i="1"/>
  <c r="DB175" i="1"/>
  <c r="DJ175" i="1"/>
  <c r="DB183" i="1"/>
  <c r="DJ183" i="1"/>
  <c r="DB193" i="1"/>
  <c r="DJ193" i="1"/>
  <c r="DB204" i="1"/>
  <c r="DJ204" i="1"/>
  <c r="DB213" i="1"/>
  <c r="DJ213" i="1"/>
  <c r="DB233" i="1"/>
  <c r="DJ233" i="1"/>
  <c r="DB240" i="1"/>
  <c r="DJ240" i="1"/>
  <c r="DB25" i="1"/>
  <c r="DJ25" i="1"/>
  <c r="DB91" i="1"/>
  <c r="DJ91" i="1"/>
  <c r="DB172" i="1"/>
  <c r="DJ172" i="1"/>
  <c r="DB250" i="1"/>
  <c r="DJ250" i="1"/>
  <c r="DB9" i="1"/>
  <c r="DJ9" i="1"/>
  <c r="DB92" i="1"/>
  <c r="DJ92" i="1"/>
  <c r="DB132" i="1"/>
  <c r="DJ132" i="1"/>
  <c r="DB165" i="1"/>
  <c r="DJ165" i="1"/>
  <c r="DB192" i="1"/>
  <c r="DJ192" i="1"/>
  <c r="DB222" i="1"/>
  <c r="DJ222" i="1"/>
  <c r="DB231" i="1"/>
  <c r="DJ231" i="1"/>
  <c r="DB69" i="1"/>
  <c r="DJ69" i="1"/>
  <c r="DB77" i="1"/>
  <c r="DJ77" i="1"/>
  <c r="DB86" i="1"/>
  <c r="DJ86" i="1"/>
  <c r="DB94" i="1"/>
  <c r="DJ94" i="1"/>
  <c r="DB103" i="1"/>
  <c r="DJ103" i="1"/>
  <c r="DB109" i="1"/>
  <c r="DJ109" i="1"/>
  <c r="DB117" i="1"/>
  <c r="DJ117" i="1"/>
  <c r="DB126" i="1"/>
  <c r="DJ126" i="1"/>
  <c r="DB134" i="1"/>
  <c r="DJ134" i="1"/>
  <c r="DB142" i="1"/>
  <c r="DJ142" i="1"/>
  <c r="DB150" i="1"/>
  <c r="DJ150" i="1"/>
  <c r="DB158" i="1"/>
  <c r="DJ158" i="1"/>
  <c r="DB239" i="1"/>
  <c r="DJ239" i="1"/>
  <c r="DB194" i="1"/>
  <c r="DJ194" i="1"/>
  <c r="DB206" i="1"/>
  <c r="DJ206" i="1"/>
  <c r="DB216" i="1"/>
  <c r="DJ216" i="1"/>
  <c r="DB223" i="1"/>
  <c r="DJ223" i="1"/>
  <c r="DB241" i="1"/>
  <c r="DJ241" i="1"/>
  <c r="DB33" i="1"/>
  <c r="DJ33" i="1"/>
  <c r="DB74" i="1"/>
  <c r="DJ74" i="1"/>
  <c r="DB139" i="1"/>
  <c r="DJ139" i="1"/>
  <c r="DB191" i="1"/>
  <c r="DJ191" i="1"/>
  <c r="DB237" i="1"/>
  <c r="DJ237" i="1"/>
  <c r="DB173" i="1"/>
  <c r="DJ173" i="1"/>
  <c r="DB10" i="1"/>
  <c r="DJ10" i="1"/>
  <c r="DB141" i="1"/>
  <c r="DJ141" i="1"/>
  <c r="DB36" i="1"/>
  <c r="DJ36" i="1"/>
  <c r="DB23" i="1"/>
  <c r="DJ23" i="1"/>
  <c r="DB12" i="1"/>
  <c r="DJ12" i="1"/>
  <c r="DB20" i="1"/>
  <c r="DJ20" i="1"/>
  <c r="DB29" i="1"/>
  <c r="DJ29" i="1"/>
  <c r="DB38" i="1"/>
  <c r="DJ38" i="1"/>
  <c r="DB60" i="1"/>
  <c r="DJ60" i="1"/>
  <c r="DB62" i="1"/>
  <c r="DJ62" i="1"/>
  <c r="DB70" i="1"/>
  <c r="DJ70" i="1"/>
  <c r="DB78" i="1"/>
  <c r="DJ78" i="1"/>
  <c r="DB87" i="1"/>
  <c r="DJ87" i="1"/>
  <c r="DB97" i="1"/>
  <c r="DJ97" i="1"/>
  <c r="DB110" i="1"/>
  <c r="DJ110" i="1"/>
  <c r="DB135" i="1"/>
  <c r="DJ135" i="1"/>
  <c r="DB151" i="1"/>
  <c r="DJ151" i="1"/>
  <c r="DB159" i="1"/>
  <c r="DJ159" i="1"/>
  <c r="DB168" i="1"/>
  <c r="DJ168" i="1"/>
  <c r="DB177" i="1"/>
  <c r="DJ177" i="1"/>
  <c r="DB185" i="1"/>
  <c r="DJ185" i="1"/>
  <c r="DB187" i="1"/>
  <c r="DJ187" i="1"/>
  <c r="DB218" i="1"/>
  <c r="DJ218" i="1"/>
  <c r="DB225" i="1"/>
  <c r="DJ225" i="1"/>
  <c r="DB242" i="1"/>
  <c r="DJ242" i="1"/>
  <c r="DB16" i="1"/>
  <c r="DJ16" i="1"/>
  <c r="DB99" i="1"/>
  <c r="DJ99" i="1"/>
  <c r="DB131" i="1"/>
  <c r="DJ131" i="1"/>
  <c r="DB201" i="1"/>
  <c r="DJ201" i="1"/>
  <c r="DB50" i="1"/>
  <c r="DJ50" i="1"/>
  <c r="DB75" i="1"/>
  <c r="DJ75" i="1"/>
  <c r="DB123" i="1"/>
  <c r="DJ123" i="1"/>
  <c r="DB156" i="1"/>
  <c r="DJ156" i="1"/>
  <c r="DB18" i="1"/>
  <c r="DJ18" i="1"/>
  <c r="DB45" i="1"/>
  <c r="DJ45" i="1"/>
  <c r="DB76" i="1"/>
  <c r="DJ76" i="1"/>
  <c r="DB85" i="1"/>
  <c r="DJ85" i="1"/>
  <c r="DB133" i="1"/>
  <c r="DJ133" i="1"/>
  <c r="DB11" i="1"/>
  <c r="DJ11" i="1"/>
  <c r="DB28" i="1"/>
  <c r="DJ28" i="1"/>
  <c r="DB4" i="1"/>
  <c r="DJ4" i="1"/>
  <c r="DB5" i="1"/>
  <c r="DJ5" i="1"/>
  <c r="DB13" i="1"/>
  <c r="DJ13" i="1"/>
  <c r="DB21" i="1"/>
  <c r="DJ21" i="1"/>
  <c r="DB31" i="1"/>
  <c r="DJ31" i="1"/>
  <c r="DB46" i="1"/>
  <c r="DJ46" i="1"/>
  <c r="DB63" i="1"/>
  <c r="DJ63" i="1"/>
  <c r="DB71" i="1"/>
  <c r="DJ71" i="1"/>
  <c r="DB79" i="1"/>
  <c r="DJ79" i="1"/>
  <c r="DB88" i="1"/>
  <c r="DJ88" i="1"/>
  <c r="DB104" i="1"/>
  <c r="DJ104" i="1"/>
  <c r="DB119" i="1"/>
  <c r="DJ119" i="1"/>
  <c r="DB136" i="1"/>
  <c r="DJ136" i="1"/>
  <c r="DB160" i="1"/>
  <c r="DJ160" i="1"/>
  <c r="DB169" i="1"/>
  <c r="DJ169" i="1"/>
  <c r="DB227" i="1"/>
  <c r="DJ227" i="1"/>
  <c r="DB235" i="1"/>
  <c r="DJ235" i="1"/>
  <c r="DB243" i="1"/>
  <c r="DJ243" i="1"/>
  <c r="DB66" i="1"/>
  <c r="DJ66" i="1"/>
  <c r="DB108" i="1"/>
  <c r="DJ108" i="1"/>
  <c r="DB122" i="1"/>
  <c r="DJ122" i="1"/>
  <c r="DB155" i="1"/>
  <c r="DJ155" i="1"/>
  <c r="DB181" i="1"/>
  <c r="DJ181" i="1"/>
  <c r="DB211" i="1"/>
  <c r="DJ211" i="1"/>
  <c r="DB17" i="1"/>
  <c r="DJ17" i="1"/>
  <c r="DB67" i="1"/>
  <c r="DJ67" i="1"/>
  <c r="DB115" i="1"/>
  <c r="DJ115" i="1"/>
  <c r="DB182" i="1"/>
  <c r="DJ182" i="1"/>
  <c r="DB56" i="1"/>
  <c r="DJ56" i="1"/>
  <c r="DB39" i="1"/>
  <c r="DJ39" i="1"/>
  <c r="DB47" i="1"/>
  <c r="DJ47" i="1"/>
  <c r="DB64" i="1"/>
  <c r="DJ64" i="1"/>
  <c r="DB72" i="1"/>
  <c r="DJ72" i="1"/>
  <c r="DB80" i="1"/>
  <c r="DJ80" i="1"/>
  <c r="DB89" i="1"/>
  <c r="DJ89" i="1"/>
  <c r="DB105" i="1"/>
  <c r="DJ105" i="1"/>
  <c r="DB112" i="1"/>
  <c r="DJ112" i="1"/>
  <c r="DB129" i="1"/>
  <c r="DJ129" i="1"/>
  <c r="DB137" i="1"/>
  <c r="DJ137" i="1"/>
  <c r="DB145" i="1"/>
  <c r="DJ145" i="1"/>
  <c r="DB170" i="1"/>
  <c r="DJ170" i="1"/>
  <c r="DB179" i="1"/>
  <c r="DJ179" i="1"/>
  <c r="DB198" i="1"/>
  <c r="DJ198" i="1"/>
  <c r="DB208" i="1"/>
  <c r="DJ208" i="1"/>
  <c r="DB236" i="1"/>
  <c r="DJ236" i="1"/>
  <c r="DB244" i="1"/>
  <c r="DJ244" i="1"/>
  <c r="DB34" i="1"/>
  <c r="DJ34" i="1"/>
  <c r="DB101" i="1"/>
  <c r="DJ101" i="1"/>
  <c r="DB148" i="1"/>
  <c r="DJ148" i="1"/>
  <c r="DB27" i="1"/>
  <c r="DJ27" i="1"/>
  <c r="DB51" i="1"/>
  <c r="DJ51" i="1"/>
  <c r="DB68" i="1"/>
  <c r="DJ68" i="1"/>
  <c r="DB84" i="1"/>
  <c r="DJ84" i="1"/>
  <c r="DB3" i="1"/>
  <c r="DJ3" i="1"/>
  <c r="DB19" i="1"/>
  <c r="DJ19" i="1"/>
  <c r="DB6" i="1"/>
  <c r="DJ6" i="1"/>
  <c r="DB14" i="1"/>
  <c r="DJ14" i="1"/>
  <c r="DB22" i="1"/>
  <c r="DJ22" i="1"/>
  <c r="DB7" i="1"/>
  <c r="DJ7" i="1"/>
  <c r="DB15" i="1"/>
  <c r="DJ15" i="1"/>
  <c r="DB24" i="1"/>
  <c r="DJ24" i="1"/>
  <c r="DB32" i="1"/>
  <c r="DJ32" i="1"/>
  <c r="DB42" i="1"/>
  <c r="DJ42" i="1"/>
  <c r="DB48" i="1"/>
  <c r="DJ48" i="1"/>
  <c r="DB65" i="1"/>
  <c r="DJ65" i="1"/>
  <c r="DB73" i="1"/>
  <c r="DJ73" i="1"/>
  <c r="DB81" i="1"/>
  <c r="DJ81" i="1"/>
  <c r="DB90" i="1"/>
  <c r="DJ90" i="1"/>
  <c r="DB98" i="1"/>
  <c r="DJ98" i="1"/>
  <c r="DB106" i="1"/>
  <c r="DJ106" i="1"/>
  <c r="DB113" i="1"/>
  <c r="DJ113" i="1"/>
  <c r="DB130" i="1"/>
  <c r="DJ130" i="1"/>
  <c r="DB138" i="1"/>
  <c r="DJ138" i="1"/>
  <c r="DB146" i="1"/>
  <c r="DJ146" i="1"/>
  <c r="DB163" i="1"/>
  <c r="DJ163" i="1"/>
  <c r="DB171" i="1"/>
  <c r="DJ171" i="1"/>
  <c r="DB180" i="1"/>
  <c r="DJ180" i="1"/>
  <c r="DB200" i="1"/>
  <c r="DJ200" i="1"/>
  <c r="DB210" i="1"/>
  <c r="DJ210" i="1"/>
  <c r="DB220" i="1"/>
  <c r="DJ220" i="1"/>
  <c r="DB228" i="1"/>
  <c r="DJ228" i="1"/>
  <c r="DB199" i="1"/>
  <c r="DJ199" i="1"/>
  <c r="DB245" i="1"/>
  <c r="DJ245" i="1"/>
  <c r="DB195" i="1"/>
  <c r="DB234" i="1"/>
  <c r="DB188" i="1"/>
  <c r="DB196" i="1"/>
  <c r="DB190" i="1"/>
  <c r="DB184" i="1"/>
  <c r="DB202" i="1"/>
  <c r="DB186" i="1"/>
  <c r="DB189" i="1"/>
  <c r="CZ287" i="1"/>
  <c r="CZ289" i="1"/>
  <c r="CZ290" i="1"/>
  <c r="V199" i="1"/>
  <c r="Q181" i="1"/>
  <c r="V237" i="1"/>
  <c r="Q165" i="1"/>
  <c r="CW287" i="1"/>
  <c r="V216" i="1"/>
  <c r="CQ250" i="1"/>
  <c r="DA250" i="1"/>
  <c r="DJ287" i="1"/>
  <c r="DB287" i="1"/>
  <c r="CR250" i="1"/>
  <c r="CQ252" i="1"/>
  <c r="DA252" i="1"/>
  <c r="DN252" i="1"/>
  <c r="CR252" i="1"/>
  <c r="CQ249" i="1"/>
  <c r="CQ234" i="1"/>
  <c r="DA234" i="1"/>
  <c r="CR249" i="1"/>
  <c r="DA249" i="1"/>
  <c r="CO180" i="1"/>
  <c r="CO16" i="1"/>
  <c r="CO11" i="1"/>
  <c r="CO12" i="1"/>
  <c r="CK62" i="1"/>
  <c r="CK64" i="1"/>
  <c r="CK105" i="1"/>
  <c r="CK78" i="1"/>
  <c r="CK77" i="1"/>
  <c r="CK72" i="1"/>
  <c r="CQ132" i="1"/>
  <c r="DA132" i="1"/>
  <c r="CQ77" i="1"/>
  <c r="DA77" i="1"/>
  <c r="CQ78" i="1"/>
  <c r="DA78" i="1"/>
  <c r="CQ72" i="1"/>
  <c r="DA72" i="1"/>
  <c r="CQ64" i="1"/>
  <c r="DA64" i="1"/>
  <c r="DN62" i="1"/>
  <c r="CQ62" i="1"/>
  <c r="DA62" i="1"/>
  <c r="DN4" i="1"/>
  <c r="DN5" i="1"/>
  <c r="DN6" i="1"/>
  <c r="DN7" i="1"/>
  <c r="DN8" i="1"/>
  <c r="DN9" i="1"/>
  <c r="DN10" i="1"/>
  <c r="DN11" i="1"/>
  <c r="DN12" i="1"/>
  <c r="DN151" i="1"/>
  <c r="DN13" i="1"/>
  <c r="DN14" i="1"/>
  <c r="DN15" i="1"/>
  <c r="DN16" i="1"/>
  <c r="DN17" i="1"/>
  <c r="DN18" i="1"/>
  <c r="DN19" i="1"/>
  <c r="DN20" i="1"/>
  <c r="DN21" i="1"/>
  <c r="DN22" i="1"/>
  <c r="DN24" i="1"/>
  <c r="DN25" i="1"/>
  <c r="DN27" i="1"/>
  <c r="DN31" i="1"/>
  <c r="DN30" i="1"/>
  <c r="DN32" i="1"/>
  <c r="DN36" i="1"/>
  <c r="DN38" i="1"/>
  <c r="DN37" i="1"/>
  <c r="DN39" i="1"/>
  <c r="DN42" i="1"/>
  <c r="DN40" i="1"/>
  <c r="DN41" i="1"/>
  <c r="DN45" i="1"/>
  <c r="DN43" i="1"/>
  <c r="DN44" i="1"/>
  <c r="DN46" i="1"/>
  <c r="DN47" i="1"/>
  <c r="DN48" i="1"/>
  <c r="DN51" i="1"/>
  <c r="DN23" i="1"/>
  <c r="DN53" i="1"/>
  <c r="DN29" i="1"/>
  <c r="DN55" i="1"/>
  <c r="DN57" i="1"/>
  <c r="DN58" i="1"/>
  <c r="DN59" i="1"/>
  <c r="DN61" i="1"/>
  <c r="CR132" i="1"/>
  <c r="CR64" i="1"/>
  <c r="CR72" i="1"/>
  <c r="CR77" i="1"/>
  <c r="CR62" i="1"/>
  <c r="CR78" i="1"/>
  <c r="CQ160" i="1"/>
  <c r="DA160" i="1"/>
  <c r="CQ105" i="1"/>
  <c r="DA105" i="1"/>
  <c r="CR105" i="1"/>
  <c r="CO22" i="1"/>
  <c r="CQ22" i="1"/>
  <c r="DA22" i="1"/>
  <c r="CK29" i="1"/>
  <c r="CQ29" i="1"/>
  <c r="DA29" i="1"/>
  <c r="CQ16" i="1"/>
  <c r="DA16" i="1"/>
  <c r="CI16" i="1"/>
  <c r="CQ285" i="1"/>
  <c r="DA285" i="1"/>
  <c r="CQ284" i="1"/>
  <c r="DA284" i="1"/>
  <c r="CQ280" i="1"/>
  <c r="DA280" i="1"/>
  <c r="CQ283" i="1"/>
  <c r="DA283" i="1"/>
  <c r="CQ282" i="1"/>
  <c r="DA282" i="1"/>
  <c r="CQ281" i="1"/>
  <c r="DA281" i="1"/>
  <c r="CQ279" i="1"/>
  <c r="DA279" i="1"/>
  <c r="CQ278" i="1"/>
  <c r="DA278" i="1"/>
  <c r="CQ277" i="1"/>
  <c r="DA277" i="1"/>
  <c r="CQ276" i="1"/>
  <c r="DA276" i="1"/>
  <c r="CQ275" i="1"/>
  <c r="DA275" i="1"/>
  <c r="CQ274" i="1"/>
  <c r="DA274" i="1"/>
  <c r="CQ273" i="1"/>
  <c r="DA273" i="1"/>
  <c r="CQ272" i="1"/>
  <c r="DA272" i="1"/>
  <c r="CQ271" i="1"/>
  <c r="DA271" i="1"/>
  <c r="CQ270" i="1"/>
  <c r="DA270" i="1"/>
  <c r="CQ269" i="1"/>
  <c r="DA269" i="1"/>
  <c r="CQ268" i="1"/>
  <c r="DA268" i="1"/>
  <c r="CQ267" i="1"/>
  <c r="DA267" i="1"/>
  <c r="CO266" i="1"/>
  <c r="CQ266" i="1"/>
  <c r="DA266" i="1"/>
  <c r="CQ265" i="1"/>
  <c r="DA265" i="1"/>
  <c r="CQ264" i="1"/>
  <c r="DA264" i="1"/>
  <c r="CQ263" i="1"/>
  <c r="DA263" i="1"/>
  <c r="CQ262" i="1"/>
  <c r="DA262" i="1"/>
  <c r="CQ261" i="1"/>
  <c r="DA261" i="1"/>
  <c r="CQ260" i="1"/>
  <c r="DA260" i="1"/>
  <c r="CQ259" i="1"/>
  <c r="DA259" i="1"/>
  <c r="CQ258" i="1"/>
  <c r="DA258" i="1"/>
  <c r="CQ254" i="1"/>
  <c r="DA254" i="1"/>
  <c r="CQ253" i="1"/>
  <c r="DA253" i="1"/>
  <c r="CQ257" i="1"/>
  <c r="DA257" i="1"/>
  <c r="CQ256" i="1"/>
  <c r="DA256" i="1"/>
  <c r="CQ255" i="1"/>
  <c r="DA255" i="1"/>
  <c r="CQ251" i="1"/>
  <c r="DA251" i="1"/>
  <c r="CQ248" i="1"/>
  <c r="DA248" i="1"/>
  <c r="CQ247" i="1"/>
  <c r="DA247" i="1"/>
  <c r="CQ246" i="1"/>
  <c r="DA246" i="1"/>
  <c r="CQ245" i="1"/>
  <c r="DA245" i="1"/>
  <c r="CQ244" i="1"/>
  <c r="DA244" i="1"/>
  <c r="CQ243" i="1"/>
  <c r="DA243" i="1"/>
  <c r="CQ242" i="1"/>
  <c r="DA242" i="1"/>
  <c r="CQ241" i="1"/>
  <c r="DA241" i="1"/>
  <c r="CQ240" i="1"/>
  <c r="DA240" i="1"/>
  <c r="CQ186" i="1"/>
  <c r="DA186" i="1"/>
  <c r="CQ237" i="1"/>
  <c r="DA237" i="1"/>
  <c r="CQ199" i="1"/>
  <c r="DA199" i="1"/>
  <c r="CQ236" i="1"/>
  <c r="DA236" i="1"/>
  <c r="CQ235" i="1"/>
  <c r="DA235" i="1"/>
  <c r="CQ184" i="1"/>
  <c r="DA184" i="1"/>
  <c r="CQ233" i="1"/>
  <c r="DA233" i="1"/>
  <c r="CQ232" i="1"/>
  <c r="DA232" i="1"/>
  <c r="CQ229" i="1"/>
  <c r="DA229" i="1"/>
  <c r="CQ231" i="1"/>
  <c r="DA231" i="1"/>
  <c r="CQ230" i="1"/>
  <c r="DA230" i="1"/>
  <c r="CQ226" i="1"/>
  <c r="DA226" i="1"/>
  <c r="CQ228" i="1"/>
  <c r="DA228" i="1"/>
  <c r="CQ224" i="1"/>
  <c r="DA224" i="1"/>
  <c r="CQ227" i="1"/>
  <c r="DA227" i="1"/>
  <c r="CQ225" i="1"/>
  <c r="DA225" i="1"/>
  <c r="CQ223" i="1"/>
  <c r="DA223" i="1"/>
  <c r="CQ219" i="1"/>
  <c r="DA219" i="1"/>
  <c r="CQ185" i="1"/>
  <c r="DA185" i="1"/>
  <c r="CQ217" i="1"/>
  <c r="DA217" i="1"/>
  <c r="CQ222" i="1"/>
  <c r="DA222" i="1"/>
  <c r="CQ215" i="1"/>
  <c r="DA215" i="1"/>
  <c r="CQ214" i="1"/>
  <c r="DA214" i="1"/>
  <c r="CQ220" i="1"/>
  <c r="DA220" i="1"/>
  <c r="CQ218" i="1"/>
  <c r="DA218" i="1"/>
  <c r="CQ239" i="1"/>
  <c r="DA239" i="1"/>
  <c r="CQ209" i="1"/>
  <c r="DA209" i="1"/>
  <c r="CQ216" i="1"/>
  <c r="DA216" i="1"/>
  <c r="CQ213" i="1"/>
  <c r="DA213" i="1"/>
  <c r="CQ211" i="1"/>
  <c r="DA211" i="1"/>
  <c r="CQ203" i="1"/>
  <c r="CQ210" i="1"/>
  <c r="DA210" i="1"/>
  <c r="CQ208" i="1"/>
  <c r="DA208" i="1"/>
  <c r="CQ187" i="1"/>
  <c r="DA187" i="1"/>
  <c r="CQ206" i="1"/>
  <c r="DA206" i="1"/>
  <c r="CQ204" i="1"/>
  <c r="DA204" i="1"/>
  <c r="CQ202" i="1"/>
  <c r="DA202" i="1"/>
  <c r="CQ201" i="1"/>
  <c r="DA201" i="1"/>
  <c r="CQ200" i="1"/>
  <c r="DA200" i="1"/>
  <c r="CQ198" i="1"/>
  <c r="DA198" i="1"/>
  <c r="CQ196" i="1"/>
  <c r="DA196" i="1"/>
  <c r="CQ195" i="1"/>
  <c r="DA195" i="1"/>
  <c r="CQ194" i="1"/>
  <c r="DA194" i="1"/>
  <c r="CQ193" i="1"/>
  <c r="DA193" i="1"/>
  <c r="CQ192" i="1"/>
  <c r="DA192" i="1"/>
  <c r="CQ191" i="1"/>
  <c r="DA191" i="1"/>
  <c r="CQ190" i="1"/>
  <c r="DA190" i="1"/>
  <c r="CQ189" i="1"/>
  <c r="DA189" i="1"/>
  <c r="CQ188" i="1"/>
  <c r="DA188" i="1"/>
  <c r="CQ183" i="1"/>
  <c r="DA183" i="1"/>
  <c r="CQ182" i="1"/>
  <c r="DA182" i="1"/>
  <c r="CQ181" i="1"/>
  <c r="DA181" i="1"/>
  <c r="CQ180" i="1"/>
  <c r="DA180" i="1"/>
  <c r="CQ179" i="1"/>
  <c r="DA179" i="1"/>
  <c r="CO178" i="1"/>
  <c r="CQ177" i="1"/>
  <c r="DA177" i="1"/>
  <c r="CO176" i="1"/>
  <c r="CQ175" i="1"/>
  <c r="DA175" i="1"/>
  <c r="CQ173" i="1"/>
  <c r="DA173" i="1"/>
  <c r="CQ172" i="1"/>
  <c r="DA172" i="1"/>
  <c r="CQ171" i="1"/>
  <c r="DA171" i="1"/>
  <c r="CQ170" i="1"/>
  <c r="DA170" i="1"/>
  <c r="CQ169" i="1"/>
  <c r="DA169" i="1"/>
  <c r="CQ168" i="1"/>
  <c r="DA168" i="1"/>
  <c r="CQ167" i="1"/>
  <c r="DA167" i="1"/>
  <c r="CQ166" i="1"/>
  <c r="DA166" i="1"/>
  <c r="CQ165" i="1"/>
  <c r="DA165" i="1"/>
  <c r="CQ164" i="1"/>
  <c r="DA164" i="1"/>
  <c r="CQ163" i="1"/>
  <c r="DA163" i="1"/>
  <c r="CQ162" i="1"/>
  <c r="DA162" i="1"/>
  <c r="CQ159" i="1"/>
  <c r="DA159" i="1"/>
  <c r="CQ158" i="1"/>
  <c r="DA158" i="1"/>
  <c r="CQ157" i="1"/>
  <c r="DA157" i="1"/>
  <c r="CQ156" i="1"/>
  <c r="DA156" i="1"/>
  <c r="CQ155" i="1"/>
  <c r="DA155" i="1"/>
  <c r="CQ154" i="1"/>
  <c r="DA154" i="1"/>
  <c r="CQ153" i="1"/>
  <c r="DA153" i="1"/>
  <c r="CQ152" i="1"/>
  <c r="DA152" i="1"/>
  <c r="CQ150" i="1"/>
  <c r="DA150" i="1"/>
  <c r="CQ149" i="1"/>
  <c r="DA149" i="1"/>
  <c r="CQ148" i="1"/>
  <c r="DA148" i="1"/>
  <c r="CQ146" i="1"/>
  <c r="DA146" i="1"/>
  <c r="CQ147" i="1"/>
  <c r="DA147" i="1"/>
  <c r="CQ145" i="1"/>
  <c r="DA145" i="1"/>
  <c r="CQ142" i="1"/>
  <c r="DA142" i="1"/>
  <c r="CQ144" i="1"/>
  <c r="DA144" i="1"/>
  <c r="CQ143" i="1"/>
  <c r="DA143" i="1"/>
  <c r="CQ141" i="1"/>
  <c r="DA141" i="1"/>
  <c r="CQ140" i="1"/>
  <c r="DA140" i="1"/>
  <c r="CQ139" i="1"/>
  <c r="DA139" i="1"/>
  <c r="CQ138" i="1"/>
  <c r="DA138" i="1"/>
  <c r="CQ137" i="1"/>
  <c r="DA137" i="1"/>
  <c r="CQ136" i="1"/>
  <c r="DA136" i="1"/>
  <c r="CQ135" i="1"/>
  <c r="DA135" i="1"/>
  <c r="CQ134" i="1"/>
  <c r="DA134" i="1"/>
  <c r="CQ133" i="1"/>
  <c r="DA133" i="1"/>
  <c r="CQ131" i="1"/>
  <c r="DA131" i="1"/>
  <c r="CQ130" i="1"/>
  <c r="DA130" i="1"/>
  <c r="CQ129" i="1"/>
  <c r="DA129" i="1"/>
  <c r="CQ126" i="1"/>
  <c r="DA126" i="1"/>
  <c r="CQ128" i="1"/>
  <c r="DA128" i="1"/>
  <c r="CQ127" i="1"/>
  <c r="DA127" i="1"/>
  <c r="CQ123" i="1"/>
  <c r="DA123" i="1"/>
  <c r="CQ124" i="1"/>
  <c r="DA124" i="1"/>
  <c r="CQ122" i="1"/>
  <c r="DA122" i="1"/>
  <c r="CQ117" i="1"/>
  <c r="DA117" i="1"/>
  <c r="CO121" i="1"/>
  <c r="CQ121" i="1"/>
  <c r="DA121" i="1"/>
  <c r="CQ120" i="1"/>
  <c r="DA120" i="1"/>
  <c r="CQ119" i="1"/>
  <c r="DA119" i="1"/>
  <c r="CQ118" i="1"/>
  <c r="DA118" i="1"/>
  <c r="CQ116" i="1"/>
  <c r="DA116" i="1"/>
  <c r="CQ115" i="1"/>
  <c r="DA115" i="1"/>
  <c r="CQ114" i="1"/>
  <c r="DA114" i="1"/>
  <c r="CQ113" i="1"/>
  <c r="DA113" i="1"/>
  <c r="CQ112" i="1"/>
  <c r="DA112" i="1"/>
  <c r="CQ110" i="1"/>
  <c r="DA110" i="1"/>
  <c r="CQ111" i="1"/>
  <c r="DA111" i="1"/>
  <c r="CQ109" i="1"/>
  <c r="DA109" i="1"/>
  <c r="CQ85" i="1"/>
  <c r="DA85" i="1"/>
  <c r="CQ108" i="1"/>
  <c r="DA108" i="1"/>
  <c r="CQ107" i="1"/>
  <c r="DA107" i="1"/>
  <c r="CQ106" i="1"/>
  <c r="DA106" i="1"/>
  <c r="CQ104" i="1"/>
  <c r="DA104" i="1"/>
  <c r="CQ103" i="1"/>
  <c r="DA103" i="1"/>
  <c r="CQ102" i="1"/>
  <c r="DA102" i="1"/>
  <c r="CQ101" i="1"/>
  <c r="DA101" i="1"/>
  <c r="CQ100" i="1"/>
  <c r="DA100" i="1"/>
  <c r="CQ99" i="1"/>
  <c r="DA99" i="1"/>
  <c r="CQ98" i="1"/>
  <c r="DA98" i="1"/>
  <c r="CQ97" i="1"/>
  <c r="DA97" i="1"/>
  <c r="CQ96" i="1"/>
  <c r="DA96" i="1"/>
  <c r="CQ95" i="1"/>
  <c r="DA95" i="1"/>
  <c r="CQ94" i="1"/>
  <c r="DA94" i="1"/>
  <c r="CQ93" i="1"/>
  <c r="DA93" i="1"/>
  <c r="CQ92" i="1"/>
  <c r="DA92" i="1"/>
  <c r="CQ91" i="1"/>
  <c r="DA91" i="1"/>
  <c r="CQ90" i="1"/>
  <c r="DA90" i="1"/>
  <c r="CO89" i="1"/>
  <c r="CQ89" i="1"/>
  <c r="DA89" i="1"/>
  <c r="CQ88" i="1"/>
  <c r="DA88" i="1"/>
  <c r="CQ87" i="1"/>
  <c r="DA87" i="1"/>
  <c r="CQ86" i="1"/>
  <c r="DA86" i="1"/>
  <c r="CQ84" i="1"/>
  <c r="DA84" i="1"/>
  <c r="CQ83" i="1"/>
  <c r="DA83" i="1"/>
  <c r="CQ82" i="1"/>
  <c r="DA82" i="1"/>
  <c r="CQ81" i="1"/>
  <c r="DA81" i="1"/>
  <c r="CQ80" i="1"/>
  <c r="DA80" i="1"/>
  <c r="CQ79" i="1"/>
  <c r="DA79" i="1"/>
  <c r="CQ76" i="1"/>
  <c r="DA76" i="1"/>
  <c r="CQ75" i="1"/>
  <c r="DA75" i="1"/>
  <c r="CQ74" i="1"/>
  <c r="DA74" i="1"/>
  <c r="CQ73" i="1"/>
  <c r="DA73" i="1"/>
  <c r="CO71" i="1"/>
  <c r="CQ71" i="1"/>
  <c r="DA71" i="1"/>
  <c r="CQ70" i="1"/>
  <c r="DA70" i="1"/>
  <c r="CQ69" i="1"/>
  <c r="DA69" i="1"/>
  <c r="CQ68" i="1"/>
  <c r="DA68" i="1"/>
  <c r="CQ67" i="1"/>
  <c r="DA67" i="1"/>
  <c r="CQ66" i="1"/>
  <c r="DA66" i="1"/>
  <c r="CQ65" i="1"/>
  <c r="DA65" i="1"/>
  <c r="CQ63" i="1"/>
  <c r="DA63" i="1"/>
  <c r="CQ60" i="1"/>
  <c r="DA60" i="1"/>
  <c r="CQ61" i="1"/>
  <c r="DA61" i="1"/>
  <c r="CQ59" i="1"/>
  <c r="DA59" i="1"/>
  <c r="CQ58" i="1"/>
  <c r="DA58" i="1"/>
  <c r="CQ57" i="1"/>
  <c r="DA57" i="1"/>
  <c r="CQ55" i="1"/>
  <c r="DA55" i="1"/>
  <c r="CQ23" i="1"/>
  <c r="DA23" i="1"/>
  <c r="CQ53" i="1"/>
  <c r="DA53" i="1"/>
  <c r="CQ51" i="1"/>
  <c r="DA51" i="1"/>
  <c r="CQ50" i="1"/>
  <c r="DA50" i="1"/>
  <c r="CQ49" i="1"/>
  <c r="DA49" i="1"/>
  <c r="CQ48" i="1"/>
  <c r="DA48" i="1"/>
  <c r="CQ14" i="1"/>
  <c r="DA14" i="1"/>
  <c r="CQ47" i="1"/>
  <c r="DA47" i="1"/>
  <c r="CQ46" i="1"/>
  <c r="DA46" i="1"/>
  <c r="CQ44" i="1"/>
  <c r="DA44" i="1"/>
  <c r="CQ43" i="1"/>
  <c r="DA43" i="1"/>
  <c r="CQ45" i="1"/>
  <c r="DA45" i="1"/>
  <c r="CQ41" i="1"/>
  <c r="DA41" i="1"/>
  <c r="CQ40" i="1"/>
  <c r="DA40" i="1"/>
  <c r="CQ42" i="1"/>
  <c r="DA42" i="1"/>
  <c r="CQ39" i="1"/>
  <c r="DA39" i="1"/>
  <c r="CQ37" i="1"/>
  <c r="DA37" i="1"/>
  <c r="CQ38" i="1"/>
  <c r="DA38" i="1"/>
  <c r="CQ36" i="1"/>
  <c r="DA36" i="1"/>
  <c r="CQ56" i="1"/>
  <c r="DA56" i="1"/>
  <c r="CQ34" i="1"/>
  <c r="DA34" i="1"/>
  <c r="CQ33" i="1"/>
  <c r="DA33" i="1"/>
  <c r="CQ30" i="1"/>
  <c r="DA30" i="1"/>
  <c r="CQ32" i="1"/>
  <c r="DA32" i="1"/>
  <c r="CQ31" i="1"/>
  <c r="DA31" i="1"/>
  <c r="CQ28" i="1"/>
  <c r="DA28" i="1"/>
  <c r="CQ27" i="1"/>
  <c r="DA27" i="1"/>
  <c r="CQ26" i="1"/>
  <c r="DA26" i="1"/>
  <c r="CQ25" i="1"/>
  <c r="DA25" i="1"/>
  <c r="CQ24" i="1"/>
  <c r="DA24" i="1"/>
  <c r="CQ21" i="1"/>
  <c r="DA21" i="1"/>
  <c r="CQ20" i="1"/>
  <c r="DA20" i="1"/>
  <c r="CQ19" i="1"/>
  <c r="DA19" i="1"/>
  <c r="CQ18" i="1"/>
  <c r="DA18" i="1"/>
  <c r="CQ17" i="1"/>
  <c r="DA17" i="1"/>
  <c r="CQ15" i="1"/>
  <c r="DA15" i="1"/>
  <c r="CO13" i="1"/>
  <c r="CQ13" i="1"/>
  <c r="DA13" i="1"/>
  <c r="CQ151" i="1"/>
  <c r="DA151" i="1"/>
  <c r="CQ12" i="1"/>
  <c r="DA12" i="1"/>
  <c r="CQ11" i="1"/>
  <c r="DA11" i="1"/>
  <c r="CQ10" i="1"/>
  <c r="DA10" i="1"/>
  <c r="CQ9" i="1"/>
  <c r="DA9" i="1"/>
  <c r="CQ8" i="1"/>
  <c r="DA8" i="1"/>
  <c r="CQ7" i="1"/>
  <c r="DA7" i="1"/>
  <c r="CQ6" i="1"/>
  <c r="DA6" i="1"/>
  <c r="CQ5" i="1"/>
  <c r="DA5" i="1"/>
  <c r="CQ4" i="1"/>
  <c r="DA4" i="1"/>
  <c r="CQ3" i="1"/>
  <c r="DA3" i="1"/>
  <c r="CQ287" i="1"/>
  <c r="DA203" i="1"/>
  <c r="CR29" i="1"/>
  <c r="CC73" i="1"/>
  <c r="DN123" i="1"/>
  <c r="CK23" i="1"/>
  <c r="CR23" i="1"/>
  <c r="CL23" i="1"/>
  <c r="DP28" i="1" a="1"/>
  <c r="DP28" i="1" s="1"/>
  <c r="DZ97" i="1" a="1"/>
  <c r="DZ97" i="1" s="1"/>
  <c r="DZ28" i="1" a="1"/>
  <c r="DZ28" i="1" s="1"/>
  <c r="DY97" i="1" a="1"/>
  <c r="DY97" i="1" s="1"/>
  <c r="DY28" i="1" a="1"/>
  <c r="DY28" i="1" s="1"/>
  <c r="DX97" i="1" a="1"/>
  <c r="DX97" i="1" s="1"/>
  <c r="DX28" i="1" a="1"/>
  <c r="DX28" i="1" s="1"/>
  <c r="DW97" i="1" a="1"/>
  <c r="DW97" i="1" s="1"/>
  <c r="DW28" i="1" a="1"/>
  <c r="DW28" i="1" s="1"/>
  <c r="DV28" i="1" a="1"/>
  <c r="DV28" i="1" s="1"/>
  <c r="DT28" i="1" a="1"/>
  <c r="DT28" i="1" s="1"/>
  <c r="DS28" i="1" a="1"/>
  <c r="DS28" i="1" s="1"/>
  <c r="DR28" i="1" a="1"/>
  <c r="DR28" i="1" s="1"/>
  <c r="DQ28" i="1" a="1"/>
  <c r="DQ28" i="1" s="1"/>
  <c r="DO28" i="1" a="1"/>
  <c r="DO28" i="1" s="1"/>
  <c r="DO287" i="1"/>
  <c r="DO289" i="1" s="1"/>
  <c r="DO290" i="1" s="1"/>
  <c r="DN49" i="1"/>
  <c r="DN50" i="1"/>
  <c r="DN26" i="1"/>
  <c r="DT287" i="1"/>
  <c r="DT289" i="1" s="1"/>
  <c r="DR287" i="1"/>
  <c r="DR289" i="1" s="1"/>
  <c r="DV287" i="1"/>
  <c r="DV289" i="1" s="1"/>
  <c r="DW287" i="1"/>
  <c r="DW289" i="1" s="1"/>
  <c r="DP287" i="1"/>
  <c r="DP289" i="1" s="1"/>
  <c r="DU287" i="1"/>
  <c r="DX287" i="1"/>
  <c r="DX289" i="1" s="1"/>
  <c r="DQ287" i="1"/>
  <c r="DQ289" i="1" s="1"/>
  <c r="DY287" i="1"/>
  <c r="DY289" i="1" s="1"/>
  <c r="DS287" i="1"/>
  <c r="DS289" i="1" s="1"/>
  <c r="DN280" i="1"/>
  <c r="CK267" i="1"/>
  <c r="CR267" i="1"/>
  <c r="CI11" i="1"/>
  <c r="CK86" i="1"/>
  <c r="CR86" i="1"/>
  <c r="CL86" i="1"/>
  <c r="CK134" i="1"/>
  <c r="CR134" i="1"/>
  <c r="CK73" i="1"/>
  <c r="CR73" i="1"/>
  <c r="CL73" i="1"/>
  <c r="CL134" i="1"/>
  <c r="DN186" i="1"/>
  <c r="CK190" i="1"/>
  <c r="DC190" i="1"/>
  <c r="DN190" i="1"/>
  <c r="DN191" i="1"/>
  <c r="DN192" i="1"/>
  <c r="DN189" i="1"/>
  <c r="DN183" i="1"/>
  <c r="DN169" i="1"/>
  <c r="DN170" i="1"/>
  <c r="DN171" i="1"/>
  <c r="DN172" i="1"/>
  <c r="DN174" i="1"/>
  <c r="DN175" i="1"/>
  <c r="DN176" i="1"/>
  <c r="DN177" i="1"/>
  <c r="DN178" i="1"/>
  <c r="DN179" i="1"/>
  <c r="DN180" i="1"/>
  <c r="DN181" i="1"/>
  <c r="DN188" i="1"/>
  <c r="DN193" i="1"/>
  <c r="DN167" i="1"/>
  <c r="DN168" i="1"/>
  <c r="DN163" i="1"/>
  <c r="DN164" i="1"/>
  <c r="DN165" i="1"/>
  <c r="DN166" i="1"/>
  <c r="DN196" i="1"/>
  <c r="DN195" i="1"/>
  <c r="DN194" i="1"/>
  <c r="CL190" i="1"/>
  <c r="CR190" i="1"/>
  <c r="CC184" i="1"/>
  <c r="CI90" i="1"/>
  <c r="CI68" i="1"/>
  <c r="CK101" i="1"/>
  <c r="CR101" i="1"/>
  <c r="CC280" i="1"/>
  <c r="CK280" i="1"/>
  <c r="CR280" i="1"/>
  <c r="CL280" i="1"/>
  <c r="CD218" i="1"/>
  <c r="BW46" i="1"/>
  <c r="BW47" i="1"/>
  <c r="BW45" i="1"/>
  <c r="BW39" i="1"/>
  <c r="BW42" i="1"/>
  <c r="BW56" i="1"/>
  <c r="BW36" i="1"/>
  <c r="BW38" i="1"/>
  <c r="BW60" i="1"/>
  <c r="CM16" i="1"/>
  <c r="CK12" i="1"/>
  <c r="CR12" i="1"/>
  <c r="AB287" i="1"/>
  <c r="AB291" i="1"/>
  <c r="CC186" i="1"/>
  <c r="CK186" i="1"/>
  <c r="DC186" i="1"/>
  <c r="CR186" i="1"/>
  <c r="CL186" i="1"/>
  <c r="CC6" i="1"/>
  <c r="CK133" i="1"/>
  <c r="CR133" i="1"/>
  <c r="CK6" i="1"/>
  <c r="CR6" i="1"/>
  <c r="DN235" i="1"/>
  <c r="DN236" i="1"/>
  <c r="DN200" i="1"/>
  <c r="DN201" i="1"/>
  <c r="DN202" i="1"/>
  <c r="DN204" i="1"/>
  <c r="DN182" i="1"/>
  <c r="DN206" i="1"/>
  <c r="DN198" i="1"/>
  <c r="DN187" i="1"/>
  <c r="DN203" i="1"/>
  <c r="DN293" i="1"/>
  <c r="DN210" i="1"/>
  <c r="DN211" i="1"/>
  <c r="DN209" i="1"/>
  <c r="DN213" i="1"/>
  <c r="DN216" i="1"/>
  <c r="DN239" i="1"/>
  <c r="DN214" i="1"/>
  <c r="DN215" i="1"/>
  <c r="DN294" i="1"/>
  <c r="DN217" i="1"/>
  <c r="DN220" i="1"/>
  <c r="DN219" i="1"/>
  <c r="DN222" i="1"/>
  <c r="DN185" i="1"/>
  <c r="DN223" i="1"/>
  <c r="DN224" i="1"/>
  <c r="DN225" i="1"/>
  <c r="DN226" i="1"/>
  <c r="DN227" i="1"/>
  <c r="DN228" i="1"/>
  <c r="DN229" i="1"/>
  <c r="DN230" i="1"/>
  <c r="DN231" i="1"/>
  <c r="DN232" i="1"/>
  <c r="DN233" i="1"/>
  <c r="DN184" i="1"/>
  <c r="DN234" i="1"/>
  <c r="DN237" i="1"/>
  <c r="DN246" i="1"/>
  <c r="DN247" i="1"/>
  <c r="DN248" i="1"/>
  <c r="DN251" i="1"/>
  <c r="DN255" i="1"/>
  <c r="DN256" i="1"/>
  <c r="DN257" i="1"/>
  <c r="DN253" i="1"/>
  <c r="DN254" i="1"/>
  <c r="DN258" i="1"/>
  <c r="DN259" i="1"/>
  <c r="DN260" i="1"/>
  <c r="DN261" i="1"/>
  <c r="DN262" i="1"/>
  <c r="DN263" i="1"/>
  <c r="DN264" i="1"/>
  <c r="DN265" i="1"/>
  <c r="DN266" i="1"/>
  <c r="DN267" i="1"/>
  <c r="DN268" i="1"/>
  <c r="DN269" i="1"/>
  <c r="DN270" i="1"/>
  <c r="DN271" i="1"/>
  <c r="DN272" i="1"/>
  <c r="DN273" i="1"/>
  <c r="DN274" i="1"/>
  <c r="DN275" i="1"/>
  <c r="DN276" i="1"/>
  <c r="DN277" i="1"/>
  <c r="DN278" i="1"/>
  <c r="DN279" i="1"/>
  <c r="DN281" i="1"/>
  <c r="DN282" i="1"/>
  <c r="DN283" i="1"/>
  <c r="DN285" i="1"/>
  <c r="DN284" i="1"/>
  <c r="DN95" i="1"/>
  <c r="DN96" i="1"/>
  <c r="DN100" i="1"/>
  <c r="DN102" i="1"/>
  <c r="DN107" i="1"/>
  <c r="DN111" i="1"/>
  <c r="DN118" i="1"/>
  <c r="DN120" i="1"/>
  <c r="DN121" i="1"/>
  <c r="DN124" i="1"/>
  <c r="DN127" i="1"/>
  <c r="DN128" i="1"/>
  <c r="DN143" i="1"/>
  <c r="DN144" i="1"/>
  <c r="DN147" i="1"/>
  <c r="DN152" i="1"/>
  <c r="DN153" i="1"/>
  <c r="DN154" i="1"/>
  <c r="DN155" i="1"/>
  <c r="DN156" i="1"/>
  <c r="DN157" i="1"/>
  <c r="DN158" i="1"/>
  <c r="DN159" i="1"/>
  <c r="DN160" i="1"/>
  <c r="DN161" i="1"/>
  <c r="DN162" i="1"/>
  <c r="DN199" i="1"/>
  <c r="DN3" i="1"/>
  <c r="DU289" i="1"/>
  <c r="DN287" i="1"/>
  <c r="CL133" i="1"/>
  <c r="CL6" i="1"/>
  <c r="CK283" i="1"/>
  <c r="CK284" i="1"/>
  <c r="CR284" i="1"/>
  <c r="CK285" i="1"/>
  <c r="CR285" i="1"/>
  <c r="CK282" i="1"/>
  <c r="CK281" i="1"/>
  <c r="CR281" i="1"/>
  <c r="CK278" i="1"/>
  <c r="CR278" i="1"/>
  <c r="CK279" i="1"/>
  <c r="CR279" i="1"/>
  <c r="CK277" i="1"/>
  <c r="CK276" i="1"/>
  <c r="CK275" i="1"/>
  <c r="CR275" i="1"/>
  <c r="CK274" i="1"/>
  <c r="CR274" i="1"/>
  <c r="CK273" i="1"/>
  <c r="CK272" i="1"/>
  <c r="CR272" i="1"/>
  <c r="CK271" i="1"/>
  <c r="CK270" i="1"/>
  <c r="CK269" i="1"/>
  <c r="CR269" i="1"/>
  <c r="CK268" i="1"/>
  <c r="T267" i="1"/>
  <c r="CI266" i="1"/>
  <c r="CK266" i="1"/>
  <c r="CR266" i="1"/>
  <c r="CK265" i="1"/>
  <c r="CK264" i="1"/>
  <c r="CR264" i="1"/>
  <c r="CK263" i="1"/>
  <c r="CR263" i="1"/>
  <c r="CK262" i="1"/>
  <c r="CR262" i="1"/>
  <c r="CK261" i="1"/>
  <c r="CR261" i="1"/>
  <c r="CK260" i="1"/>
  <c r="CR260" i="1"/>
  <c r="CK259" i="1"/>
  <c r="CR259" i="1"/>
  <c r="CK258" i="1"/>
  <c r="CR258" i="1"/>
  <c r="CK254" i="1"/>
  <c r="CR254" i="1"/>
  <c r="CK253" i="1"/>
  <c r="CK257" i="1"/>
  <c r="CR257" i="1"/>
  <c r="CK256" i="1"/>
  <c r="CR256" i="1"/>
  <c r="CK255" i="1"/>
  <c r="CK251" i="1"/>
  <c r="CR251" i="1"/>
  <c r="CK248" i="1"/>
  <c r="CR248" i="1"/>
  <c r="CK247" i="1"/>
  <c r="CR247" i="1"/>
  <c r="CK246" i="1"/>
  <c r="CR246" i="1"/>
  <c r="CK245" i="1"/>
  <c r="DC245" i="1"/>
  <c r="CK244" i="1"/>
  <c r="DC244" i="1"/>
  <c r="CK243" i="1"/>
  <c r="DC243" i="1"/>
  <c r="CK242" i="1"/>
  <c r="DC242" i="1"/>
  <c r="CK241" i="1"/>
  <c r="DC241" i="1"/>
  <c r="CK240" i="1"/>
  <c r="DC240" i="1"/>
  <c r="CK237" i="1"/>
  <c r="DC237" i="1"/>
  <c r="CK234" i="1"/>
  <c r="DC234" i="1"/>
  <c r="CK184" i="1"/>
  <c r="DC184" i="1"/>
  <c r="CK233" i="1"/>
  <c r="DC233" i="1"/>
  <c r="CK232" i="1"/>
  <c r="DC232" i="1"/>
  <c r="CK231" i="1"/>
  <c r="DC231" i="1"/>
  <c r="CK230" i="1"/>
  <c r="DC230" i="1"/>
  <c r="CK229" i="1"/>
  <c r="CR229" i="1"/>
  <c r="CK228" i="1"/>
  <c r="DC228" i="1"/>
  <c r="CK227" i="1"/>
  <c r="DC227" i="1"/>
  <c r="CK226" i="1"/>
  <c r="CR226" i="1"/>
  <c r="CK225" i="1"/>
  <c r="DC225" i="1"/>
  <c r="CK224" i="1"/>
  <c r="CR224" i="1"/>
  <c r="CK223" i="1"/>
  <c r="DC223" i="1"/>
  <c r="CK185" i="1"/>
  <c r="DC185" i="1"/>
  <c r="CK222" i="1"/>
  <c r="DC222" i="1"/>
  <c r="CK219" i="1"/>
  <c r="CR219" i="1"/>
  <c r="CK220" i="1"/>
  <c r="DC220" i="1"/>
  <c r="CK217" i="1"/>
  <c r="CR217" i="1"/>
  <c r="CK218" i="1"/>
  <c r="DC218" i="1"/>
  <c r="CK215" i="1"/>
  <c r="CR215" i="1"/>
  <c r="CK214" i="1"/>
  <c r="CR214" i="1"/>
  <c r="CK239" i="1"/>
  <c r="DC239" i="1"/>
  <c r="CK216" i="1"/>
  <c r="DC216" i="1"/>
  <c r="CK213" i="1"/>
  <c r="DC213" i="1"/>
  <c r="CK209" i="1"/>
  <c r="CR209" i="1"/>
  <c r="CK211" i="1"/>
  <c r="DC211" i="1"/>
  <c r="CK183" i="1"/>
  <c r="DC183" i="1"/>
  <c r="CK210" i="1"/>
  <c r="DC210" i="1"/>
  <c r="CK208" i="1"/>
  <c r="DC208" i="1"/>
  <c r="CK203" i="1"/>
  <c r="CK187" i="1"/>
  <c r="DC187" i="1"/>
  <c r="CK198" i="1"/>
  <c r="DC198" i="1"/>
  <c r="CK206" i="1"/>
  <c r="DC206" i="1"/>
  <c r="CK182" i="1"/>
  <c r="DC182" i="1"/>
  <c r="CK204" i="1"/>
  <c r="DC204" i="1"/>
  <c r="CK202" i="1"/>
  <c r="DC202" i="1"/>
  <c r="CK201" i="1"/>
  <c r="DC201" i="1"/>
  <c r="CK200" i="1"/>
  <c r="DC200" i="1"/>
  <c r="CK236" i="1"/>
  <c r="DC236" i="1"/>
  <c r="CK235" i="1"/>
  <c r="DC235" i="1"/>
  <c r="CK196" i="1"/>
  <c r="CK195" i="1"/>
  <c r="CK194" i="1"/>
  <c r="DC194" i="1"/>
  <c r="CK193" i="1"/>
  <c r="DC193" i="1"/>
  <c r="CK199" i="1"/>
  <c r="DC199" i="1"/>
  <c r="CK192" i="1"/>
  <c r="DC192" i="1"/>
  <c r="CK191" i="1"/>
  <c r="DC191" i="1"/>
  <c r="CK189" i="1"/>
  <c r="DC189" i="1"/>
  <c r="CK188" i="1"/>
  <c r="DC188" i="1"/>
  <c r="CK181" i="1"/>
  <c r="DC181" i="1"/>
  <c r="CK180" i="1"/>
  <c r="DC180" i="1"/>
  <c r="CK179" i="1"/>
  <c r="DC179" i="1"/>
  <c r="CI178" i="1"/>
  <c r="CK178" i="1"/>
  <c r="DC178" i="1"/>
  <c r="CK177" i="1"/>
  <c r="DC177" i="1"/>
  <c r="CI176" i="1"/>
  <c r="CK176" i="1"/>
  <c r="DC176" i="1"/>
  <c r="CK175" i="1"/>
  <c r="DC175" i="1"/>
  <c r="CK174" i="1"/>
  <c r="DC174" i="1"/>
  <c r="CK173" i="1"/>
  <c r="DC173" i="1"/>
  <c r="CK172" i="1"/>
  <c r="DC172" i="1"/>
  <c r="CK171" i="1"/>
  <c r="DC171" i="1"/>
  <c r="CK170" i="1"/>
  <c r="DC170" i="1"/>
  <c r="CK169" i="1"/>
  <c r="DC169" i="1"/>
  <c r="CK168" i="1"/>
  <c r="DC168" i="1"/>
  <c r="CK167" i="1"/>
  <c r="CR167" i="1"/>
  <c r="CK166" i="1"/>
  <c r="DC166" i="1"/>
  <c r="CK165" i="1"/>
  <c r="DC165" i="1"/>
  <c r="CK164" i="1"/>
  <c r="DC164" i="1"/>
  <c r="CK163" i="1"/>
  <c r="DC163" i="1"/>
  <c r="CK162" i="1"/>
  <c r="CR162" i="1"/>
  <c r="CK161" i="1"/>
  <c r="DC161" i="1"/>
  <c r="CK160" i="1"/>
  <c r="DC160" i="1"/>
  <c r="CK159" i="1"/>
  <c r="DC159" i="1"/>
  <c r="CK158" i="1"/>
  <c r="DC158" i="1"/>
  <c r="CK157" i="1"/>
  <c r="DC157" i="1"/>
  <c r="CK156" i="1"/>
  <c r="DC156" i="1"/>
  <c r="CK155" i="1"/>
  <c r="DC155" i="1"/>
  <c r="CK30" i="1"/>
  <c r="CR30" i="1"/>
  <c r="CK49" i="1"/>
  <c r="CR49" i="1"/>
  <c r="CK38" i="1"/>
  <c r="CR38" i="1"/>
  <c r="CK36" i="1"/>
  <c r="CR36" i="1"/>
  <c r="CK56" i="1"/>
  <c r="CR56" i="1"/>
  <c r="CK34" i="1"/>
  <c r="CR34" i="1"/>
  <c r="CK33" i="1"/>
  <c r="CR33" i="1"/>
  <c r="CK8" i="1"/>
  <c r="CR8" i="1"/>
  <c r="CK4" i="1"/>
  <c r="CR4" i="1"/>
  <c r="CK154" i="1"/>
  <c r="CR154" i="1"/>
  <c r="CK153" i="1"/>
  <c r="CR153" i="1"/>
  <c r="CK152" i="1"/>
  <c r="CR152" i="1"/>
  <c r="CK150" i="1"/>
  <c r="CR150" i="1"/>
  <c r="CK149" i="1"/>
  <c r="CR149" i="1"/>
  <c r="CK148" i="1"/>
  <c r="CR148" i="1"/>
  <c r="CK146" i="1"/>
  <c r="CR146" i="1"/>
  <c r="CK147" i="1"/>
  <c r="CR147" i="1"/>
  <c r="CK145" i="1"/>
  <c r="CR145" i="1"/>
  <c r="CK142" i="1"/>
  <c r="CR142" i="1"/>
  <c r="CK143" i="1"/>
  <c r="CR143" i="1"/>
  <c r="CK144" i="1"/>
  <c r="CR144" i="1"/>
  <c r="CK141" i="1"/>
  <c r="CR141" i="1"/>
  <c r="CK140" i="1"/>
  <c r="CR140" i="1"/>
  <c r="CK139" i="1"/>
  <c r="CR139" i="1"/>
  <c r="CK137" i="1"/>
  <c r="CR137" i="1"/>
  <c r="CK136" i="1"/>
  <c r="CR136" i="1"/>
  <c r="CK135" i="1"/>
  <c r="CR135" i="1"/>
  <c r="CK138" i="1"/>
  <c r="CR138" i="1"/>
  <c r="CK131" i="1"/>
  <c r="CR131" i="1"/>
  <c r="CK130" i="1"/>
  <c r="CR130" i="1"/>
  <c r="CK129" i="1"/>
  <c r="CR129" i="1"/>
  <c r="CK126" i="1"/>
  <c r="CR126" i="1"/>
  <c r="CK128" i="1"/>
  <c r="CR128" i="1"/>
  <c r="CK127" i="1"/>
  <c r="CR127" i="1"/>
  <c r="CK123" i="1"/>
  <c r="CR123" i="1"/>
  <c r="CK124" i="1"/>
  <c r="CR124" i="1"/>
  <c r="CK122" i="1"/>
  <c r="CR122" i="1"/>
  <c r="CK117" i="1"/>
  <c r="CR117" i="1"/>
  <c r="CI121" i="1"/>
  <c r="CK121" i="1"/>
  <c r="CR121" i="1"/>
  <c r="CK120" i="1"/>
  <c r="CR120" i="1"/>
  <c r="CK119" i="1"/>
  <c r="CR119" i="1"/>
  <c r="CK118" i="1"/>
  <c r="CR118" i="1"/>
  <c r="CK84" i="1"/>
  <c r="CR84" i="1"/>
  <c r="CK116" i="1"/>
  <c r="CR116" i="1"/>
  <c r="CK115" i="1"/>
  <c r="CR115" i="1"/>
  <c r="CK114" i="1"/>
  <c r="CR114" i="1"/>
  <c r="CK113" i="1"/>
  <c r="CR113" i="1"/>
  <c r="CK112" i="1"/>
  <c r="CR112" i="1"/>
  <c r="CK111" i="1"/>
  <c r="CR111" i="1"/>
  <c r="CK110" i="1"/>
  <c r="CR110" i="1"/>
  <c r="CK109" i="1"/>
  <c r="CR109" i="1"/>
  <c r="CK85" i="1"/>
  <c r="CR85" i="1"/>
  <c r="CK107" i="1"/>
  <c r="CR107" i="1"/>
  <c r="CK108" i="1"/>
  <c r="CR108" i="1"/>
  <c r="CK106" i="1"/>
  <c r="CR106" i="1"/>
  <c r="CK104" i="1"/>
  <c r="CR104" i="1"/>
  <c r="CK102" i="1"/>
  <c r="CR102" i="1"/>
  <c r="CK103" i="1"/>
  <c r="CR103" i="1"/>
  <c r="CK100" i="1"/>
  <c r="CR100" i="1"/>
  <c r="CK99" i="1"/>
  <c r="CR99" i="1"/>
  <c r="CK98" i="1"/>
  <c r="CR98" i="1"/>
  <c r="CK96" i="1"/>
  <c r="CR96" i="1"/>
  <c r="CK95" i="1"/>
  <c r="CR95" i="1"/>
  <c r="CK97" i="1"/>
  <c r="CR97" i="1"/>
  <c r="CK94" i="1"/>
  <c r="CR94" i="1"/>
  <c r="CK93" i="1"/>
  <c r="CR93" i="1"/>
  <c r="CK92" i="1"/>
  <c r="CR92" i="1"/>
  <c r="CK91" i="1"/>
  <c r="CR91" i="1"/>
  <c r="CK90" i="1"/>
  <c r="CR90" i="1"/>
  <c r="CI89" i="1"/>
  <c r="CK89" i="1"/>
  <c r="CR89" i="1"/>
  <c r="CK88" i="1"/>
  <c r="CR88" i="1"/>
  <c r="CK87" i="1"/>
  <c r="CR87" i="1"/>
  <c r="CK83" i="1"/>
  <c r="CR83" i="1"/>
  <c r="CK82" i="1"/>
  <c r="CR82" i="1"/>
  <c r="CK81" i="1"/>
  <c r="CR81" i="1"/>
  <c r="CK80" i="1"/>
  <c r="CR80" i="1"/>
  <c r="CK79" i="1"/>
  <c r="CR79" i="1"/>
  <c r="CK76" i="1"/>
  <c r="CR76" i="1"/>
  <c r="CK75" i="1"/>
  <c r="CR75" i="1"/>
  <c r="CK74" i="1"/>
  <c r="CR74" i="1"/>
  <c r="CI71" i="1"/>
  <c r="CK71" i="1"/>
  <c r="CR71" i="1"/>
  <c r="CK70" i="1"/>
  <c r="CR70" i="1"/>
  <c r="CK69" i="1"/>
  <c r="CR69" i="1"/>
  <c r="CK68" i="1"/>
  <c r="CR68" i="1"/>
  <c r="CK67" i="1"/>
  <c r="CR67" i="1"/>
  <c r="CK66" i="1"/>
  <c r="CR66" i="1"/>
  <c r="CK65" i="1"/>
  <c r="CR65" i="1"/>
  <c r="CK63" i="1"/>
  <c r="CR63" i="1"/>
  <c r="CK60" i="1"/>
  <c r="CR60" i="1"/>
  <c r="CK61" i="1"/>
  <c r="CR61" i="1"/>
  <c r="CK59" i="1"/>
  <c r="CR59" i="1"/>
  <c r="CK58" i="1"/>
  <c r="CR58" i="1"/>
  <c r="CK57" i="1"/>
  <c r="CR57" i="1"/>
  <c r="CK55" i="1"/>
  <c r="CR55" i="1"/>
  <c r="CK53" i="1"/>
  <c r="CR53" i="1"/>
  <c r="CK51" i="1"/>
  <c r="CR51" i="1"/>
  <c r="CK50" i="1"/>
  <c r="CR50" i="1"/>
  <c r="CK48" i="1"/>
  <c r="CR48" i="1"/>
  <c r="CK14" i="1"/>
  <c r="CR14" i="1"/>
  <c r="CK47" i="1"/>
  <c r="CR47" i="1"/>
  <c r="CK46" i="1"/>
  <c r="CR46" i="1"/>
  <c r="CK44" i="1"/>
  <c r="CR44" i="1"/>
  <c r="CK43" i="1"/>
  <c r="CR43" i="1"/>
  <c r="CK45" i="1"/>
  <c r="CR45" i="1"/>
  <c r="CK41" i="1"/>
  <c r="CR41" i="1"/>
  <c r="CK40" i="1"/>
  <c r="CR40" i="1"/>
  <c r="CK42" i="1"/>
  <c r="CR42" i="1"/>
  <c r="CK39" i="1"/>
  <c r="CR39" i="1"/>
  <c r="CK37" i="1"/>
  <c r="CR37" i="1"/>
  <c r="CK32" i="1"/>
  <c r="CR32" i="1"/>
  <c r="CK31" i="1"/>
  <c r="CR31" i="1"/>
  <c r="CK28" i="1"/>
  <c r="CR28" i="1"/>
  <c r="CK27" i="1"/>
  <c r="CR27" i="1"/>
  <c r="CK26" i="1"/>
  <c r="CR26" i="1"/>
  <c r="CK25" i="1"/>
  <c r="CR25" i="1"/>
  <c r="CK24" i="1"/>
  <c r="CR24" i="1"/>
  <c r="CK22" i="1"/>
  <c r="CR22" i="1"/>
  <c r="CK21" i="1"/>
  <c r="CR21" i="1"/>
  <c r="CK20" i="1"/>
  <c r="CR20" i="1"/>
  <c r="CK19" i="1"/>
  <c r="CR19" i="1"/>
  <c r="CK18" i="1"/>
  <c r="CR18" i="1"/>
  <c r="CK17" i="1"/>
  <c r="CR17" i="1"/>
  <c r="CK16" i="1"/>
  <c r="CR16" i="1"/>
  <c r="CK15" i="1"/>
  <c r="CR15" i="1"/>
  <c r="CI13" i="1"/>
  <c r="CK13" i="1"/>
  <c r="CK151" i="1"/>
  <c r="CR151" i="1"/>
  <c r="CK11" i="1"/>
  <c r="CR11" i="1"/>
  <c r="CK10" i="1"/>
  <c r="CR10" i="1"/>
  <c r="CK9" i="1"/>
  <c r="CR9" i="1"/>
  <c r="CK7" i="1"/>
  <c r="CR7" i="1"/>
  <c r="CK5" i="1"/>
  <c r="CR5" i="1"/>
  <c r="CK3" i="1"/>
  <c r="S196" i="1"/>
  <c r="DC196" i="1"/>
  <c r="S195" i="1"/>
  <c r="DC195" i="1"/>
  <c r="CR13" i="1"/>
  <c r="CK287" i="1"/>
  <c r="CR3" i="1"/>
  <c r="CR203" i="1"/>
  <c r="CR159" i="1"/>
  <c r="CR175" i="1"/>
  <c r="CR189" i="1"/>
  <c r="CR235" i="1"/>
  <c r="CR228" i="1"/>
  <c r="CR191" i="1"/>
  <c r="CR222" i="1"/>
  <c r="CR169" i="1"/>
  <c r="CR177" i="1"/>
  <c r="CR192" i="1"/>
  <c r="CR200" i="1"/>
  <c r="CR239" i="1"/>
  <c r="CR230" i="1"/>
  <c r="CR241" i="1"/>
  <c r="CR236" i="1"/>
  <c r="CR170" i="1"/>
  <c r="CR178" i="1"/>
  <c r="CR199" i="1"/>
  <c r="CR201" i="1"/>
  <c r="CR208" i="1"/>
  <c r="CR223" i="1"/>
  <c r="CR242" i="1"/>
  <c r="CR187" i="1"/>
  <c r="CR240" i="1"/>
  <c r="CR155" i="1"/>
  <c r="CR171" i="1"/>
  <c r="CR179" i="1"/>
  <c r="CR193" i="1"/>
  <c r="CR202" i="1"/>
  <c r="CR210" i="1"/>
  <c r="CR232" i="1"/>
  <c r="CR243" i="1"/>
  <c r="CR176" i="1"/>
  <c r="CR164" i="1"/>
  <c r="CR172" i="1"/>
  <c r="CR180" i="1"/>
  <c r="CR194" i="1"/>
  <c r="CR204" i="1"/>
  <c r="CR218" i="1"/>
  <c r="CR225" i="1"/>
  <c r="CR233" i="1"/>
  <c r="CR160" i="1"/>
  <c r="CR216" i="1"/>
  <c r="CR157" i="1"/>
  <c r="CR181" i="1"/>
  <c r="CR195" i="1"/>
  <c r="CR182" i="1"/>
  <c r="CR211" i="1"/>
  <c r="CR168" i="1"/>
  <c r="CR158" i="1"/>
  <c r="CR166" i="1"/>
  <c r="CR174" i="1"/>
  <c r="CR188" i="1"/>
  <c r="CR196" i="1"/>
  <c r="CR206" i="1"/>
  <c r="CR220" i="1"/>
  <c r="CR227" i="1"/>
  <c r="CR234" i="1"/>
  <c r="CR198" i="1"/>
  <c r="CR213" i="1"/>
  <c r="CR237" i="1"/>
  <c r="CR231" i="1"/>
  <c r="CR163" i="1"/>
  <c r="CR185" i="1"/>
  <c r="CR156" i="1"/>
  <c r="CR244" i="1"/>
  <c r="CR165" i="1"/>
  <c r="CR173" i="1"/>
  <c r="CR245" i="1"/>
  <c r="CR161" i="1"/>
  <c r="CR253" i="1"/>
  <c r="Q268" i="1"/>
  <c r="CR268" i="1"/>
  <c r="R276" i="1"/>
  <c r="CR276" i="1"/>
  <c r="W283" i="1"/>
  <c r="CR283" i="1"/>
  <c r="V255" i="1"/>
  <c r="CR255" i="1"/>
  <c r="Q269" i="1"/>
  <c r="T277" i="1"/>
  <c r="CR277" i="1"/>
  <c r="Q270" i="1"/>
  <c r="CR270" i="1"/>
  <c r="CR183" i="1"/>
  <c r="Q271" i="1"/>
  <c r="CR271" i="1"/>
  <c r="CL184" i="1"/>
  <c r="CR184" i="1"/>
  <c r="Q265" i="1"/>
  <c r="CR265" i="1"/>
  <c r="V273" i="1"/>
  <c r="CR273" i="1"/>
  <c r="W282" i="1"/>
  <c r="CR282" i="1"/>
  <c r="V151" i="1"/>
  <c r="V141" i="1"/>
  <c r="V139" i="1"/>
  <c r="T146" i="1"/>
  <c r="Q17" i="1"/>
  <c r="T149" i="1"/>
  <c r="V99" i="1"/>
  <c r="Q81" i="1"/>
  <c r="T119" i="1"/>
  <c r="T108" i="1"/>
  <c r="W116" i="1"/>
  <c r="W109" i="1"/>
  <c r="S253" i="1"/>
  <c r="V253" i="1"/>
  <c r="AA253" i="1"/>
  <c r="Y253" i="1"/>
  <c r="Y272" i="1"/>
  <c r="V272" i="1"/>
  <c r="S272" i="1"/>
  <c r="AA272" i="1"/>
  <c r="AA254" i="1"/>
  <c r="Y254" i="1"/>
  <c r="V254" i="1"/>
  <c r="S254" i="1"/>
  <c r="S274" i="1"/>
  <c r="AA274" i="1"/>
  <c r="Y274" i="1"/>
  <c r="V274" i="1"/>
  <c r="V194" i="1"/>
  <c r="V196" i="1"/>
  <c r="AA196" i="1"/>
  <c r="Y196" i="1"/>
  <c r="V218" i="1"/>
  <c r="V210" i="1"/>
  <c r="X232" i="1"/>
  <c r="Y233" i="1"/>
  <c r="S21" i="1"/>
  <c r="S22" i="1"/>
  <c r="CC156" i="1"/>
  <c r="CC157" i="1"/>
  <c r="CC158" i="1"/>
  <c r="CC159" i="1"/>
  <c r="CC160" i="1"/>
  <c r="CC161" i="1"/>
  <c r="CL161" i="1"/>
  <c r="CC162" i="1"/>
  <c r="CC163" i="1"/>
  <c r="CL163" i="1"/>
  <c r="CC164" i="1"/>
  <c r="CC165" i="1"/>
  <c r="CL165" i="1"/>
  <c r="CC166" i="1"/>
  <c r="CC167" i="1"/>
  <c r="CC168" i="1"/>
  <c r="CC169" i="1"/>
  <c r="CC170" i="1"/>
  <c r="CC171" i="1"/>
  <c r="CC172" i="1"/>
  <c r="CC173" i="1"/>
  <c r="CL173" i="1"/>
  <c r="CC174" i="1"/>
  <c r="CC175" i="1"/>
  <c r="CC177" i="1"/>
  <c r="CC179" i="1"/>
  <c r="CC180" i="1"/>
  <c r="CC181" i="1"/>
  <c r="CC188" i="1"/>
  <c r="CC189" i="1"/>
  <c r="CC191" i="1"/>
  <c r="CC192" i="1"/>
  <c r="CC199" i="1"/>
  <c r="CC193" i="1"/>
  <c r="CC195" i="1"/>
  <c r="CC196" i="1"/>
  <c r="CC235" i="1"/>
  <c r="CC236" i="1"/>
  <c r="CC200" i="1"/>
  <c r="CC201" i="1"/>
  <c r="CC202" i="1"/>
  <c r="CC204" i="1"/>
  <c r="CC182" i="1"/>
  <c r="CC206" i="1"/>
  <c r="CC198" i="1"/>
  <c r="CL198" i="1"/>
  <c r="CC187" i="1"/>
  <c r="CC203" i="1"/>
  <c r="CC208" i="1"/>
  <c r="CC210" i="1"/>
  <c r="CC211" i="1"/>
  <c r="CC209" i="1"/>
  <c r="CC213" i="1"/>
  <c r="CL213" i="1"/>
  <c r="CC216" i="1"/>
  <c r="CC239" i="1"/>
  <c r="CC214" i="1"/>
  <c r="CC215" i="1"/>
  <c r="CC218" i="1"/>
  <c r="CC217" i="1"/>
  <c r="CC220" i="1"/>
  <c r="CC219" i="1"/>
  <c r="CC222" i="1"/>
  <c r="CC185" i="1"/>
  <c r="CL185" i="1"/>
  <c r="DC287" i="1"/>
  <c r="DA287" i="1"/>
  <c r="CR287" i="1"/>
  <c r="DZ287" i="1"/>
  <c r="DZ289" i="1" s="1"/>
  <c r="CL208" i="1"/>
  <c r="CL196" i="1"/>
  <c r="CL192" i="1"/>
  <c r="CL175" i="1"/>
  <c r="CL171" i="1"/>
  <c r="CL159" i="1"/>
  <c r="CL220" i="1"/>
  <c r="CL182" i="1"/>
  <c r="CL200" i="1"/>
  <c r="CL191" i="1"/>
  <c r="CL180" i="1"/>
  <c r="CL174" i="1"/>
  <c r="CL170" i="1"/>
  <c r="CL166" i="1"/>
  <c r="CL201" i="1"/>
  <c r="CL239" i="1"/>
  <c r="CL193" i="1"/>
  <c r="CL206" i="1"/>
  <c r="CL211" i="1"/>
  <c r="CL187" i="1"/>
  <c r="CL204" i="1"/>
  <c r="CL236" i="1"/>
  <c r="CL179" i="1"/>
  <c r="CL169" i="1"/>
  <c r="CL222" i="1"/>
  <c r="CL218" i="1"/>
  <c r="CL216" i="1"/>
  <c r="CL210" i="1"/>
  <c r="CL235" i="1"/>
  <c r="CL199" i="1"/>
  <c r="CL177" i="1"/>
  <c r="CL172" i="1"/>
  <c r="CL168" i="1"/>
  <c r="CL164" i="1"/>
  <c r="CL160" i="1"/>
  <c r="CL156" i="1"/>
  <c r="CL214" i="1"/>
  <c r="CL215" i="1"/>
  <c r="CL209" i="1"/>
  <c r="CL217" i="1"/>
  <c r="CL219" i="1"/>
  <c r="CL167" i="1"/>
  <c r="CL203" i="1"/>
  <c r="CL162" i="1"/>
  <c r="CE181" i="1"/>
  <c r="CL181" i="1"/>
  <c r="CF163" i="1"/>
  <c r="CF202" i="1"/>
  <c r="CL202" i="1"/>
  <c r="CE158" i="1"/>
  <c r="CL158" i="1"/>
  <c r="CE189" i="1"/>
  <c r="CL189" i="1"/>
  <c r="CE157" i="1"/>
  <c r="CL157" i="1"/>
  <c r="CE195" i="1"/>
  <c r="CL195" i="1"/>
  <c r="CE188" i="1"/>
  <c r="CL188" i="1"/>
  <c r="CF189" i="1"/>
  <c r="CF157" i="1"/>
  <c r="CF195" i="1"/>
  <c r="CF181" i="1"/>
  <c r="CF220" i="1"/>
  <c r="CF196" i="1"/>
  <c r="CF188" i="1"/>
  <c r="CF164" i="1"/>
  <c r="CC258" i="1"/>
  <c r="CA254" i="1"/>
  <c r="CF258" i="1"/>
  <c r="CL258" i="1"/>
  <c r="Q258" i="1"/>
  <c r="CE258" i="1"/>
  <c r="CC4" i="1"/>
  <c r="CL4" i="1"/>
  <c r="CC8" i="1"/>
  <c r="CL8" i="1"/>
  <c r="CC33" i="1"/>
  <c r="CL33" i="1"/>
  <c r="CC34" i="1"/>
  <c r="CL34" i="1"/>
  <c r="CC56" i="1"/>
  <c r="CL56" i="1"/>
  <c r="CC36" i="1"/>
  <c r="CL36" i="1"/>
  <c r="CC38" i="1"/>
  <c r="CL38" i="1"/>
  <c r="CC49" i="1"/>
  <c r="CL49" i="1"/>
  <c r="BO155" i="1"/>
  <c r="BO8" i="1"/>
  <c r="BO33" i="1"/>
  <c r="BO34" i="1"/>
  <c r="BO56" i="1"/>
  <c r="BO36" i="1"/>
  <c r="BO38" i="1"/>
  <c r="BO49" i="1"/>
  <c r="BO4" i="1"/>
  <c r="CC147" i="1"/>
  <c r="CC143" i="1"/>
  <c r="CF147" i="1"/>
  <c r="CL147" i="1"/>
  <c r="CF143" i="1"/>
  <c r="CL143" i="1"/>
  <c r="CE143" i="1"/>
  <c r="CE147" i="1"/>
  <c r="CC155" i="1"/>
  <c r="BW8" i="1"/>
  <c r="BW4" i="1"/>
  <c r="CL155" i="1"/>
  <c r="CC111" i="1"/>
  <c r="CC107" i="1"/>
  <c r="CC102" i="1"/>
  <c r="CC43" i="1"/>
  <c r="CC40" i="1"/>
  <c r="CL43" i="1"/>
  <c r="CL102" i="1"/>
  <c r="CL107" i="1"/>
  <c r="CL40" i="1"/>
  <c r="CL111" i="1"/>
  <c r="CF102" i="1"/>
  <c r="CE102" i="1"/>
  <c r="CF40" i="1"/>
  <c r="CE40" i="1"/>
  <c r="CF107" i="1"/>
  <c r="CE107" i="1"/>
  <c r="CF111" i="1"/>
  <c r="CE111" i="1"/>
  <c r="CF43" i="1"/>
  <c r="CE43" i="1"/>
  <c r="CC127" i="1"/>
  <c r="CC128" i="1"/>
  <c r="CC95" i="1"/>
  <c r="CC100" i="1"/>
  <c r="BW100" i="1"/>
  <c r="CL95" i="1"/>
  <c r="CL128" i="1"/>
  <c r="CL100" i="1"/>
  <c r="CL127" i="1"/>
  <c r="CF100" i="1"/>
  <c r="CE100" i="1"/>
  <c r="CE95" i="1"/>
  <c r="CF95" i="1"/>
  <c r="CE128" i="1"/>
  <c r="CF128" i="1"/>
  <c r="CF127" i="1"/>
  <c r="CE127" i="1"/>
  <c r="BW49" i="1"/>
  <c r="BW33" i="1"/>
  <c r="BW34" i="1"/>
  <c r="CC59" i="1"/>
  <c r="BW59" i="1"/>
  <c r="CL59" i="1"/>
  <c r="CF59" i="1"/>
  <c r="CE59" i="1"/>
  <c r="CA194" i="1"/>
  <c r="CC194" i="1"/>
  <c r="CA183" i="1"/>
  <c r="CC183" i="1"/>
  <c r="CL183" i="1"/>
  <c r="CL194" i="1"/>
  <c r="CC237" i="1"/>
  <c r="BW237" i="1"/>
  <c r="BO237" i="1"/>
  <c r="CL237" i="1"/>
  <c r="CF237" i="1"/>
  <c r="BX237" i="1"/>
  <c r="CE237" i="1"/>
  <c r="CC12" i="1"/>
  <c r="CL12" i="1"/>
  <c r="CC284" i="1"/>
  <c r="CL284" i="1"/>
  <c r="CE284" i="1"/>
  <c r="CF284" i="1"/>
  <c r="Q12" i="1"/>
  <c r="R12" i="1"/>
  <c r="Q68" i="1"/>
  <c r="R68" i="1"/>
  <c r="Q178" i="1"/>
  <c r="R178" i="1"/>
  <c r="Q180" i="1"/>
  <c r="V180" i="1"/>
  <c r="BW3" i="1"/>
  <c r="BW5" i="1"/>
  <c r="CC113" i="1"/>
  <c r="CL113" i="1"/>
  <c r="CC81" i="1"/>
  <c r="CL81" i="1"/>
  <c r="W38" i="1"/>
  <c r="W36" i="1"/>
  <c r="T34" i="1"/>
  <c r="X33" i="1"/>
  <c r="BW156" i="1"/>
  <c r="CE156" i="1"/>
  <c r="BW161" i="1"/>
  <c r="CE161" i="1"/>
  <c r="CF113" i="1"/>
  <c r="CC75" i="1"/>
  <c r="CL75" i="1"/>
  <c r="CA89" i="1"/>
  <c r="CC89" i="1"/>
  <c r="CL89" i="1"/>
  <c r="CA90" i="1"/>
  <c r="CC90" i="1"/>
  <c r="CL90" i="1"/>
  <c r="CC88" i="1"/>
  <c r="CL88" i="1"/>
  <c r="CF88" i="1"/>
  <c r="CF90" i="1"/>
  <c r="CF89" i="1"/>
  <c r="CF75" i="1"/>
  <c r="CE90" i="1"/>
  <c r="CE88" i="1"/>
  <c r="CE89" i="1"/>
  <c r="CE75" i="1"/>
  <c r="CC76" i="1"/>
  <c r="CL76" i="1"/>
  <c r="BO132" i="1"/>
  <c r="BW132" i="1"/>
  <c r="CC132" i="1"/>
  <c r="CL132" i="1"/>
  <c r="CA16" i="1"/>
  <c r="CF76" i="1"/>
  <c r="CF132" i="1"/>
  <c r="CE76" i="1"/>
  <c r="CE132" i="1"/>
  <c r="BW196" i="1"/>
  <c r="CE196" i="1"/>
  <c r="BU235" i="1"/>
  <c r="CC234" i="1"/>
  <c r="BW163" i="1"/>
  <c r="CE163" i="1"/>
  <c r="CF234" i="1"/>
  <c r="CL234" i="1"/>
  <c r="CE234" i="1"/>
  <c r="BW55" i="1"/>
  <c r="CA68" i="1"/>
  <c r="CF155" i="1"/>
  <c r="U259" i="1"/>
  <c r="BW277" i="1"/>
  <c r="BX277" i="1"/>
  <c r="CC277" i="1"/>
  <c r="CL277" i="1"/>
  <c r="CF277" i="1"/>
  <c r="CE277" i="1"/>
  <c r="CC55" i="1"/>
  <c r="BW184" i="1"/>
  <c r="BX184" i="1"/>
  <c r="Q238" i="1"/>
  <c r="W238" i="1"/>
  <c r="CL55" i="1"/>
  <c r="CE55" i="1"/>
  <c r="CF55" i="1"/>
  <c r="CF184" i="1"/>
  <c r="CE184" i="1"/>
  <c r="S55" i="1"/>
  <c r="CA176" i="1"/>
  <c r="CC176" i="1"/>
  <c r="BW164" i="1"/>
  <c r="CE164" i="1"/>
  <c r="CL176" i="1"/>
  <c r="BX164" i="1"/>
  <c r="CA178" i="1"/>
  <c r="CC178" i="1"/>
  <c r="CL178" i="1"/>
  <c r="AL3" i="1"/>
  <c r="AL4" i="1"/>
  <c r="AL7" i="1"/>
  <c r="AL9" i="1"/>
  <c r="AL10" i="1"/>
  <c r="AL11" i="1"/>
  <c r="AL12" i="1"/>
  <c r="AL13" i="1"/>
  <c r="AL16" i="1"/>
  <c r="AL18" i="1"/>
  <c r="AL19" i="1"/>
  <c r="AL20" i="1"/>
  <c r="AL21" i="1"/>
  <c r="AL22" i="1"/>
  <c r="AL24" i="1"/>
  <c r="AL25" i="1"/>
  <c r="AL30" i="1"/>
  <c r="AL26" i="1"/>
  <c r="AL27" i="1"/>
  <c r="AL28" i="1"/>
  <c r="AL31" i="1"/>
  <c r="AL32" i="1"/>
  <c r="AL37" i="1"/>
  <c r="AL33" i="1"/>
  <c r="AL34" i="1"/>
  <c r="AL41" i="1"/>
  <c r="AL56" i="1"/>
  <c r="AL44" i="1"/>
  <c r="AL36" i="1"/>
  <c r="AL38" i="1"/>
  <c r="AL39" i="1"/>
  <c r="AL42" i="1"/>
  <c r="AL45" i="1"/>
  <c r="AL46" i="1"/>
  <c r="AL47" i="1"/>
  <c r="AL14" i="1"/>
  <c r="AL48" i="1"/>
  <c r="AL60" i="1"/>
  <c r="AL63" i="1"/>
  <c r="AL65" i="1"/>
  <c r="AL66" i="1"/>
  <c r="AL67" i="1"/>
  <c r="AL68" i="1"/>
  <c r="AL69" i="1"/>
  <c r="AL70" i="1"/>
  <c r="AL71" i="1"/>
  <c r="AL80" i="1"/>
  <c r="AL82" i="1"/>
  <c r="AL96" i="1"/>
  <c r="AL83" i="1"/>
  <c r="AL87" i="1"/>
  <c r="AL93" i="1"/>
  <c r="AL94" i="1"/>
  <c r="AL97" i="1"/>
  <c r="AL98" i="1"/>
  <c r="AL103" i="1"/>
  <c r="AL104" i="1"/>
  <c r="AL108" i="1"/>
  <c r="AL85" i="1"/>
  <c r="AL109" i="1"/>
  <c r="AL110" i="1"/>
  <c r="AL112" i="1"/>
  <c r="AL114" i="1"/>
  <c r="AL115" i="1"/>
  <c r="AL117" i="1"/>
  <c r="AL122" i="1"/>
  <c r="AL255" i="1"/>
  <c r="AL256" i="1"/>
  <c r="AL257" i="1"/>
  <c r="AL253" i="1"/>
  <c r="AL254" i="1"/>
  <c r="AL123" i="1"/>
  <c r="AL259" i="1"/>
  <c r="AL260" i="1"/>
  <c r="AL261" i="1"/>
  <c r="AL262" i="1"/>
  <c r="AL263" i="1"/>
  <c r="AL264" i="1"/>
  <c r="AL130" i="1"/>
  <c r="AL131" i="1"/>
  <c r="AL138" i="1"/>
  <c r="AL156" i="1"/>
  <c r="AL141" i="1"/>
  <c r="AL142" i="1"/>
  <c r="AL144" i="1"/>
  <c r="AL145" i="1"/>
  <c r="AL146" i="1"/>
  <c r="AL148" i="1"/>
  <c r="AL149" i="1"/>
  <c r="AL135" i="1"/>
  <c r="AL137" i="1"/>
  <c r="AL150" i="1"/>
  <c r="AL152" i="1"/>
  <c r="AL160" i="1"/>
  <c r="AL161" i="1"/>
  <c r="AL165" i="1"/>
  <c r="AL162" i="1"/>
  <c r="AL166" i="1"/>
  <c r="AL167" i="1"/>
  <c r="AL170" i="1"/>
  <c r="AL171" i="1"/>
  <c r="AL173" i="1"/>
  <c r="AL174" i="1"/>
  <c r="AL175" i="1"/>
  <c r="AL176" i="1"/>
  <c r="AL178" i="1"/>
  <c r="AL179" i="1"/>
  <c r="AL180" i="1"/>
  <c r="AL199" i="1"/>
  <c r="AL193" i="1"/>
  <c r="AL194" i="1"/>
  <c r="AL235" i="1"/>
  <c r="AL202" i="1"/>
  <c r="AL204" i="1"/>
  <c r="AL198" i="1"/>
  <c r="AL187" i="1"/>
  <c r="AL208" i="1"/>
  <c r="AL203" i="1"/>
  <c r="AL210" i="1"/>
  <c r="AL183" i="1"/>
  <c r="AL211" i="1"/>
  <c r="AL213" i="1"/>
  <c r="AL209" i="1"/>
  <c r="AL216" i="1"/>
  <c r="AL214" i="1"/>
  <c r="AL218" i="1"/>
  <c r="AL215" i="1"/>
  <c r="AL220" i="1"/>
  <c r="AL217" i="1"/>
  <c r="AL222" i="1"/>
  <c r="AL219" i="1"/>
  <c r="AL185" i="1"/>
  <c r="AL223" i="1"/>
  <c r="AL224" i="1"/>
  <c r="AL227" i="1"/>
  <c r="AL226" i="1"/>
  <c r="AL228" i="1"/>
  <c r="AL230" i="1"/>
  <c r="AL229" i="1"/>
  <c r="AL233" i="1"/>
  <c r="AL247" i="1"/>
  <c r="AL248" i="1"/>
  <c r="AL241" i="1"/>
  <c r="AL242" i="1"/>
  <c r="AL244" i="1"/>
  <c r="AL245" i="1"/>
  <c r="AL265" i="1"/>
  <c r="AL266" i="1"/>
  <c r="AL270" i="1"/>
  <c r="AL271" i="1"/>
  <c r="AL278" i="1"/>
  <c r="AL279" i="1"/>
  <c r="AL281" i="1"/>
  <c r="AL282" i="1"/>
  <c r="AL273" i="1"/>
  <c r="AL283" i="1"/>
  <c r="AL272" i="1"/>
  <c r="AL274" i="1"/>
  <c r="AL275" i="1"/>
  <c r="AL154" i="1"/>
  <c r="CC154" i="1"/>
  <c r="CC276" i="1"/>
  <c r="CC285" i="1"/>
  <c r="CC275" i="1"/>
  <c r="CC274" i="1"/>
  <c r="CC272" i="1"/>
  <c r="CC283" i="1"/>
  <c r="CC273" i="1"/>
  <c r="CC282" i="1"/>
  <c r="CC281" i="1"/>
  <c r="CC279" i="1"/>
  <c r="CC267" i="1"/>
  <c r="CC278" i="1"/>
  <c r="CC271" i="1"/>
  <c r="CC270" i="1"/>
  <c r="CC269" i="1"/>
  <c r="CC268" i="1"/>
  <c r="CA266" i="1"/>
  <c r="CC266" i="1"/>
  <c r="CC265" i="1"/>
  <c r="CC251" i="1"/>
  <c r="CC245" i="1"/>
  <c r="CL245" i="1"/>
  <c r="CC244" i="1"/>
  <c r="CL244" i="1"/>
  <c r="CC243" i="1"/>
  <c r="CC242" i="1"/>
  <c r="CC241" i="1"/>
  <c r="CC248" i="1"/>
  <c r="CC247" i="1"/>
  <c r="CC246" i="1"/>
  <c r="CC233" i="1"/>
  <c r="CC232" i="1"/>
  <c r="CC231" i="1"/>
  <c r="CL231" i="1"/>
  <c r="CC229" i="1"/>
  <c r="CC230" i="1"/>
  <c r="CC228" i="1"/>
  <c r="CC226" i="1"/>
  <c r="CC227" i="1"/>
  <c r="CC224" i="1"/>
  <c r="CC225" i="1"/>
  <c r="CC223" i="1"/>
  <c r="CC240" i="1"/>
  <c r="CC153" i="1"/>
  <c r="CC152" i="1"/>
  <c r="CC150" i="1"/>
  <c r="CL150" i="1"/>
  <c r="CA137" i="1"/>
  <c r="CC137" i="1"/>
  <c r="CL137" i="1"/>
  <c r="CA135" i="1"/>
  <c r="CC135" i="1"/>
  <c r="CL135" i="1"/>
  <c r="CC149" i="1"/>
  <c r="CL149" i="1"/>
  <c r="CC148" i="1"/>
  <c r="CL148" i="1"/>
  <c r="CC146" i="1"/>
  <c r="CL146" i="1"/>
  <c r="CC145" i="1"/>
  <c r="CC144" i="1"/>
  <c r="CC142" i="1"/>
  <c r="CC141" i="1"/>
  <c r="CL141" i="1"/>
  <c r="CC136" i="1"/>
  <c r="CL136" i="1"/>
  <c r="CC140" i="1"/>
  <c r="CL140" i="1"/>
  <c r="CC139" i="1"/>
  <c r="CL139" i="1"/>
  <c r="CC138" i="1"/>
  <c r="CL138" i="1"/>
  <c r="CC131" i="1"/>
  <c r="CL131" i="1"/>
  <c r="CC130" i="1"/>
  <c r="CL130" i="1"/>
  <c r="CC129" i="1"/>
  <c r="CL129" i="1"/>
  <c r="CC126" i="1"/>
  <c r="CL126" i="1"/>
  <c r="CC264" i="1"/>
  <c r="CC263" i="1"/>
  <c r="CC262" i="1"/>
  <c r="CC261" i="1"/>
  <c r="CC260" i="1"/>
  <c r="CC259" i="1"/>
  <c r="CC123" i="1"/>
  <c r="CL123" i="1"/>
  <c r="CC254" i="1"/>
  <c r="CC253" i="1"/>
  <c r="CC257" i="1"/>
  <c r="CC256" i="1"/>
  <c r="CC124" i="1"/>
  <c r="CC255" i="1"/>
  <c r="CC122" i="1"/>
  <c r="CL122" i="1"/>
  <c r="CC119" i="1"/>
  <c r="CL119" i="1"/>
  <c r="CA121" i="1"/>
  <c r="CC121" i="1"/>
  <c r="CC120" i="1"/>
  <c r="CC118" i="1"/>
  <c r="CC117" i="1"/>
  <c r="CL117" i="1"/>
  <c r="CC84" i="1"/>
  <c r="CL84" i="1"/>
  <c r="CC116" i="1"/>
  <c r="CL116" i="1"/>
  <c r="CC115" i="1"/>
  <c r="CL115" i="1"/>
  <c r="CC114" i="1"/>
  <c r="CL114" i="1"/>
  <c r="CC112" i="1"/>
  <c r="CL112" i="1"/>
  <c r="CC110" i="1"/>
  <c r="CC109" i="1"/>
  <c r="CL109" i="1"/>
  <c r="CC85" i="1"/>
  <c r="CL85" i="1"/>
  <c r="CC108" i="1"/>
  <c r="CL108" i="1"/>
  <c r="CC106" i="1"/>
  <c r="CL106" i="1"/>
  <c r="CC104" i="1"/>
  <c r="CL104" i="1"/>
  <c r="CC103" i="1"/>
  <c r="CC101" i="1"/>
  <c r="CC99" i="1"/>
  <c r="CL99" i="1"/>
  <c r="CC98" i="1"/>
  <c r="CL98" i="1"/>
  <c r="CC97" i="1"/>
  <c r="CL97" i="1"/>
  <c r="CC94" i="1"/>
  <c r="CL94" i="1"/>
  <c r="CC93" i="1"/>
  <c r="CL93" i="1"/>
  <c r="CC92" i="1"/>
  <c r="CL92" i="1"/>
  <c r="CC91" i="1"/>
  <c r="CL91" i="1"/>
  <c r="CC87" i="1"/>
  <c r="CL87" i="1"/>
  <c r="CC83" i="1"/>
  <c r="CL83" i="1"/>
  <c r="CC96" i="1"/>
  <c r="CC82" i="1"/>
  <c r="CL82" i="1"/>
  <c r="CC80" i="1"/>
  <c r="CL80" i="1"/>
  <c r="CC79" i="1"/>
  <c r="CL79" i="1"/>
  <c r="CC74" i="1"/>
  <c r="CL74" i="1"/>
  <c r="CA71" i="1"/>
  <c r="CC71" i="1"/>
  <c r="CL71" i="1"/>
  <c r="CC70" i="1"/>
  <c r="CL70" i="1"/>
  <c r="CC69" i="1"/>
  <c r="CL69" i="1"/>
  <c r="CC68" i="1"/>
  <c r="CL68" i="1"/>
  <c r="CC67" i="1"/>
  <c r="CL67" i="1"/>
  <c r="CC66" i="1"/>
  <c r="CL66" i="1"/>
  <c r="CC65" i="1"/>
  <c r="CL65" i="1"/>
  <c r="CC63" i="1"/>
  <c r="CL63" i="1"/>
  <c r="CC60" i="1"/>
  <c r="CL60" i="1"/>
  <c r="CC51" i="1"/>
  <c r="CL51" i="1"/>
  <c r="CC50" i="1"/>
  <c r="CL50" i="1"/>
  <c r="CC61" i="1"/>
  <c r="CC58" i="1"/>
  <c r="CC57" i="1"/>
  <c r="CC53" i="1"/>
  <c r="CC48" i="1"/>
  <c r="CL48" i="1"/>
  <c r="CC14" i="1"/>
  <c r="CL14" i="1"/>
  <c r="CC47" i="1"/>
  <c r="CL47" i="1"/>
  <c r="CC46" i="1"/>
  <c r="CL46" i="1"/>
  <c r="CC45" i="1"/>
  <c r="CC42" i="1"/>
  <c r="CL42" i="1"/>
  <c r="CC39" i="1"/>
  <c r="CL39" i="1"/>
  <c r="CC44" i="1"/>
  <c r="CC41" i="1"/>
  <c r="CC37" i="1"/>
  <c r="CC32" i="1"/>
  <c r="CL32" i="1"/>
  <c r="CC31" i="1"/>
  <c r="CL31" i="1"/>
  <c r="CC28" i="1"/>
  <c r="CL28" i="1"/>
  <c r="CC27" i="1"/>
  <c r="CL27" i="1"/>
  <c r="CC26" i="1"/>
  <c r="CL26" i="1"/>
  <c r="CC30" i="1"/>
  <c r="CC25" i="1"/>
  <c r="CL25" i="1"/>
  <c r="CC24" i="1"/>
  <c r="CL24" i="1"/>
  <c r="CC22" i="1"/>
  <c r="CL22" i="1"/>
  <c r="CA21" i="1"/>
  <c r="CC21" i="1"/>
  <c r="CL21" i="1"/>
  <c r="CC20" i="1"/>
  <c r="CL20" i="1"/>
  <c r="CC19" i="1"/>
  <c r="CL19" i="1"/>
  <c r="CC18" i="1"/>
  <c r="CL18" i="1"/>
  <c r="CC17" i="1"/>
  <c r="CL17" i="1"/>
  <c r="CC16" i="1"/>
  <c r="CL16" i="1"/>
  <c r="CC15" i="1"/>
  <c r="CL15" i="1"/>
  <c r="CA13" i="1"/>
  <c r="CC13" i="1"/>
  <c r="CL13" i="1"/>
  <c r="CC151" i="1"/>
  <c r="CL151" i="1"/>
  <c r="CA11" i="1"/>
  <c r="CC11" i="1"/>
  <c r="CL11" i="1"/>
  <c r="CC10" i="1"/>
  <c r="CL10" i="1"/>
  <c r="CC9" i="1"/>
  <c r="CL9" i="1"/>
  <c r="CC7" i="1"/>
  <c r="CL7" i="1"/>
  <c r="CC5" i="1"/>
  <c r="CL5" i="1"/>
  <c r="CC3" i="1"/>
  <c r="CL110" i="1"/>
  <c r="CL101" i="1"/>
  <c r="CL103" i="1"/>
  <c r="CL142" i="1"/>
  <c r="CL45" i="1"/>
  <c r="CE45" i="1"/>
  <c r="CL145" i="1"/>
  <c r="CL3" i="1"/>
  <c r="CL257" i="1"/>
  <c r="CL259" i="1"/>
  <c r="CL263" i="1"/>
  <c r="CL225" i="1"/>
  <c r="CL228" i="1"/>
  <c r="CL232" i="1"/>
  <c r="CL266" i="1"/>
  <c r="CL271" i="1"/>
  <c r="CL281" i="1"/>
  <c r="CL272" i="1"/>
  <c r="CL276" i="1"/>
  <c r="CL255" i="1"/>
  <c r="CL253" i="1"/>
  <c r="CL260" i="1"/>
  <c r="CL264" i="1"/>
  <c r="CL230" i="1"/>
  <c r="CL233" i="1"/>
  <c r="CL241" i="1"/>
  <c r="CL268" i="1"/>
  <c r="CL278" i="1"/>
  <c r="CL282" i="1"/>
  <c r="CL274" i="1"/>
  <c r="CL254" i="1"/>
  <c r="CL261" i="1"/>
  <c r="CL240" i="1"/>
  <c r="CL227" i="1"/>
  <c r="CL242" i="1"/>
  <c r="CL269" i="1"/>
  <c r="CL267" i="1"/>
  <c r="CL273" i="1"/>
  <c r="CL275" i="1"/>
  <c r="CL256" i="1"/>
  <c r="CL262" i="1"/>
  <c r="CL223" i="1"/>
  <c r="CL243" i="1"/>
  <c r="CL265" i="1"/>
  <c r="CL270" i="1"/>
  <c r="CL283" i="1"/>
  <c r="CL246" i="1"/>
  <c r="CL37" i="1"/>
  <c r="CL58" i="1"/>
  <c r="CL226" i="1"/>
  <c r="CL247" i="1"/>
  <c r="CL279" i="1"/>
  <c r="CL285" i="1"/>
  <c r="CL124" i="1"/>
  <c r="CL251" i="1"/>
  <c r="CL41" i="1"/>
  <c r="CL61" i="1"/>
  <c r="CL96" i="1"/>
  <c r="CL118" i="1"/>
  <c r="CL144" i="1"/>
  <c r="CL152" i="1"/>
  <c r="CL248" i="1"/>
  <c r="CL57" i="1"/>
  <c r="CL121" i="1"/>
  <c r="CL229" i="1"/>
  <c r="CL30" i="1"/>
  <c r="CL44" i="1"/>
  <c r="CL53" i="1"/>
  <c r="CL120" i="1"/>
  <c r="CL153" i="1"/>
  <c r="CL224" i="1"/>
  <c r="CL154" i="1"/>
  <c r="AL287" i="1"/>
  <c r="CC287" i="1"/>
  <c r="W260" i="1"/>
  <c r="W220" i="1"/>
  <c r="T106" i="1"/>
  <c r="W110" i="1"/>
  <c r="V26" i="1"/>
  <c r="T94" i="1"/>
  <c r="W136" i="1"/>
  <c r="V145" i="1"/>
  <c r="W91" i="1"/>
  <c r="U97" i="1"/>
  <c r="CF119" i="1"/>
  <c r="V123" i="1"/>
  <c r="T141" i="1"/>
  <c r="CF5" i="1"/>
  <c r="W48" i="1"/>
  <c r="CF48" i="1"/>
  <c r="CF74" i="1"/>
  <c r="X92" i="1"/>
  <c r="X140" i="1"/>
  <c r="Z142" i="1"/>
  <c r="V103" i="1"/>
  <c r="Y114" i="1"/>
  <c r="V114" i="1"/>
  <c r="AA114" i="1"/>
  <c r="W200" i="1"/>
  <c r="X202" i="1"/>
  <c r="BW119" i="1"/>
  <c r="CE119" i="1"/>
  <c r="CL287" i="1"/>
  <c r="CD287" i="1"/>
  <c r="Z287" i="1"/>
  <c r="Z291" i="1"/>
  <c r="AA287" i="1"/>
  <c r="AA291" i="1"/>
  <c r="T287" i="1"/>
  <c r="T291" i="1"/>
  <c r="S287" i="1"/>
  <c r="S291" i="1"/>
  <c r="V287" i="1"/>
  <c r="V291" i="1"/>
  <c r="R287" i="1"/>
  <c r="R291" i="1"/>
  <c r="X287" i="1"/>
  <c r="X291" i="1"/>
  <c r="U287" i="1"/>
  <c r="U291" i="1"/>
  <c r="W287" i="1"/>
  <c r="W291" i="1"/>
  <c r="Q287" i="1"/>
  <c r="Q291" i="1"/>
  <c r="Q292" i="1"/>
  <c r="BW37" i="1"/>
  <c r="CE37" i="1"/>
  <c r="Q293" i="1"/>
  <c r="R292" i="1"/>
  <c r="BW169" i="1"/>
  <c r="CE169" i="1"/>
  <c r="R293" i="1"/>
  <c r="BW192" i="1"/>
  <c r="CE192" i="1"/>
  <c r="BW191" i="1"/>
  <c r="CE191" i="1"/>
  <c r="BW159" i="1"/>
  <c r="CE159" i="1"/>
  <c r="AN241" i="1"/>
  <c r="AT241" i="1"/>
  <c r="AV241" i="1"/>
  <c r="BA241" i="1"/>
  <c r="BG241" i="1"/>
  <c r="BO241" i="1"/>
  <c r="BW241" i="1"/>
  <c r="CE241" i="1"/>
  <c r="BO192" i="1"/>
  <c r="BO191" i="1"/>
  <c r="BO169" i="1"/>
  <c r="BO159" i="1"/>
  <c r="BO158" i="1"/>
  <c r="BW113" i="1"/>
  <c r="CE113" i="1"/>
  <c r="BW74" i="1"/>
  <c r="CE74" i="1"/>
  <c r="BU13" i="1"/>
  <c r="BU11" i="1"/>
  <c r="CF169" i="1"/>
  <c r="CF158" i="1"/>
  <c r="CF159" i="1"/>
  <c r="CF191" i="1"/>
  <c r="CF192" i="1"/>
  <c r="CF241" i="1"/>
  <c r="BX169" i="1"/>
  <c r="BX181" i="1"/>
  <c r="BX74" i="1"/>
  <c r="BX113" i="1"/>
  <c r="BB241" i="1"/>
  <c r="BX188" i="1"/>
  <c r="BX189" i="1"/>
  <c r="BI241" i="1"/>
  <c r="BX241" i="1"/>
  <c r="BQ241" i="1"/>
  <c r="BX191" i="1"/>
  <c r="BX159" i="1"/>
  <c r="BX157" i="1"/>
  <c r="BX192" i="1"/>
  <c r="BX158" i="1"/>
  <c r="CE5" i="1"/>
  <c r="BX5" i="1"/>
  <c r="BW268" i="1"/>
  <c r="BO268" i="1"/>
  <c r="CE268" i="1"/>
  <c r="CF268" i="1"/>
  <c r="BX268" i="1"/>
  <c r="BU21" i="1"/>
  <c r="BW51" i="1"/>
  <c r="CE51" i="1"/>
  <c r="BO51" i="1"/>
  <c r="BQ51" i="1"/>
  <c r="CF51" i="1"/>
  <c r="BX51" i="1"/>
  <c r="BU176" i="1"/>
  <c r="BW267" i="1"/>
  <c r="BO267" i="1"/>
  <c r="BW269" i="1"/>
  <c r="BO269" i="1"/>
  <c r="CE269" i="1"/>
  <c r="CF269" i="1"/>
  <c r="CE267" i="1"/>
  <c r="CF267" i="1"/>
  <c r="BX267" i="1"/>
  <c r="BX269" i="1"/>
  <c r="BW257" i="1"/>
  <c r="BW253" i="1"/>
  <c r="BW254" i="1"/>
  <c r="BW259" i="1"/>
  <c r="BW246" i="1"/>
  <c r="CE246" i="1"/>
  <c r="BW247" i="1"/>
  <c r="CE247" i="1"/>
  <c r="BW248" i="1"/>
  <c r="CE248" i="1"/>
  <c r="BW260" i="1"/>
  <c r="BW261" i="1"/>
  <c r="BW262" i="1"/>
  <c r="CE262" i="1"/>
  <c r="BW263" i="1"/>
  <c r="CE263" i="1"/>
  <c r="BW264" i="1"/>
  <c r="BW251" i="1"/>
  <c r="CE251" i="1"/>
  <c r="BW265" i="1"/>
  <c r="BW270" i="1"/>
  <c r="BW275" i="1"/>
  <c r="BW278" i="1"/>
  <c r="BW279" i="1"/>
  <c r="CE279" i="1"/>
  <c r="BW271" i="1"/>
  <c r="CF271" i="1"/>
  <c r="BW281" i="1"/>
  <c r="BW282" i="1"/>
  <c r="BW273" i="1"/>
  <c r="BW283" i="1"/>
  <c r="BW272" i="1"/>
  <c r="BW274" i="1"/>
  <c r="BW285" i="1"/>
  <c r="CE285" i="1"/>
  <c r="BW276" i="1"/>
  <c r="CF276" i="1"/>
  <c r="BW154" i="1"/>
  <c r="CE154" i="1"/>
  <c r="BW225" i="1"/>
  <c r="CE225" i="1"/>
  <c r="BW227" i="1"/>
  <c r="CE227" i="1"/>
  <c r="BW228" i="1"/>
  <c r="CE228" i="1"/>
  <c r="BW230" i="1"/>
  <c r="CE230" i="1"/>
  <c r="BW209" i="1"/>
  <c r="CE209" i="1"/>
  <c r="BW231" i="1"/>
  <c r="CE231" i="1"/>
  <c r="BW200" i="1"/>
  <c r="CE200" i="1"/>
  <c r="BW214" i="1"/>
  <c r="CE214" i="1"/>
  <c r="BW233" i="1"/>
  <c r="CE233" i="1"/>
  <c r="BW215" i="1"/>
  <c r="CE215" i="1"/>
  <c r="BW232" i="1"/>
  <c r="CE232" i="1"/>
  <c r="BW217" i="1"/>
  <c r="CE217" i="1"/>
  <c r="BW219" i="1"/>
  <c r="CE219" i="1"/>
  <c r="BW242" i="1"/>
  <c r="CE242" i="1"/>
  <c r="BW243" i="1"/>
  <c r="CE243" i="1"/>
  <c r="BW244" i="1"/>
  <c r="CE244" i="1"/>
  <c r="BW224" i="1"/>
  <c r="CE224" i="1"/>
  <c r="BW245" i="1"/>
  <c r="CE245" i="1"/>
  <c r="BW226" i="1"/>
  <c r="CE226" i="1"/>
  <c r="BW255" i="1"/>
  <c r="BW256" i="1"/>
  <c r="BW229" i="1"/>
  <c r="CE229" i="1"/>
  <c r="BW162" i="1"/>
  <c r="CE162" i="1"/>
  <c r="BW167" i="1"/>
  <c r="CE167" i="1"/>
  <c r="BW180" i="1"/>
  <c r="CE180" i="1"/>
  <c r="BW240" i="1"/>
  <c r="CE240" i="1"/>
  <c r="BW199" i="1"/>
  <c r="CE199" i="1"/>
  <c r="BW201" i="1"/>
  <c r="CE201" i="1"/>
  <c r="BW202" i="1"/>
  <c r="CE202" i="1"/>
  <c r="BW204" i="1"/>
  <c r="CE204" i="1"/>
  <c r="BW182" i="1"/>
  <c r="CE182" i="1"/>
  <c r="BW236" i="1"/>
  <c r="CE236" i="1"/>
  <c r="BW194" i="1"/>
  <c r="CE194" i="1"/>
  <c r="BW206" i="1"/>
  <c r="CE206" i="1"/>
  <c r="BW198" i="1"/>
  <c r="CE198" i="1"/>
  <c r="BW187" i="1"/>
  <c r="CE187" i="1"/>
  <c r="BW208" i="1"/>
  <c r="CE208" i="1"/>
  <c r="BW210" i="1"/>
  <c r="CE210" i="1"/>
  <c r="BW183" i="1"/>
  <c r="CE183" i="1"/>
  <c r="BW211" i="1"/>
  <c r="CE211" i="1"/>
  <c r="BW213" i="1"/>
  <c r="CE213" i="1"/>
  <c r="BW216" i="1"/>
  <c r="CE216" i="1"/>
  <c r="BW239" i="1"/>
  <c r="CE239" i="1"/>
  <c r="BW218" i="1"/>
  <c r="CE218" i="1"/>
  <c r="BW220" i="1"/>
  <c r="CE220" i="1"/>
  <c r="BW222" i="1"/>
  <c r="CE222" i="1"/>
  <c r="BW185" i="1"/>
  <c r="CE185" i="1"/>
  <c r="BW223" i="1"/>
  <c r="CE223" i="1"/>
  <c r="BW203" i="1"/>
  <c r="CE203" i="1"/>
  <c r="BW171" i="1"/>
  <c r="CE171" i="1"/>
  <c r="BW172" i="1"/>
  <c r="CE172" i="1"/>
  <c r="BW173" i="1"/>
  <c r="CE173" i="1"/>
  <c r="BW174" i="1"/>
  <c r="CE174" i="1"/>
  <c r="BW175" i="1"/>
  <c r="CE175" i="1"/>
  <c r="BW152" i="1"/>
  <c r="CE152" i="1"/>
  <c r="BW153" i="1"/>
  <c r="CE153" i="1"/>
  <c r="BW176" i="1"/>
  <c r="CE176" i="1"/>
  <c r="BW177" i="1"/>
  <c r="CE177" i="1"/>
  <c r="BW91" i="1"/>
  <c r="CE91" i="1"/>
  <c r="BW122" i="1"/>
  <c r="CE122" i="1"/>
  <c r="BW123" i="1"/>
  <c r="CE123" i="1"/>
  <c r="BW126" i="1"/>
  <c r="CE126" i="1"/>
  <c r="BW129" i="1"/>
  <c r="CE129" i="1"/>
  <c r="BW130" i="1"/>
  <c r="CE130" i="1"/>
  <c r="BW131" i="1"/>
  <c r="CE131" i="1"/>
  <c r="BW138" i="1"/>
  <c r="CE138" i="1"/>
  <c r="BW141" i="1"/>
  <c r="CE141" i="1"/>
  <c r="BW142" i="1"/>
  <c r="CE142" i="1"/>
  <c r="BW118" i="1"/>
  <c r="CE118" i="1"/>
  <c r="BW120" i="1"/>
  <c r="CE120" i="1"/>
  <c r="BW145" i="1"/>
  <c r="CE145" i="1"/>
  <c r="BW146" i="1"/>
  <c r="CE146" i="1"/>
  <c r="BW124" i="1"/>
  <c r="CE124" i="1"/>
  <c r="BW148" i="1"/>
  <c r="CE148" i="1"/>
  <c r="BW149" i="1"/>
  <c r="CE149" i="1"/>
  <c r="BW150" i="1"/>
  <c r="CE150" i="1"/>
  <c r="BW136" i="1"/>
  <c r="CE136" i="1"/>
  <c r="BW140" i="1"/>
  <c r="CE140" i="1"/>
  <c r="BW139" i="1"/>
  <c r="CE139" i="1"/>
  <c r="CE4" i="1"/>
  <c r="CE8" i="1"/>
  <c r="CE33" i="1"/>
  <c r="CE34" i="1"/>
  <c r="CE56" i="1"/>
  <c r="CE36" i="1"/>
  <c r="CE38" i="1"/>
  <c r="CE49" i="1"/>
  <c r="CE60" i="1"/>
  <c r="BW155" i="1"/>
  <c r="CE155" i="1"/>
  <c r="BW165" i="1"/>
  <c r="CE165" i="1"/>
  <c r="BW144" i="1"/>
  <c r="CE144" i="1"/>
  <c r="BW166" i="1"/>
  <c r="CE166" i="1"/>
  <c r="BW168" i="1"/>
  <c r="CE168" i="1"/>
  <c r="BW63" i="1"/>
  <c r="CE63" i="1"/>
  <c r="BW65" i="1"/>
  <c r="CE65" i="1"/>
  <c r="BW66" i="1"/>
  <c r="CE66" i="1"/>
  <c r="BW53" i="1"/>
  <c r="CE53" i="1"/>
  <c r="BW69" i="1"/>
  <c r="CE69" i="1"/>
  <c r="BW57" i="1"/>
  <c r="CE57" i="1"/>
  <c r="BW58" i="1"/>
  <c r="CE58" i="1"/>
  <c r="BW61" i="1"/>
  <c r="CE61" i="1"/>
  <c r="BW79" i="1"/>
  <c r="CE79" i="1"/>
  <c r="BW80" i="1"/>
  <c r="CE80" i="1"/>
  <c r="BW81" i="1"/>
  <c r="CE81" i="1"/>
  <c r="BW82" i="1"/>
  <c r="CE82" i="1"/>
  <c r="BW83" i="1"/>
  <c r="CE83" i="1"/>
  <c r="BW93" i="1"/>
  <c r="CE93" i="1"/>
  <c r="BW94" i="1"/>
  <c r="CE94" i="1"/>
  <c r="BW97" i="1"/>
  <c r="CE97" i="1"/>
  <c r="BW98" i="1"/>
  <c r="CE98" i="1"/>
  <c r="BW101" i="1"/>
  <c r="CE101" i="1"/>
  <c r="BW103" i="1"/>
  <c r="CE103" i="1"/>
  <c r="BW104" i="1"/>
  <c r="CE104" i="1"/>
  <c r="BW70" i="1"/>
  <c r="CE70" i="1"/>
  <c r="BW106" i="1"/>
  <c r="CE106" i="1"/>
  <c r="BW96" i="1"/>
  <c r="CE96" i="1"/>
  <c r="BW108" i="1"/>
  <c r="CE108" i="1"/>
  <c r="BW85" i="1"/>
  <c r="CE85" i="1"/>
  <c r="BW109" i="1"/>
  <c r="CE109" i="1"/>
  <c r="BW110" i="1"/>
  <c r="CE110" i="1"/>
  <c r="BW112" i="1"/>
  <c r="CE112" i="1"/>
  <c r="BW114" i="1"/>
  <c r="CE114" i="1"/>
  <c r="BW115" i="1"/>
  <c r="CE115" i="1"/>
  <c r="BW116" i="1"/>
  <c r="CE116" i="1"/>
  <c r="BW84" i="1"/>
  <c r="CE84" i="1"/>
  <c r="BW117" i="1"/>
  <c r="CE117" i="1"/>
  <c r="BW92" i="1"/>
  <c r="CE92" i="1"/>
  <c r="BW99" i="1"/>
  <c r="CE99" i="1"/>
  <c r="BW9" i="1"/>
  <c r="CE9" i="1"/>
  <c r="BW11" i="1"/>
  <c r="CE11" i="1"/>
  <c r="BW151" i="1"/>
  <c r="CE151" i="1"/>
  <c r="BW15" i="1"/>
  <c r="CE15" i="1"/>
  <c r="BW16" i="1"/>
  <c r="CE16" i="1"/>
  <c r="BW17" i="1"/>
  <c r="CE17" i="1"/>
  <c r="BW18" i="1"/>
  <c r="CE18" i="1"/>
  <c r="BW19" i="1"/>
  <c r="CE19" i="1"/>
  <c r="BW20" i="1"/>
  <c r="CE20" i="1"/>
  <c r="BW13" i="1"/>
  <c r="CE13" i="1"/>
  <c r="BW24" i="1"/>
  <c r="CE24" i="1"/>
  <c r="BW25" i="1"/>
  <c r="CE25" i="1"/>
  <c r="BW26" i="1"/>
  <c r="CE26" i="1"/>
  <c r="BW27" i="1"/>
  <c r="CE27" i="1"/>
  <c r="BW28" i="1"/>
  <c r="CE28" i="1"/>
  <c r="BW31" i="1"/>
  <c r="CE31" i="1"/>
  <c r="BW30" i="1"/>
  <c r="CE30" i="1"/>
  <c r="BW32" i="1"/>
  <c r="CE32" i="1"/>
  <c r="CE39" i="1"/>
  <c r="CE42" i="1"/>
  <c r="CE46" i="1"/>
  <c r="CE47" i="1"/>
  <c r="BW14" i="1"/>
  <c r="CE14" i="1"/>
  <c r="BW41" i="1"/>
  <c r="CE41" i="1"/>
  <c r="BW48" i="1"/>
  <c r="CE48" i="1"/>
  <c r="BW44" i="1"/>
  <c r="CE44" i="1"/>
  <c r="BW21" i="1"/>
  <c r="CE21" i="1"/>
  <c r="BW22" i="1"/>
  <c r="CE22" i="1"/>
  <c r="BW50" i="1"/>
  <c r="CE50" i="1"/>
  <c r="CE3" i="1"/>
  <c r="BU266" i="1"/>
  <c r="BW266" i="1"/>
  <c r="BW235" i="1"/>
  <c r="CE235" i="1"/>
  <c r="BU193" i="1"/>
  <c r="BW193" i="1"/>
  <c r="CE193" i="1"/>
  <c r="BU179" i="1"/>
  <c r="BW179" i="1"/>
  <c r="CE179" i="1"/>
  <c r="BU170" i="1"/>
  <c r="BW170" i="1"/>
  <c r="CE170" i="1"/>
  <c r="BU160" i="1"/>
  <c r="BW160" i="1"/>
  <c r="CE160" i="1"/>
  <c r="BU137" i="1"/>
  <c r="BW137" i="1"/>
  <c r="CE137" i="1"/>
  <c r="BU135" i="1"/>
  <c r="BW135" i="1"/>
  <c r="CE135" i="1"/>
  <c r="BU121" i="1"/>
  <c r="BW121" i="1"/>
  <c r="CE121" i="1"/>
  <c r="BU87" i="1"/>
  <c r="BW87" i="1"/>
  <c r="CE87" i="1"/>
  <c r="BU71" i="1"/>
  <c r="BW71" i="1"/>
  <c r="CE71" i="1"/>
  <c r="BU68" i="1"/>
  <c r="BW68" i="1"/>
  <c r="CE68" i="1"/>
  <c r="BW67" i="1"/>
  <c r="CE67" i="1"/>
  <c r="BW12" i="1"/>
  <c r="CE12" i="1"/>
  <c r="BW10" i="1"/>
  <c r="CE10" i="1"/>
  <c r="BW7" i="1"/>
  <c r="CF275" i="1"/>
  <c r="CE275" i="1"/>
  <c r="CF281" i="1"/>
  <c r="CE281" i="1"/>
  <c r="CF266" i="1"/>
  <c r="CE266" i="1"/>
  <c r="CE7" i="1"/>
  <c r="CE283" i="1"/>
  <c r="CF283" i="1"/>
  <c r="CE270" i="1"/>
  <c r="CF270" i="1"/>
  <c r="CE253" i="1"/>
  <c r="CF253" i="1"/>
  <c r="CE257" i="1"/>
  <c r="CF257" i="1"/>
  <c r="CE273" i="1"/>
  <c r="CF273" i="1"/>
  <c r="CE265" i="1"/>
  <c r="CF265" i="1"/>
  <c r="CE274" i="1"/>
  <c r="CF274" i="1"/>
  <c r="CE278" i="1"/>
  <c r="CF278" i="1"/>
  <c r="CE260" i="1"/>
  <c r="CF260" i="1"/>
  <c r="CE282" i="1"/>
  <c r="CF282" i="1"/>
  <c r="CE272" i="1"/>
  <c r="CF272" i="1"/>
  <c r="CE264" i="1"/>
  <c r="CF264" i="1"/>
  <c r="CE259" i="1"/>
  <c r="CF259" i="1"/>
  <c r="CF262" i="1"/>
  <c r="CE256" i="1"/>
  <c r="CF256" i="1"/>
  <c r="CE261" i="1"/>
  <c r="CF261" i="1"/>
  <c r="CE255" i="1"/>
  <c r="CF255" i="1"/>
  <c r="CF263" i="1"/>
  <c r="CE254" i="1"/>
  <c r="CF254" i="1"/>
  <c r="CE276" i="1"/>
  <c r="CE271" i="1"/>
  <c r="Y287" i="1"/>
  <c r="Y291" i="1"/>
  <c r="S292" i="1"/>
  <c r="BX220" i="1"/>
  <c r="BX202" i="1"/>
  <c r="BX48" i="1"/>
  <c r="BU178" i="1"/>
  <c r="BW178" i="1"/>
  <c r="CE178" i="1"/>
  <c r="BW287" i="1"/>
  <c r="T292" i="1"/>
  <c r="S293" i="1"/>
  <c r="U292" i="1"/>
  <c r="T293" i="1"/>
  <c r="BO91" i="1"/>
  <c r="BO136" i="1"/>
  <c r="BO232" i="1"/>
  <c r="BO139" i="1"/>
  <c r="BO99" i="1"/>
  <c r="BO140" i="1"/>
  <c r="BO92" i="1"/>
  <c r="BX232" i="1"/>
  <c r="CF232" i="1"/>
  <c r="BX140" i="1"/>
  <c r="CF140" i="1"/>
  <c r="BX91" i="1"/>
  <c r="CF91" i="1"/>
  <c r="BX136" i="1"/>
  <c r="CF136" i="1"/>
  <c r="BX99" i="1"/>
  <c r="CF99" i="1"/>
  <c r="BX139" i="1"/>
  <c r="CF139" i="1"/>
  <c r="BX92" i="1"/>
  <c r="CF92" i="1"/>
  <c r="U293" i="1"/>
  <c r="V292" i="1"/>
  <c r="BQ139" i="1"/>
  <c r="BQ99" i="1"/>
  <c r="BQ92" i="1"/>
  <c r="BQ140" i="1"/>
  <c r="BA81" i="1"/>
  <c r="BO150" i="1"/>
  <c r="BA150" i="1"/>
  <c r="BA137" i="1"/>
  <c r="BA135" i="1"/>
  <c r="BO149" i="1"/>
  <c r="BA149" i="1"/>
  <c r="BO148" i="1"/>
  <c r="BA148" i="1"/>
  <c r="BO146" i="1"/>
  <c r="BA146" i="1"/>
  <c r="BO145" i="1"/>
  <c r="BA145" i="1"/>
  <c r="BO142" i="1"/>
  <c r="BA142" i="1"/>
  <c r="BO141" i="1"/>
  <c r="BA141" i="1"/>
  <c r="BO138" i="1"/>
  <c r="BA138" i="1"/>
  <c r="BO131" i="1"/>
  <c r="BA131" i="1"/>
  <c r="BO130" i="1"/>
  <c r="BA130" i="1"/>
  <c r="BO129" i="1"/>
  <c r="BA129" i="1"/>
  <c r="BO126" i="1"/>
  <c r="BA126" i="1"/>
  <c r="BO123" i="1"/>
  <c r="BA123" i="1"/>
  <c r="BO26" i="1"/>
  <c r="BA26" i="1"/>
  <c r="BO25" i="1"/>
  <c r="BA25" i="1"/>
  <c r="BO24" i="1"/>
  <c r="BA24" i="1"/>
  <c r="BO122" i="1"/>
  <c r="BA122" i="1"/>
  <c r="BO117" i="1"/>
  <c r="BA117" i="1"/>
  <c r="BO84" i="1"/>
  <c r="BO116" i="1"/>
  <c r="BO115" i="1"/>
  <c r="BA115" i="1"/>
  <c r="BO114" i="1"/>
  <c r="BA114" i="1"/>
  <c r="BA87" i="1"/>
  <c r="BO112" i="1"/>
  <c r="BA112" i="1"/>
  <c r="BO110" i="1"/>
  <c r="BA110" i="1"/>
  <c r="BO109" i="1"/>
  <c r="BA109" i="1"/>
  <c r="BO85" i="1"/>
  <c r="BA85" i="1"/>
  <c r="BO108" i="1"/>
  <c r="BA108" i="1"/>
  <c r="BO106" i="1"/>
  <c r="BO70" i="1"/>
  <c r="BA70" i="1"/>
  <c r="BO104" i="1"/>
  <c r="BA104" i="1"/>
  <c r="BO103" i="1"/>
  <c r="BA103" i="1"/>
  <c r="BO101" i="1"/>
  <c r="BA101" i="1"/>
  <c r="BO98" i="1"/>
  <c r="BA98" i="1"/>
  <c r="BA71" i="1"/>
  <c r="BA69" i="1"/>
  <c r="BO97" i="1"/>
  <c r="BA97" i="1"/>
  <c r="BO94" i="1"/>
  <c r="BA94" i="1"/>
  <c r="BO93" i="1"/>
  <c r="BA93" i="1"/>
  <c r="BO83" i="1"/>
  <c r="BO82" i="1"/>
  <c r="BA82" i="1"/>
  <c r="BO81" i="1"/>
  <c r="BO80" i="1"/>
  <c r="BO79" i="1"/>
  <c r="BA68" i="1"/>
  <c r="BA67" i="1"/>
  <c r="BO65" i="1"/>
  <c r="BO63" i="1"/>
  <c r="BA63" i="1"/>
  <c r="BO50" i="1"/>
  <c r="BO22" i="1"/>
  <c r="BA22" i="1"/>
  <c r="BO21" i="1"/>
  <c r="BA21" i="1"/>
  <c r="BQ48" i="1"/>
  <c r="BO14" i="1"/>
  <c r="BO47" i="1"/>
  <c r="BO46" i="1"/>
  <c r="BO45" i="1"/>
  <c r="BO42" i="1"/>
  <c r="BO39" i="1"/>
  <c r="BA39" i="1"/>
  <c r="BO32" i="1"/>
  <c r="BA32" i="1"/>
  <c r="BO31" i="1"/>
  <c r="BA31" i="1"/>
  <c r="BO28" i="1"/>
  <c r="BA28" i="1"/>
  <c r="BO27" i="1"/>
  <c r="BA27" i="1"/>
  <c r="BO13" i="1"/>
  <c r="BO20" i="1"/>
  <c r="BA20" i="1"/>
  <c r="BO19" i="1"/>
  <c r="BA19" i="1"/>
  <c r="BO18" i="1"/>
  <c r="BA18" i="1"/>
  <c r="BO17" i="1"/>
  <c r="BO16" i="1"/>
  <c r="BA16" i="1"/>
  <c r="BO15" i="1"/>
  <c r="BO151" i="1"/>
  <c r="BO11" i="1"/>
  <c r="BA11" i="1"/>
  <c r="BO9" i="1"/>
  <c r="BA154" i="1"/>
  <c r="BI154" i="1"/>
  <c r="BO245" i="1"/>
  <c r="BA245" i="1"/>
  <c r="BO244" i="1"/>
  <c r="BA244" i="1"/>
  <c r="BO243" i="1"/>
  <c r="BA243" i="1"/>
  <c r="BO242" i="1"/>
  <c r="BA242" i="1"/>
  <c r="BO233" i="1"/>
  <c r="BA233" i="1"/>
  <c r="BO200" i="1"/>
  <c r="BA200" i="1"/>
  <c r="BO231" i="1"/>
  <c r="BA231" i="1"/>
  <c r="BO230" i="1"/>
  <c r="BA230" i="1"/>
  <c r="BO228" i="1"/>
  <c r="BA228" i="1"/>
  <c r="BO227" i="1"/>
  <c r="BA227" i="1"/>
  <c r="BO225" i="1"/>
  <c r="BA225" i="1"/>
  <c r="BO223" i="1"/>
  <c r="BA223" i="1"/>
  <c r="BO185" i="1"/>
  <c r="BA185" i="1"/>
  <c r="BO222" i="1"/>
  <c r="BA222" i="1"/>
  <c r="BQ220" i="1"/>
  <c r="BO218" i="1"/>
  <c r="BA218" i="1"/>
  <c r="BO239" i="1"/>
  <c r="BO216" i="1"/>
  <c r="BA216" i="1"/>
  <c r="BO213" i="1"/>
  <c r="BA213" i="1"/>
  <c r="BO211" i="1"/>
  <c r="BA211" i="1"/>
  <c r="BO183" i="1"/>
  <c r="BA183" i="1"/>
  <c r="BO210" i="1"/>
  <c r="BA210" i="1"/>
  <c r="BO208" i="1"/>
  <c r="BA208" i="1"/>
  <c r="BO187" i="1"/>
  <c r="BA187" i="1"/>
  <c r="BO198" i="1"/>
  <c r="BA198" i="1"/>
  <c r="BO180" i="1"/>
  <c r="BA180" i="1"/>
  <c r="BO206" i="1"/>
  <c r="BA206" i="1"/>
  <c r="BO194" i="1"/>
  <c r="BA194" i="1"/>
  <c r="BO236" i="1"/>
  <c r="BA236" i="1"/>
  <c r="BA235" i="1"/>
  <c r="BO182" i="1"/>
  <c r="BA182" i="1"/>
  <c r="BO204" i="1"/>
  <c r="BA204" i="1"/>
  <c r="BQ202" i="1"/>
  <c r="BO201" i="1"/>
  <c r="BA201" i="1"/>
  <c r="BA193" i="1"/>
  <c r="BO199" i="1"/>
  <c r="BA199" i="1"/>
  <c r="BO240" i="1"/>
  <c r="BA240" i="1"/>
  <c r="BA179" i="1"/>
  <c r="BA178" i="1"/>
  <c r="BO177" i="1"/>
  <c r="BA177" i="1"/>
  <c r="BO176" i="1"/>
  <c r="BA176" i="1"/>
  <c r="BO175" i="1"/>
  <c r="BO174" i="1"/>
  <c r="BA173" i="1"/>
  <c r="BO172" i="1"/>
  <c r="BO171" i="1"/>
  <c r="BA171" i="1"/>
  <c r="BA170" i="1"/>
  <c r="BO168" i="1"/>
  <c r="BO166" i="1"/>
  <c r="BA166" i="1"/>
  <c r="BO165" i="1"/>
  <c r="BA165" i="1"/>
  <c r="BO161" i="1"/>
  <c r="BA161" i="1"/>
  <c r="BA160" i="1"/>
  <c r="BO156" i="1"/>
  <c r="BA156" i="1"/>
  <c r="BX155" i="1"/>
  <c r="BA155" i="1"/>
  <c r="BO60" i="1"/>
  <c r="BA60" i="1"/>
  <c r="BA49" i="1"/>
  <c r="BA38" i="1"/>
  <c r="BA36" i="1"/>
  <c r="BA56" i="1"/>
  <c r="BA34" i="1"/>
  <c r="BA33" i="1"/>
  <c r="BO154" i="1"/>
  <c r="BM137" i="1"/>
  <c r="BO137" i="1"/>
  <c r="BM68" i="1"/>
  <c r="BO68" i="1"/>
  <c r="BO173" i="1"/>
  <c r="BM235" i="1"/>
  <c r="BO235" i="1"/>
  <c r="BO246" i="1"/>
  <c r="CF246" i="1"/>
  <c r="BO53" i="1"/>
  <c r="CF53" i="1"/>
  <c r="BM170" i="1"/>
  <c r="BO170" i="1"/>
  <c r="BP60" i="1"/>
  <c r="BP22" i="1"/>
  <c r="BP21" i="1"/>
  <c r="BP48" i="1"/>
  <c r="BP47" i="1"/>
  <c r="BP45" i="1"/>
  <c r="BP39" i="1"/>
  <c r="BP38" i="1"/>
  <c r="BP36" i="1"/>
  <c r="BP56" i="1"/>
  <c r="BP34" i="1"/>
  <c r="BP33" i="1"/>
  <c r="BP32" i="1"/>
  <c r="BP31" i="1"/>
  <c r="BP28" i="1"/>
  <c r="BP27" i="1"/>
  <c r="BP13" i="1"/>
  <c r="BP16" i="1"/>
  <c r="BP151" i="1"/>
  <c r="BP4" i="1"/>
  <c r="BP7" i="1"/>
  <c r="BP8" i="1"/>
  <c r="BP9" i="1"/>
  <c r="BP10" i="1"/>
  <c r="BP11" i="1"/>
  <c r="BP3" i="1"/>
  <c r="BM135" i="1"/>
  <c r="BO135" i="1"/>
  <c r="BM178" i="1"/>
  <c r="BO178" i="1"/>
  <c r="BM121" i="1"/>
  <c r="BO121" i="1"/>
  <c r="CF121" i="1"/>
  <c r="BO120" i="1"/>
  <c r="CF120" i="1"/>
  <c r="BO118" i="1"/>
  <c r="CF118" i="1"/>
  <c r="BM67" i="1"/>
  <c r="BO67" i="1"/>
  <c r="BM66" i="1"/>
  <c r="BO66" i="1"/>
  <c r="BO279" i="1"/>
  <c r="CF279" i="1"/>
  <c r="BA276" i="1"/>
  <c r="BG276" i="1"/>
  <c r="BO285" i="1"/>
  <c r="BO58" i="1"/>
  <c r="BG58" i="1"/>
  <c r="BA58" i="1"/>
  <c r="AP58" i="1"/>
  <c r="AO58" i="1"/>
  <c r="AN58" i="1"/>
  <c r="BO276" i="1"/>
  <c r="BG101" i="1"/>
  <c r="BG49" i="1"/>
  <c r="BO153" i="1"/>
  <c r="CF153" i="1"/>
  <c r="BM270" i="1"/>
  <c r="BO270" i="1"/>
  <c r="BM12" i="1"/>
  <c r="BO12" i="1"/>
  <c r="AN71" i="1"/>
  <c r="AN106" i="1"/>
  <c r="AN83" i="1"/>
  <c r="AN80" i="1"/>
  <c r="AN82" i="1"/>
  <c r="AN115" i="1"/>
  <c r="AN67" i="1"/>
  <c r="AN68" i="1"/>
  <c r="AN79" i="1"/>
  <c r="AN27" i="1"/>
  <c r="AN13" i="1"/>
  <c r="AN12" i="1"/>
  <c r="AN4" i="1"/>
  <c r="AN7" i="1"/>
  <c r="AN8" i="1"/>
  <c r="AN9" i="1"/>
  <c r="AN10" i="1"/>
  <c r="AN11" i="1"/>
  <c r="AP154" i="1"/>
  <c r="AP124" i="1"/>
  <c r="AP96" i="1"/>
  <c r="AP152" i="1"/>
  <c r="AP57" i="1"/>
  <c r="AP138" i="1"/>
  <c r="AP131" i="1"/>
  <c r="AP130" i="1"/>
  <c r="AP129" i="1"/>
  <c r="AP126" i="1"/>
  <c r="AP70" i="1"/>
  <c r="AP71" i="1"/>
  <c r="AP106" i="1"/>
  <c r="AP83" i="1"/>
  <c r="AP82" i="1"/>
  <c r="AP80" i="1"/>
  <c r="AP79" i="1"/>
  <c r="AP68" i="1"/>
  <c r="AP67" i="1"/>
  <c r="AP115" i="1"/>
  <c r="AP66" i="1"/>
  <c r="AP65" i="1"/>
  <c r="AP13" i="1"/>
  <c r="AP19" i="1"/>
  <c r="AP18" i="1"/>
  <c r="AP17" i="1"/>
  <c r="AP16" i="1"/>
  <c r="AP12" i="1"/>
  <c r="AP11" i="1"/>
  <c r="AP10" i="1"/>
  <c r="AP9" i="1"/>
  <c r="AP8" i="1"/>
  <c r="AP7" i="1"/>
  <c r="AP4" i="1"/>
  <c r="AP3" i="1"/>
  <c r="AO3" i="1"/>
  <c r="AO124" i="1"/>
  <c r="AO152" i="1"/>
  <c r="AO57" i="1"/>
  <c r="AO138" i="1"/>
  <c r="AO131" i="1"/>
  <c r="AO130" i="1"/>
  <c r="AO129" i="1"/>
  <c r="AO126" i="1"/>
  <c r="AO70" i="1"/>
  <c r="AO71" i="1"/>
  <c r="AO83" i="1"/>
  <c r="AO82" i="1"/>
  <c r="AO80" i="1"/>
  <c r="AO79" i="1"/>
  <c r="AO68" i="1"/>
  <c r="AO67" i="1"/>
  <c r="AO115" i="1"/>
  <c r="AO66" i="1"/>
  <c r="AO65" i="1"/>
  <c r="AO63" i="1"/>
  <c r="AO13" i="1"/>
  <c r="AO19" i="1"/>
  <c r="AO18" i="1"/>
  <c r="AO17" i="1"/>
  <c r="AO16" i="1"/>
  <c r="AO12" i="1"/>
  <c r="AO11" i="1"/>
  <c r="AO10" i="1"/>
  <c r="AO9" i="1"/>
  <c r="AO8" i="1"/>
  <c r="AO7" i="1"/>
  <c r="AO4" i="1"/>
  <c r="AN3" i="1"/>
  <c r="BM266" i="1"/>
  <c r="BO266" i="1"/>
  <c r="AN199" i="1"/>
  <c r="AN245" i="1"/>
  <c r="AN244" i="1"/>
  <c r="AN231" i="1"/>
  <c r="AN248" i="1"/>
  <c r="AN251" i="1"/>
  <c r="AN209" i="1"/>
  <c r="AN203" i="1"/>
  <c r="AN30" i="1"/>
  <c r="AN154" i="1"/>
  <c r="AN216" i="1"/>
  <c r="AN213" i="1"/>
  <c r="AN233" i="1"/>
  <c r="AN211" i="1"/>
  <c r="AN183" i="1"/>
  <c r="AN210" i="1"/>
  <c r="AN208" i="1"/>
  <c r="AN187" i="1"/>
  <c r="AN96" i="1"/>
  <c r="AN198" i="1"/>
  <c r="AN180" i="1"/>
  <c r="AN57" i="1"/>
  <c r="AN60" i="1"/>
  <c r="AN138" i="1"/>
  <c r="AN131" i="1"/>
  <c r="AN130" i="1"/>
  <c r="AN129" i="1"/>
  <c r="AN126" i="1"/>
  <c r="AN70" i="1"/>
  <c r="AN66" i="1"/>
  <c r="AN65" i="1"/>
  <c r="AN19" i="1"/>
  <c r="AN18" i="1"/>
  <c r="AN17" i="1"/>
  <c r="AN16" i="1"/>
  <c r="BM160" i="1"/>
  <c r="BO160" i="1"/>
  <c r="BM179" i="1"/>
  <c r="BO179" i="1"/>
  <c r="BM69" i="1"/>
  <c r="BO69" i="1"/>
  <c r="BM71" i="1"/>
  <c r="BO71" i="1"/>
  <c r="BE174" i="1"/>
  <c r="BG174" i="1"/>
  <c r="BG166" i="1"/>
  <c r="AR166" i="1"/>
  <c r="AT166" i="1"/>
  <c r="BM7" i="1"/>
  <c r="BO7" i="1"/>
  <c r="BO248" i="1"/>
  <c r="BO251" i="1"/>
  <c r="BO61" i="1"/>
  <c r="BO247" i="1"/>
  <c r="BO224" i="1"/>
  <c r="BO217" i="1"/>
  <c r="CF217" i="1"/>
  <c r="BO209" i="1"/>
  <c r="CF209" i="1"/>
  <c r="BO203" i="1"/>
  <c r="CF203" i="1"/>
  <c r="BO162" i="1"/>
  <c r="CF162" i="1"/>
  <c r="BO30" i="1"/>
  <c r="BO144" i="1"/>
  <c r="BO124" i="1"/>
  <c r="BO96" i="1"/>
  <c r="BM193" i="1"/>
  <c r="BO193" i="1"/>
  <c r="BO152" i="1"/>
  <c r="BO167" i="1"/>
  <c r="CF167" i="1"/>
  <c r="BO57" i="1"/>
  <c r="BO44" i="1"/>
  <c r="BO41" i="1"/>
  <c r="BO37" i="1"/>
  <c r="BM87" i="1"/>
  <c r="BO87" i="1"/>
  <c r="BO215" i="1"/>
  <c r="CF215" i="1"/>
  <c r="BO229" i="1"/>
  <c r="BO226" i="1"/>
  <c r="BO219" i="1"/>
  <c r="CF219" i="1"/>
  <c r="BO214" i="1"/>
  <c r="CF214" i="1"/>
  <c r="BM10" i="1"/>
  <c r="BO3" i="1"/>
  <c r="BM275" i="1"/>
  <c r="BO275" i="1"/>
  <c r="BO274" i="1"/>
  <c r="BO272" i="1"/>
  <c r="BO283" i="1"/>
  <c r="BO273" i="1"/>
  <c r="BO282" i="1"/>
  <c r="BO281" i="1"/>
  <c r="BO271" i="1"/>
  <c r="BO278" i="1"/>
  <c r="BO265" i="1"/>
  <c r="BO264" i="1"/>
  <c r="BO263" i="1"/>
  <c r="BO262" i="1"/>
  <c r="BO261" i="1"/>
  <c r="BO260" i="1"/>
  <c r="BO259" i="1"/>
  <c r="BO254" i="1"/>
  <c r="BO253" i="1"/>
  <c r="BO257" i="1"/>
  <c r="BO256" i="1"/>
  <c r="BO255" i="1"/>
  <c r="BG17" i="1"/>
  <c r="BE16" i="1"/>
  <c r="BG16" i="1"/>
  <c r="BG279" i="1"/>
  <c r="BI279" i="1"/>
  <c r="BG124" i="1"/>
  <c r="BA124" i="1"/>
  <c r="BE131" i="1"/>
  <c r="BG131" i="1"/>
  <c r="BE83" i="1"/>
  <c r="BG83" i="1"/>
  <c r="BE266" i="1"/>
  <c r="BG266" i="1"/>
  <c r="BE10" i="1"/>
  <c r="BG10" i="1"/>
  <c r="BE193" i="1"/>
  <c r="BG193" i="1"/>
  <c r="BG81" i="1"/>
  <c r="BE87" i="1"/>
  <c r="BG87" i="1"/>
  <c r="BG79" i="1"/>
  <c r="BI79" i="1"/>
  <c r="BE7" i="1"/>
  <c r="BG7" i="1"/>
  <c r="BE9" i="1"/>
  <c r="BG9" i="1"/>
  <c r="BA251" i="1"/>
  <c r="BA61" i="1"/>
  <c r="BE11" i="1"/>
  <c r="BG11" i="1"/>
  <c r="BE175" i="1"/>
  <c r="BG175" i="1"/>
  <c r="BE171" i="1"/>
  <c r="BG171" i="1"/>
  <c r="AY174" i="1"/>
  <c r="BA174" i="1"/>
  <c r="BE179" i="1"/>
  <c r="BG179" i="1"/>
  <c r="BE180" i="1"/>
  <c r="BG180" i="1"/>
  <c r="BG152" i="1"/>
  <c r="BA152" i="1"/>
  <c r="BG150" i="1"/>
  <c r="BG283" i="1"/>
  <c r="BI283" i="1"/>
  <c r="BG273" i="1"/>
  <c r="BI273" i="1"/>
  <c r="BG270" i="1"/>
  <c r="BG282" i="1"/>
  <c r="BI282" i="1"/>
  <c r="BG281" i="1"/>
  <c r="BI281" i="1"/>
  <c r="BA270" i="1"/>
  <c r="BG275" i="1"/>
  <c r="BA275" i="1"/>
  <c r="BB275" i="1"/>
  <c r="BE161" i="1"/>
  <c r="BG161" i="1"/>
  <c r="BE170" i="1"/>
  <c r="BG170" i="1"/>
  <c r="BE178" i="1"/>
  <c r="BG178" i="1"/>
  <c r="BE176" i="1"/>
  <c r="BG176" i="1"/>
  <c r="BE66" i="1"/>
  <c r="BE65" i="1"/>
  <c r="BG65" i="1"/>
  <c r="BG13" i="1"/>
  <c r="BI13" i="1"/>
  <c r="BE70" i="1"/>
  <c r="BG70" i="1"/>
  <c r="BI42" i="1"/>
  <c r="BI14" i="1"/>
  <c r="BI45" i="1"/>
  <c r="BI48" i="1"/>
  <c r="BI47" i="1"/>
  <c r="BI46" i="1"/>
  <c r="BI220" i="1"/>
  <c r="BI202" i="1"/>
  <c r="BG251" i="1"/>
  <c r="BG61" i="1"/>
  <c r="BG274" i="1"/>
  <c r="BG272" i="1"/>
  <c r="BG271" i="1"/>
  <c r="BG278" i="1"/>
  <c r="BG265" i="1"/>
  <c r="BG264" i="1"/>
  <c r="BG263" i="1"/>
  <c r="BG262" i="1"/>
  <c r="BG261" i="1"/>
  <c r="BG260" i="1"/>
  <c r="BG259" i="1"/>
  <c r="BG254" i="1"/>
  <c r="BG253" i="1"/>
  <c r="BG257" i="1"/>
  <c r="BG256" i="1"/>
  <c r="BG255" i="1"/>
  <c r="BG201" i="1"/>
  <c r="BG245" i="1"/>
  <c r="BG244" i="1"/>
  <c r="BG243" i="1"/>
  <c r="BG242" i="1"/>
  <c r="BG240" i="1"/>
  <c r="BG248" i="1"/>
  <c r="BG247" i="1"/>
  <c r="BG60" i="1"/>
  <c r="BK224" i="1"/>
  <c r="BG224" i="1"/>
  <c r="BG230" i="1"/>
  <c r="BG227" i="1"/>
  <c r="BK217" i="1"/>
  <c r="BG217" i="1"/>
  <c r="BG216" i="1"/>
  <c r="BK209" i="1"/>
  <c r="BG209" i="1"/>
  <c r="BG225" i="1"/>
  <c r="BG213" i="1"/>
  <c r="BG199" i="1"/>
  <c r="BK203" i="1"/>
  <c r="BG203" i="1"/>
  <c r="BK162" i="1"/>
  <c r="BG162" i="1"/>
  <c r="BK30" i="1"/>
  <c r="BG30" i="1"/>
  <c r="BG231" i="1"/>
  <c r="BG228" i="1"/>
  <c r="BG38" i="1"/>
  <c r="BG144" i="1"/>
  <c r="BG36" i="1"/>
  <c r="BG223" i="1"/>
  <c r="BG198" i="1"/>
  <c r="BG155" i="1"/>
  <c r="BG236" i="1"/>
  <c r="BG96" i="1"/>
  <c r="BG165" i="1"/>
  <c r="BG233" i="1"/>
  <c r="BG56" i="1"/>
  <c r="BG185" i="1"/>
  <c r="BG34" i="1"/>
  <c r="BG206" i="1"/>
  <c r="BG211" i="1"/>
  <c r="BG222" i="1"/>
  <c r="BG167" i="1"/>
  <c r="BG235" i="1"/>
  <c r="BG33" i="1"/>
  <c r="BG204" i="1"/>
  <c r="BG177" i="1"/>
  <c r="BG183" i="1"/>
  <c r="BG187" i="1"/>
  <c r="BG182" i="1"/>
  <c r="BG210" i="1"/>
  <c r="BG218" i="1"/>
  <c r="BG57" i="1"/>
  <c r="BG194" i="1"/>
  <c r="BG208" i="1"/>
  <c r="BG160" i="1"/>
  <c r="BG156" i="1"/>
  <c r="BG173" i="1"/>
  <c r="BG44" i="1"/>
  <c r="BG41" i="1"/>
  <c r="BG3" i="1"/>
  <c r="BG4" i="1"/>
  <c r="BG126" i="1"/>
  <c r="BG82" i="1"/>
  <c r="BG80" i="1"/>
  <c r="BI80" i="1"/>
  <c r="BG129" i="1"/>
  <c r="BG93" i="1"/>
  <c r="BG112" i="1"/>
  <c r="BG37" i="1"/>
  <c r="BG63" i="1"/>
  <c r="BG138" i="1"/>
  <c r="BG18" i="1"/>
  <c r="BG141" i="1"/>
  <c r="BG94" i="1"/>
  <c r="BG19" i="1"/>
  <c r="BG97" i="1"/>
  <c r="BG69" i="1"/>
  <c r="BG67" i="1"/>
  <c r="BG25" i="1"/>
  <c r="BG110" i="1"/>
  <c r="BG122" i="1"/>
  <c r="BG114" i="1"/>
  <c r="BG24" i="1"/>
  <c r="BG31" i="1"/>
  <c r="BG215" i="1"/>
  <c r="BG137" i="1"/>
  <c r="BG109" i="1"/>
  <c r="BG130" i="1"/>
  <c r="BG85" i="1"/>
  <c r="BG146" i="1"/>
  <c r="BG145" i="1"/>
  <c r="BG123" i="1"/>
  <c r="BG103" i="1"/>
  <c r="BG108" i="1"/>
  <c r="BG229" i="1"/>
  <c r="BG135" i="1"/>
  <c r="BG20" i="1"/>
  <c r="BG149" i="1"/>
  <c r="BG115" i="1"/>
  <c r="BG117" i="1"/>
  <c r="BG226" i="1"/>
  <c r="BG32" i="1"/>
  <c r="BG219" i="1"/>
  <c r="BG148" i="1"/>
  <c r="BG26" i="1"/>
  <c r="BG214" i="1"/>
  <c r="BG104" i="1"/>
  <c r="BG28" i="1"/>
  <c r="BG22" i="1"/>
  <c r="BG98" i="1"/>
  <c r="BG39" i="1"/>
  <c r="BG21" i="1"/>
  <c r="BG71" i="1"/>
  <c r="BG68" i="1"/>
  <c r="BG142" i="1"/>
  <c r="BE12" i="1"/>
  <c r="BG12" i="1"/>
  <c r="BG27" i="1"/>
  <c r="BA41" i="1"/>
  <c r="BA224" i="1"/>
  <c r="AY10" i="1"/>
  <c r="BA10" i="1"/>
  <c r="AY175" i="1"/>
  <c r="BA175" i="1"/>
  <c r="AY83" i="1"/>
  <c r="BA83" i="1"/>
  <c r="AY65" i="1"/>
  <c r="BA65" i="1"/>
  <c r="AY66" i="1"/>
  <c r="BA66" i="1"/>
  <c r="AT4" i="1"/>
  <c r="BA4" i="1"/>
  <c r="AY9" i="1"/>
  <c r="BA9" i="1"/>
  <c r="BB9" i="1"/>
  <c r="AY12" i="1"/>
  <c r="BA12" i="1"/>
  <c r="AY7" i="1"/>
  <c r="BA7" i="1"/>
  <c r="BA3" i="1"/>
  <c r="AT3" i="1"/>
  <c r="AV3" i="1"/>
  <c r="BB283" i="1"/>
  <c r="BB273" i="1"/>
  <c r="BB282" i="1"/>
  <c r="BB281" i="1"/>
  <c r="BB220" i="1"/>
  <c r="BB202" i="1"/>
  <c r="BB48" i="1"/>
  <c r="BB14" i="1"/>
  <c r="BB47" i="1"/>
  <c r="BB46" i="1"/>
  <c r="BB45" i="1"/>
  <c r="BB42" i="1"/>
  <c r="BA274" i="1"/>
  <c r="BA272" i="1"/>
  <c r="BA271" i="1"/>
  <c r="BA278" i="1"/>
  <c r="BA266" i="1"/>
  <c r="BA265" i="1"/>
  <c r="BA264" i="1"/>
  <c r="BA263" i="1"/>
  <c r="BA262" i="1"/>
  <c r="BA261" i="1"/>
  <c r="BA260" i="1"/>
  <c r="BA259" i="1"/>
  <c r="BA254" i="1"/>
  <c r="BA253" i="1"/>
  <c r="BA257" i="1"/>
  <c r="BA256" i="1"/>
  <c r="BA255" i="1"/>
  <c r="BA248" i="1"/>
  <c r="BA247" i="1"/>
  <c r="BA229" i="1"/>
  <c r="BA226" i="1"/>
  <c r="BA219" i="1"/>
  <c r="BA217" i="1"/>
  <c r="BA215" i="1"/>
  <c r="BA214" i="1"/>
  <c r="BA209" i="1"/>
  <c r="BA203" i="1"/>
  <c r="BA167" i="1"/>
  <c r="BA162" i="1"/>
  <c r="BA30" i="1"/>
  <c r="BA144" i="1"/>
  <c r="BA96" i="1"/>
  <c r="BA57" i="1"/>
  <c r="BA44" i="1"/>
  <c r="BA37" i="1"/>
  <c r="AR199" i="1"/>
  <c r="AT199" i="1"/>
  <c r="AT57" i="1"/>
  <c r="AT155" i="1"/>
  <c r="AV155" i="1"/>
  <c r="AR235" i="1"/>
  <c r="AT235" i="1"/>
  <c r="AT236" i="1"/>
  <c r="AR265" i="1"/>
  <c r="AT265" i="1"/>
  <c r="AT240" i="1"/>
  <c r="AE115" i="1"/>
  <c r="AR115" i="1"/>
  <c r="AT115" i="1"/>
  <c r="AT278" i="1"/>
  <c r="AT206" i="1"/>
  <c r="AV206" i="1"/>
  <c r="AT177" i="1"/>
  <c r="AV177" i="1"/>
  <c r="AW194" i="1"/>
  <c r="AT182" i="1"/>
  <c r="AT83" i="1"/>
  <c r="AT63" i="1"/>
  <c r="AT123" i="1"/>
  <c r="AT44" i="1"/>
  <c r="AT160" i="1"/>
  <c r="AV231" i="1"/>
  <c r="AT231" i="1"/>
  <c r="AT243" i="1"/>
  <c r="AT230" i="1"/>
  <c r="AT229" i="1"/>
  <c r="AT228" i="1"/>
  <c r="AT227" i="1"/>
  <c r="AV227" i="1"/>
  <c r="AT226" i="1"/>
  <c r="AT225" i="1"/>
  <c r="AV225" i="1"/>
  <c r="AT175" i="1"/>
  <c r="AV175" i="1"/>
  <c r="AT171" i="1"/>
  <c r="AV171" i="1"/>
  <c r="AT204" i="1"/>
  <c r="AT174" i="1"/>
  <c r="AT193" i="1"/>
  <c r="AR67" i="1"/>
  <c r="AT67" i="1"/>
  <c r="AT266" i="1"/>
  <c r="AT271" i="1"/>
  <c r="AV271" i="1"/>
  <c r="AT65" i="1"/>
  <c r="AT274" i="1"/>
  <c r="AT272" i="1"/>
  <c r="AT254" i="1"/>
  <c r="AT253" i="1"/>
  <c r="AR170" i="1"/>
  <c r="AT170" i="1"/>
  <c r="AT82" i="1"/>
  <c r="AV82" i="1"/>
  <c r="AT32" i="1"/>
  <c r="AR11" i="1"/>
  <c r="AT11" i="1"/>
  <c r="AT233" i="1"/>
  <c r="AV233" i="1"/>
  <c r="AR167" i="1"/>
  <c r="AT167" i="1"/>
  <c r="AT194" i="1"/>
  <c r="AT156" i="1"/>
  <c r="AT39" i="1"/>
  <c r="AT37" i="1"/>
  <c r="AV37" i="1"/>
  <c r="AT215" i="1"/>
  <c r="AT18" i="1"/>
  <c r="AV18" i="1"/>
  <c r="AR161" i="1"/>
  <c r="AT161" i="1"/>
  <c r="AT217" i="1"/>
  <c r="AV217" i="1"/>
  <c r="AT109" i="1"/>
  <c r="AV109" i="1"/>
  <c r="AT137" i="1"/>
  <c r="AT117" i="1"/>
  <c r="AT22" i="1"/>
  <c r="AT70" i="1"/>
  <c r="AT135" i="1"/>
  <c r="AT21" i="1"/>
  <c r="AT87" i="1"/>
  <c r="AT165" i="1"/>
  <c r="AT185" i="1"/>
  <c r="AT247" i="1"/>
  <c r="AT162" i="1"/>
  <c r="AR173" i="1"/>
  <c r="AT173" i="1"/>
  <c r="AT214" i="1"/>
  <c r="AR178" i="1"/>
  <c r="AT178" i="1"/>
  <c r="AT222" i="1"/>
  <c r="AT219" i="1"/>
  <c r="AT223" i="1"/>
  <c r="AT242" i="1"/>
  <c r="AT218" i="1"/>
  <c r="AT114" i="1"/>
  <c r="AT264" i="1"/>
  <c r="AT257" i="1"/>
  <c r="AT255" i="1"/>
  <c r="AT256" i="1"/>
  <c r="AT112" i="1"/>
  <c r="AT80" i="1"/>
  <c r="BB80" i="1"/>
  <c r="AT122" i="1"/>
  <c r="AT110" i="1"/>
  <c r="AT85" i="1"/>
  <c r="AT108" i="1"/>
  <c r="AT68" i="1"/>
  <c r="AT263" i="1"/>
  <c r="AT262" i="1"/>
  <c r="AT261" i="1"/>
  <c r="AT260" i="1"/>
  <c r="AT259" i="1"/>
  <c r="AR71" i="1"/>
  <c r="AT71" i="1"/>
  <c r="AT19" i="1"/>
  <c r="AV19" i="1"/>
  <c r="AE129" i="1"/>
  <c r="AR176" i="1"/>
  <c r="AT176" i="1"/>
  <c r="AR131" i="1"/>
  <c r="AT131" i="1"/>
  <c r="AR10" i="1"/>
  <c r="AT10" i="1"/>
  <c r="AR7" i="1"/>
  <c r="AT12" i="1"/>
  <c r="AT69" i="1"/>
  <c r="AT93" i="1"/>
  <c r="AT98" i="1"/>
  <c r="AT103" i="1"/>
  <c r="AT96" i="1"/>
  <c r="AT97" i="1"/>
  <c r="AT66" i="1"/>
  <c r="AT94" i="1"/>
  <c r="AT104" i="1"/>
  <c r="AT38" i="1"/>
  <c r="AT36" i="1"/>
  <c r="AT56" i="1"/>
  <c r="AT33" i="1"/>
  <c r="AT30" i="1"/>
  <c r="AT60" i="1"/>
  <c r="AT34" i="1"/>
  <c r="AT20" i="1"/>
  <c r="AT27" i="1"/>
  <c r="AT16" i="1"/>
  <c r="AT31" i="1"/>
  <c r="AT28" i="1"/>
  <c r="AT25" i="1"/>
  <c r="AT24" i="1"/>
  <c r="AT26" i="1"/>
  <c r="AT245" i="1"/>
  <c r="AV245" i="1"/>
  <c r="AT180" i="1"/>
  <c r="AT210" i="1"/>
  <c r="AT183" i="1"/>
  <c r="AT187" i="1"/>
  <c r="AT179" i="1"/>
  <c r="AT248" i="1"/>
  <c r="AT244" i="1"/>
  <c r="AT213" i="1"/>
  <c r="AT208" i="1"/>
  <c r="AT198" i="1"/>
  <c r="AT209" i="1"/>
  <c r="AT203" i="1"/>
  <c r="AT216" i="1"/>
  <c r="AT211" i="1"/>
  <c r="AV208" i="1"/>
  <c r="AT146" i="1"/>
  <c r="AT130" i="1"/>
  <c r="AT142" i="1"/>
  <c r="AT144" i="1"/>
  <c r="AT138" i="1"/>
  <c r="AT148" i="1"/>
  <c r="AT145" i="1"/>
  <c r="AT129" i="1"/>
  <c r="AT126" i="1"/>
  <c r="AT141" i="1"/>
  <c r="AT149" i="1"/>
  <c r="AV129" i="1"/>
  <c r="AV279" i="1"/>
  <c r="AV273" i="1"/>
  <c r="AV283" i="1"/>
  <c r="AV282" i="1"/>
  <c r="AV281" i="1"/>
  <c r="AV266" i="1"/>
  <c r="AV274" i="1"/>
  <c r="AV272" i="1"/>
  <c r="AV263" i="1"/>
  <c r="AV259" i="1"/>
  <c r="AV262" i="1"/>
  <c r="AV261" i="1"/>
  <c r="AV260" i="1"/>
  <c r="AV254" i="1"/>
  <c r="AV253" i="1"/>
  <c r="AV255" i="1"/>
  <c r="AV256" i="1"/>
  <c r="AV257" i="1"/>
  <c r="AV204" i="1"/>
  <c r="AV229" i="1"/>
  <c r="AV228" i="1"/>
  <c r="AV230" i="1"/>
  <c r="AV174" i="1"/>
  <c r="AV224" i="1"/>
  <c r="AV156" i="1"/>
  <c r="AV220" i="1"/>
  <c r="AV202" i="1"/>
  <c r="AV222" i="1"/>
  <c r="AV219" i="1"/>
  <c r="AV178" i="1"/>
  <c r="AV223" i="1"/>
  <c r="AV176" i="1"/>
  <c r="AV218" i="1"/>
  <c r="AV242" i="1"/>
  <c r="AV170" i="1"/>
  <c r="AV185" i="1"/>
  <c r="AV165" i="1"/>
  <c r="AV247" i="1"/>
  <c r="AV162" i="1"/>
  <c r="AV173" i="1"/>
  <c r="AV161" i="1"/>
  <c r="AV160" i="1"/>
  <c r="AV235" i="1"/>
  <c r="AV194" i="1"/>
  <c r="AV216" i="1"/>
  <c r="AV199" i="1"/>
  <c r="AV203" i="1"/>
  <c r="AV209" i="1"/>
  <c r="AV198" i="1"/>
  <c r="AV213" i="1"/>
  <c r="AV244" i="1"/>
  <c r="AV248" i="1"/>
  <c r="AV179" i="1"/>
  <c r="AV187" i="1"/>
  <c r="AV183" i="1"/>
  <c r="AV210" i="1"/>
  <c r="AV180" i="1"/>
  <c r="AV211" i="1"/>
  <c r="AV38" i="1"/>
  <c r="AV36" i="1"/>
  <c r="AV56" i="1"/>
  <c r="AV33" i="1"/>
  <c r="AV60" i="1"/>
  <c r="AV34" i="1"/>
  <c r="AV154" i="1"/>
  <c r="AV137" i="1"/>
  <c r="AV135" i="1"/>
  <c r="AV141" i="1"/>
  <c r="AV145" i="1"/>
  <c r="AV148" i="1"/>
  <c r="AV131" i="1"/>
  <c r="AV138" i="1"/>
  <c r="AV144" i="1"/>
  <c r="AV142" i="1"/>
  <c r="AV130" i="1"/>
  <c r="AV146" i="1"/>
  <c r="AV149" i="1"/>
  <c r="AV25" i="1"/>
  <c r="AV24" i="1"/>
  <c r="AV114" i="1"/>
  <c r="AV87" i="1"/>
  <c r="AV117" i="1"/>
  <c r="AV70" i="1"/>
  <c r="AV94" i="1"/>
  <c r="AV66" i="1"/>
  <c r="AV71" i="1"/>
  <c r="AV97" i="1"/>
  <c r="AV96" i="1"/>
  <c r="AV103" i="1"/>
  <c r="AV98" i="1"/>
  <c r="AV93" i="1"/>
  <c r="AV69" i="1"/>
  <c r="AV104" i="1"/>
  <c r="AV112" i="1"/>
  <c r="AV85" i="1"/>
  <c r="AV68" i="1"/>
  <c r="AV80" i="1"/>
  <c r="AV110" i="1"/>
  <c r="AV122" i="1"/>
  <c r="AV108" i="1"/>
  <c r="AV7" i="1"/>
  <c r="AV48" i="1"/>
  <c r="AV47" i="1"/>
  <c r="AV45" i="1"/>
  <c r="AV14" i="1"/>
  <c r="AV12" i="1"/>
  <c r="AV10" i="1"/>
  <c r="AV44" i="1"/>
  <c r="AV42" i="1"/>
  <c r="AV9" i="1"/>
  <c r="AV46" i="1"/>
  <c r="AV41" i="1"/>
  <c r="AV22" i="1"/>
  <c r="AV21" i="1"/>
  <c r="AV20" i="1"/>
  <c r="AV27" i="1"/>
  <c r="AV16" i="1"/>
  <c r="AV31" i="1"/>
  <c r="AV11" i="1"/>
  <c r="AV28" i="1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4" i="3"/>
  <c r="T25" i="3"/>
  <c r="O4" i="3"/>
  <c r="P4" i="3"/>
  <c r="Q4" i="3"/>
  <c r="R4" i="3"/>
  <c r="S4" i="3"/>
  <c r="O5" i="3"/>
  <c r="P5" i="3"/>
  <c r="Q5" i="3"/>
  <c r="R5" i="3"/>
  <c r="S5" i="3"/>
  <c r="O6" i="3"/>
  <c r="P6" i="3"/>
  <c r="Q6" i="3"/>
  <c r="R6" i="3"/>
  <c r="S6" i="3"/>
  <c r="O7" i="3"/>
  <c r="P7" i="3"/>
  <c r="Q7" i="3"/>
  <c r="R7" i="3"/>
  <c r="S7" i="3"/>
  <c r="O8" i="3"/>
  <c r="P8" i="3"/>
  <c r="Q8" i="3"/>
  <c r="R8" i="3"/>
  <c r="S8" i="3"/>
  <c r="O9" i="3"/>
  <c r="P9" i="3"/>
  <c r="Q9" i="3"/>
  <c r="R9" i="3"/>
  <c r="S9" i="3"/>
  <c r="O10" i="3"/>
  <c r="P10" i="3"/>
  <c r="Q10" i="3"/>
  <c r="R10" i="3"/>
  <c r="S10" i="3"/>
  <c r="O11" i="3"/>
  <c r="P11" i="3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O18" i="3"/>
  <c r="P18" i="3"/>
  <c r="Q18" i="3"/>
  <c r="R18" i="3"/>
  <c r="S18" i="3"/>
  <c r="O19" i="3"/>
  <c r="P19" i="3"/>
  <c r="Q19" i="3"/>
  <c r="R19" i="3"/>
  <c r="S19" i="3"/>
  <c r="O20" i="3"/>
  <c r="P20" i="3"/>
  <c r="Q20" i="3"/>
  <c r="R20" i="3"/>
  <c r="S20" i="3"/>
  <c r="O21" i="3"/>
  <c r="P21" i="3"/>
  <c r="Q21" i="3"/>
  <c r="R21" i="3"/>
  <c r="S21" i="3"/>
  <c r="O22" i="3"/>
  <c r="P22" i="3"/>
  <c r="Q22" i="3"/>
  <c r="R22" i="3"/>
  <c r="S22" i="3"/>
  <c r="O24" i="3"/>
  <c r="P24" i="3"/>
  <c r="Q24" i="3"/>
  <c r="R24" i="3"/>
  <c r="S24" i="3"/>
  <c r="O25" i="3"/>
  <c r="P25" i="3"/>
  <c r="Q25" i="3"/>
  <c r="R25" i="3"/>
  <c r="S25" i="3"/>
  <c r="P3" i="3"/>
  <c r="Q3" i="3"/>
  <c r="R3" i="3"/>
  <c r="S3" i="3"/>
  <c r="O3" i="3"/>
  <c r="T3" i="3"/>
  <c r="CF216" i="1"/>
  <c r="CF193" i="1"/>
  <c r="CF161" i="1"/>
  <c r="CF171" i="1"/>
  <c r="CF177" i="1"/>
  <c r="CF239" i="1"/>
  <c r="CF172" i="1"/>
  <c r="CF201" i="1"/>
  <c r="CF236" i="1"/>
  <c r="CF198" i="1"/>
  <c r="CF183" i="1"/>
  <c r="CF185" i="1"/>
  <c r="CF170" i="1"/>
  <c r="CF165" i="1"/>
  <c r="CF218" i="1"/>
  <c r="CF174" i="1"/>
  <c r="CF194" i="1"/>
  <c r="CF187" i="1"/>
  <c r="CF211" i="1"/>
  <c r="CF179" i="1"/>
  <c r="CF166" i="1"/>
  <c r="CF175" i="1"/>
  <c r="CF204" i="1"/>
  <c r="CF210" i="1"/>
  <c r="CF160" i="1"/>
  <c r="CF235" i="1"/>
  <c r="CF156" i="1"/>
  <c r="CF168" i="1"/>
  <c r="CF206" i="1"/>
  <c r="CF208" i="1"/>
  <c r="CF213" i="1"/>
  <c r="CF222" i="1"/>
  <c r="CF200" i="1"/>
  <c r="CF180" i="1"/>
  <c r="CF178" i="1"/>
  <c r="CF173" i="1"/>
  <c r="CF176" i="1"/>
  <c r="CF199" i="1"/>
  <c r="CF182" i="1"/>
  <c r="AT287" i="1"/>
  <c r="BA287" i="1"/>
  <c r="BX154" i="1"/>
  <c r="CF154" i="1"/>
  <c r="BX217" i="1"/>
  <c r="BX162" i="1"/>
  <c r="BX285" i="1"/>
  <c r="CF285" i="1"/>
  <c r="BX124" i="1"/>
  <c r="CF124" i="1"/>
  <c r="BX229" i="1"/>
  <c r="CF229" i="1"/>
  <c r="BX41" i="1"/>
  <c r="CF41" i="1"/>
  <c r="BX152" i="1"/>
  <c r="CF152" i="1"/>
  <c r="BX144" i="1"/>
  <c r="CF144" i="1"/>
  <c r="BX209" i="1"/>
  <c r="BX61" i="1"/>
  <c r="CF61" i="1"/>
  <c r="BX214" i="1"/>
  <c r="BX215" i="1"/>
  <c r="BX44" i="1"/>
  <c r="CF44" i="1"/>
  <c r="BX30" i="1"/>
  <c r="CF30" i="1"/>
  <c r="BX251" i="1"/>
  <c r="CF251" i="1"/>
  <c r="BX58" i="1"/>
  <c r="CF58" i="1"/>
  <c r="BX219" i="1"/>
  <c r="BX57" i="1"/>
  <c r="CF57" i="1"/>
  <c r="BX96" i="1"/>
  <c r="CF96" i="1"/>
  <c r="BX224" i="1"/>
  <c r="CF224" i="1"/>
  <c r="BX248" i="1"/>
  <c r="CF248" i="1"/>
  <c r="BX226" i="1"/>
  <c r="CF226" i="1"/>
  <c r="BX37" i="1"/>
  <c r="CF37" i="1"/>
  <c r="BX167" i="1"/>
  <c r="BX203" i="1"/>
  <c r="BX247" i="1"/>
  <c r="CF247" i="1"/>
  <c r="BX178" i="1"/>
  <c r="BX161" i="1"/>
  <c r="BX166" i="1"/>
  <c r="BX171" i="1"/>
  <c r="BX175" i="1"/>
  <c r="BX177" i="1"/>
  <c r="BX240" i="1"/>
  <c r="CF240" i="1"/>
  <c r="BX204" i="1"/>
  <c r="BX239" i="1"/>
  <c r="BX193" i="1"/>
  <c r="BX179" i="1"/>
  <c r="BX156" i="1"/>
  <c r="BX201" i="1"/>
  <c r="BX236" i="1"/>
  <c r="BX206" i="1"/>
  <c r="BX198" i="1"/>
  <c r="BX208" i="1"/>
  <c r="BX183" i="1"/>
  <c r="BX213" i="1"/>
  <c r="BX222" i="1"/>
  <c r="BX223" i="1"/>
  <c r="CF223" i="1"/>
  <c r="BX227" i="1"/>
  <c r="CF227" i="1"/>
  <c r="BX230" i="1"/>
  <c r="CF230" i="1"/>
  <c r="BX200" i="1"/>
  <c r="BX242" i="1"/>
  <c r="CF242" i="1"/>
  <c r="BX244" i="1"/>
  <c r="CF244" i="1"/>
  <c r="BX170" i="1"/>
  <c r="BX173" i="1"/>
  <c r="BX174" i="1"/>
  <c r="BX194" i="1"/>
  <c r="BX180" i="1"/>
  <c r="BX187" i="1"/>
  <c r="BX210" i="1"/>
  <c r="BX211" i="1"/>
  <c r="BX216" i="1"/>
  <c r="BX185" i="1"/>
  <c r="BX225" i="1"/>
  <c r="CF225" i="1"/>
  <c r="BX228" i="1"/>
  <c r="CF228" i="1"/>
  <c r="BX231" i="1"/>
  <c r="CF231" i="1"/>
  <c r="BX233" i="1"/>
  <c r="CF233" i="1"/>
  <c r="BX243" i="1"/>
  <c r="CF243" i="1"/>
  <c r="BX245" i="1"/>
  <c r="CF245" i="1"/>
  <c r="BX160" i="1"/>
  <c r="BX235" i="1"/>
  <c r="BX165" i="1"/>
  <c r="BX176" i="1"/>
  <c r="BX199" i="1"/>
  <c r="BX182" i="1"/>
  <c r="BX218" i="1"/>
  <c r="BX254" i="1"/>
  <c r="BX275" i="1"/>
  <c r="BX137" i="1"/>
  <c r="CF137" i="1"/>
  <c r="BX56" i="1"/>
  <c r="CF56" i="1"/>
  <c r="BX9" i="1"/>
  <c r="CF9" i="1"/>
  <c r="BX27" i="1"/>
  <c r="CF27" i="1"/>
  <c r="BX39" i="1"/>
  <c r="CF39" i="1"/>
  <c r="BX47" i="1"/>
  <c r="CF47" i="1"/>
  <c r="BX97" i="1"/>
  <c r="CF97" i="1"/>
  <c r="BX98" i="1"/>
  <c r="CF98" i="1"/>
  <c r="BX70" i="1"/>
  <c r="CF70" i="1"/>
  <c r="BX115" i="1"/>
  <c r="CF115" i="1"/>
  <c r="BX24" i="1"/>
  <c r="CF24" i="1"/>
  <c r="BX126" i="1"/>
  <c r="CF126" i="1"/>
  <c r="BX138" i="1"/>
  <c r="CF138" i="1"/>
  <c r="BX142" i="1"/>
  <c r="CF142" i="1"/>
  <c r="BX149" i="1"/>
  <c r="CF149" i="1"/>
  <c r="BX150" i="1"/>
  <c r="CF150" i="1"/>
  <c r="BX259" i="1"/>
  <c r="BX263" i="1"/>
  <c r="BX271" i="1"/>
  <c r="BX3" i="1"/>
  <c r="CF3" i="1"/>
  <c r="BX87" i="1"/>
  <c r="CF87" i="1"/>
  <c r="BX266" i="1"/>
  <c r="BX12" i="1"/>
  <c r="CF12" i="1"/>
  <c r="BX66" i="1"/>
  <c r="CF66" i="1"/>
  <c r="BX18" i="1"/>
  <c r="CF18" i="1"/>
  <c r="BX20" i="1"/>
  <c r="CF20" i="1"/>
  <c r="BX42" i="1"/>
  <c r="CF42" i="1"/>
  <c r="BX14" i="1"/>
  <c r="CF14" i="1"/>
  <c r="BX63" i="1"/>
  <c r="CF63" i="1"/>
  <c r="BX79" i="1"/>
  <c r="CF79" i="1"/>
  <c r="BX82" i="1"/>
  <c r="CF82" i="1"/>
  <c r="BX106" i="1"/>
  <c r="CF106" i="1"/>
  <c r="BX85" i="1"/>
  <c r="CF85" i="1"/>
  <c r="BX110" i="1"/>
  <c r="CF110" i="1"/>
  <c r="BX116" i="1"/>
  <c r="CF116" i="1"/>
  <c r="BX255" i="1"/>
  <c r="BX33" i="1"/>
  <c r="CF33" i="1"/>
  <c r="BX38" i="1"/>
  <c r="CF38" i="1"/>
  <c r="BX60" i="1"/>
  <c r="CF60" i="1"/>
  <c r="BX15" i="1"/>
  <c r="CF15" i="1"/>
  <c r="BX31" i="1"/>
  <c r="CF31" i="1"/>
  <c r="BX21" i="1"/>
  <c r="CF21" i="1"/>
  <c r="BX93" i="1"/>
  <c r="CF93" i="1"/>
  <c r="BX103" i="1"/>
  <c r="CF103" i="1"/>
  <c r="BX117" i="1"/>
  <c r="CF117" i="1"/>
  <c r="BX26" i="1"/>
  <c r="CF26" i="1"/>
  <c r="BX130" i="1"/>
  <c r="CF130" i="1"/>
  <c r="BX146" i="1"/>
  <c r="CF146" i="1"/>
  <c r="BX256" i="1"/>
  <c r="BX257" i="1"/>
  <c r="BX260" i="1"/>
  <c r="BX264" i="1"/>
  <c r="BX272" i="1"/>
  <c r="BX4" i="1"/>
  <c r="CF4" i="1"/>
  <c r="BX7" i="1"/>
  <c r="CF7" i="1"/>
  <c r="BX71" i="1"/>
  <c r="CF71" i="1"/>
  <c r="BX270" i="1"/>
  <c r="BX276" i="1"/>
  <c r="BX67" i="1"/>
  <c r="CF67" i="1"/>
  <c r="BX8" i="1"/>
  <c r="CF8" i="1"/>
  <c r="BX34" i="1"/>
  <c r="CF34" i="1"/>
  <c r="BX36" i="1"/>
  <c r="CF36" i="1"/>
  <c r="BX49" i="1"/>
  <c r="CF49" i="1"/>
  <c r="BX11" i="1"/>
  <c r="CF11" i="1"/>
  <c r="BX16" i="1"/>
  <c r="CF16" i="1"/>
  <c r="BX13" i="1"/>
  <c r="CF13" i="1"/>
  <c r="BX28" i="1"/>
  <c r="CF28" i="1"/>
  <c r="BX32" i="1"/>
  <c r="CF32" i="1"/>
  <c r="BX45" i="1"/>
  <c r="CF45" i="1"/>
  <c r="BX22" i="1"/>
  <c r="CF22" i="1"/>
  <c r="BX65" i="1"/>
  <c r="CF65" i="1"/>
  <c r="BX80" i="1"/>
  <c r="CF80" i="1"/>
  <c r="BX83" i="1"/>
  <c r="CF83" i="1"/>
  <c r="BX94" i="1"/>
  <c r="CF94" i="1"/>
  <c r="BX101" i="1"/>
  <c r="CF101" i="1"/>
  <c r="BX104" i="1"/>
  <c r="CF104" i="1"/>
  <c r="BX114" i="1"/>
  <c r="CF114" i="1"/>
  <c r="BX84" i="1"/>
  <c r="CF84" i="1"/>
  <c r="BX122" i="1"/>
  <c r="CF122" i="1"/>
  <c r="BX25" i="1"/>
  <c r="CF25" i="1"/>
  <c r="BX123" i="1"/>
  <c r="CF123" i="1"/>
  <c r="BX129" i="1"/>
  <c r="CF129" i="1"/>
  <c r="BX131" i="1"/>
  <c r="CF131" i="1"/>
  <c r="BX141" i="1"/>
  <c r="CF141" i="1"/>
  <c r="BX145" i="1"/>
  <c r="CF145" i="1"/>
  <c r="BX148" i="1"/>
  <c r="CF148" i="1"/>
  <c r="BX262" i="1"/>
  <c r="BX278" i="1"/>
  <c r="BX253" i="1"/>
  <c r="BX261" i="1"/>
  <c r="BX265" i="1"/>
  <c r="BX274" i="1"/>
  <c r="BX69" i="1"/>
  <c r="CF69" i="1"/>
  <c r="BX135" i="1"/>
  <c r="CF135" i="1"/>
  <c r="BX68" i="1"/>
  <c r="CF68" i="1"/>
  <c r="BX151" i="1"/>
  <c r="CF151" i="1"/>
  <c r="BX17" i="1"/>
  <c r="CF17" i="1"/>
  <c r="BX19" i="1"/>
  <c r="CF19" i="1"/>
  <c r="BX46" i="1"/>
  <c r="CF46" i="1"/>
  <c r="BX50" i="1"/>
  <c r="CF50" i="1"/>
  <c r="BX81" i="1"/>
  <c r="CF81" i="1"/>
  <c r="BX108" i="1"/>
  <c r="CF108" i="1"/>
  <c r="BX109" i="1"/>
  <c r="CF109" i="1"/>
  <c r="BX112" i="1"/>
  <c r="CF112" i="1"/>
  <c r="W292" i="1"/>
  <c r="V293" i="1"/>
  <c r="BQ80" i="1"/>
  <c r="BQ151" i="1"/>
  <c r="BQ282" i="1"/>
  <c r="BX282" i="1"/>
  <c r="BQ15" i="1"/>
  <c r="BQ47" i="1"/>
  <c r="BQ168" i="1"/>
  <c r="BX168" i="1"/>
  <c r="BQ121" i="1"/>
  <c r="BX121" i="1"/>
  <c r="BQ273" i="1"/>
  <c r="BX273" i="1"/>
  <c r="BQ14" i="1"/>
  <c r="BQ120" i="1"/>
  <c r="BX120" i="1"/>
  <c r="BQ45" i="1"/>
  <c r="BQ281" i="1"/>
  <c r="BX281" i="1"/>
  <c r="BQ46" i="1"/>
  <c r="BQ50" i="1"/>
  <c r="BQ283" i="1"/>
  <c r="BX283" i="1"/>
  <c r="BQ279" i="1"/>
  <c r="BX279" i="1"/>
  <c r="BQ172" i="1"/>
  <c r="BX172" i="1"/>
  <c r="BQ13" i="1"/>
  <c r="BQ84" i="1"/>
  <c r="BQ17" i="1"/>
  <c r="BQ8" i="1"/>
  <c r="BQ246" i="1"/>
  <c r="BX246" i="1"/>
  <c r="BQ153" i="1"/>
  <c r="BX153" i="1"/>
  <c r="BQ118" i="1"/>
  <c r="BX118" i="1"/>
  <c r="BQ53" i="1"/>
  <c r="BX53" i="1"/>
  <c r="BQ42" i="1"/>
  <c r="BQ79" i="1"/>
  <c r="BQ106" i="1"/>
  <c r="BQ116" i="1"/>
  <c r="BQ239" i="1"/>
  <c r="BI222" i="1"/>
  <c r="BI129" i="1"/>
  <c r="BO10" i="1"/>
  <c r="BI26" i="1"/>
  <c r="BI149" i="1"/>
  <c r="BB130" i="1"/>
  <c r="BB83" i="1"/>
  <c r="BI20" i="1"/>
  <c r="BB180" i="1"/>
  <c r="BI85" i="1"/>
  <c r="BI63" i="1"/>
  <c r="BB244" i="1"/>
  <c r="BI130" i="1"/>
  <c r="BI170" i="1"/>
  <c r="BB233" i="1"/>
  <c r="BI142" i="1"/>
  <c r="BI233" i="1"/>
  <c r="BB20" i="1"/>
  <c r="BB149" i="1"/>
  <c r="BB142" i="1"/>
  <c r="BB26" i="1"/>
  <c r="BI68" i="1"/>
  <c r="BB110" i="1"/>
  <c r="BB18" i="1"/>
  <c r="BI141" i="1"/>
  <c r="BB129" i="1"/>
  <c r="BI148" i="1"/>
  <c r="BI9" i="1"/>
  <c r="BB141" i="1"/>
  <c r="BB31" i="1"/>
  <c r="BB108" i="1"/>
  <c r="BB227" i="1"/>
  <c r="BI31" i="1"/>
  <c r="BI83" i="1"/>
  <c r="BB148" i="1"/>
  <c r="BB103" i="1"/>
  <c r="BI69" i="1"/>
  <c r="BB222" i="1"/>
  <c r="BI112" i="1"/>
  <c r="BI103" i="1"/>
  <c r="BI19" i="1"/>
  <c r="BI193" i="1"/>
  <c r="BI25" i="1"/>
  <c r="BI206" i="1"/>
  <c r="BI227" i="1"/>
  <c r="BI150" i="1"/>
  <c r="BI244" i="1"/>
  <c r="BI81" i="1"/>
  <c r="BQ103" i="1"/>
  <c r="BI36" i="1"/>
  <c r="BQ233" i="1"/>
  <c r="BQ244" i="1"/>
  <c r="BQ26" i="1"/>
  <c r="BQ142" i="1"/>
  <c r="BB36" i="1"/>
  <c r="BB137" i="1"/>
  <c r="BI24" i="1"/>
  <c r="BB155" i="1"/>
  <c r="BI137" i="1"/>
  <c r="BI110" i="1"/>
  <c r="BI165" i="1"/>
  <c r="BB24" i="1"/>
  <c r="BB115" i="1"/>
  <c r="BB146" i="1"/>
  <c r="BI146" i="1"/>
  <c r="BI231" i="1"/>
  <c r="BB66" i="1"/>
  <c r="BB242" i="1"/>
  <c r="BI138" i="1"/>
  <c r="BI204" i="1"/>
  <c r="BI242" i="1"/>
  <c r="BI101" i="1"/>
  <c r="BB60" i="1"/>
  <c r="BI179" i="1"/>
  <c r="BB22" i="1"/>
  <c r="BB56" i="1"/>
  <c r="BB230" i="1"/>
  <c r="BQ135" i="1"/>
  <c r="BQ215" i="1"/>
  <c r="BI32" i="1"/>
  <c r="BI175" i="1"/>
  <c r="BI123" i="1"/>
  <c r="BI161" i="1"/>
  <c r="BI201" i="1"/>
  <c r="BI272" i="1"/>
  <c r="BB225" i="1"/>
  <c r="BQ217" i="1"/>
  <c r="BI60" i="1"/>
  <c r="BI56" i="1"/>
  <c r="BB179" i="1"/>
  <c r="BB208" i="1"/>
  <c r="BB112" i="1"/>
  <c r="BB245" i="1"/>
  <c r="BI21" i="1"/>
  <c r="BI177" i="1"/>
  <c r="BI199" i="1"/>
  <c r="BQ170" i="1"/>
  <c r="BQ83" i="1"/>
  <c r="BI93" i="1"/>
  <c r="BB223" i="1"/>
  <c r="BI16" i="1"/>
  <c r="BI194" i="1"/>
  <c r="BB93" i="1"/>
  <c r="BB219" i="1"/>
  <c r="BB171" i="1"/>
  <c r="BQ259" i="1"/>
  <c r="BB4" i="1"/>
  <c r="BI71" i="1"/>
  <c r="BI70" i="1"/>
  <c r="BI183" i="1"/>
  <c r="BI211" i="1"/>
  <c r="BI166" i="1"/>
  <c r="BI173" i="1"/>
  <c r="BB264" i="1"/>
  <c r="BI131" i="1"/>
  <c r="BQ272" i="1"/>
  <c r="BI230" i="1"/>
  <c r="BB16" i="1"/>
  <c r="BQ230" i="1"/>
  <c r="BQ104" i="1"/>
  <c r="BB176" i="1"/>
  <c r="BB65" i="1"/>
  <c r="BI247" i="1"/>
  <c r="BI236" i="1"/>
  <c r="BI257" i="1"/>
  <c r="BB198" i="1"/>
  <c r="BI248" i="1"/>
  <c r="BI219" i="1"/>
  <c r="BI155" i="1"/>
  <c r="BI213" i="1"/>
  <c r="BB71" i="1"/>
  <c r="BB261" i="1"/>
  <c r="BQ57" i="1"/>
  <c r="BI255" i="1"/>
  <c r="BI198" i="1"/>
  <c r="BQ229" i="1"/>
  <c r="BQ108" i="1"/>
  <c r="BQ223" i="1"/>
  <c r="BB165" i="1"/>
  <c r="BI65" i="1"/>
  <c r="BB183" i="1"/>
  <c r="BB213" i="1"/>
  <c r="BB97" i="1"/>
  <c r="BB218" i="1"/>
  <c r="BB32" i="1"/>
  <c r="BB254" i="1"/>
  <c r="BQ3" i="1"/>
  <c r="BI108" i="1"/>
  <c r="BI10" i="1"/>
  <c r="BI97" i="1"/>
  <c r="BI171" i="1"/>
  <c r="BI223" i="1"/>
  <c r="BB177" i="1"/>
  <c r="BQ38" i="1"/>
  <c r="BQ166" i="1"/>
  <c r="BQ173" i="1"/>
  <c r="BQ177" i="1"/>
  <c r="BQ21" i="1"/>
  <c r="BB109" i="1"/>
  <c r="BB211" i="1"/>
  <c r="BB21" i="1"/>
  <c r="BB11" i="1"/>
  <c r="BI96" i="1"/>
  <c r="BB262" i="1"/>
  <c r="BI229" i="1"/>
  <c r="BI182" i="1"/>
  <c r="BI33" i="1"/>
  <c r="BI225" i="1"/>
  <c r="BQ167" i="1"/>
  <c r="BQ160" i="1"/>
  <c r="BQ206" i="1"/>
  <c r="BQ208" i="1"/>
  <c r="BQ227" i="1"/>
  <c r="BQ200" i="1"/>
  <c r="BQ242" i="1"/>
  <c r="BI7" i="1"/>
  <c r="BB12" i="1"/>
  <c r="BB33" i="1"/>
  <c r="BB194" i="1"/>
  <c r="BQ257" i="1"/>
  <c r="BI263" i="1"/>
  <c r="BI11" i="1"/>
  <c r="BQ275" i="1"/>
  <c r="BQ154" i="1"/>
  <c r="BI210" i="1"/>
  <c r="BB185" i="1"/>
  <c r="BI228" i="1"/>
  <c r="BB199" i="1"/>
  <c r="BB255" i="1"/>
  <c r="BB173" i="1"/>
  <c r="BQ219" i="1"/>
  <c r="BI253" i="1"/>
  <c r="BI117" i="1"/>
  <c r="BI109" i="1"/>
  <c r="BI122" i="1"/>
  <c r="BI208" i="1"/>
  <c r="BI245" i="1"/>
  <c r="BI275" i="1"/>
  <c r="BI27" i="1"/>
  <c r="BB257" i="1"/>
  <c r="BQ254" i="1"/>
  <c r="BI44" i="1"/>
  <c r="BI187" i="1"/>
  <c r="BB117" i="1"/>
  <c r="BB204" i="1"/>
  <c r="BB231" i="1"/>
  <c r="BQ224" i="1"/>
  <c r="BI38" i="1"/>
  <c r="BI274" i="1"/>
  <c r="BQ256" i="1"/>
  <c r="BQ263" i="1"/>
  <c r="BQ276" i="1"/>
  <c r="BQ171" i="1"/>
  <c r="BQ183" i="1"/>
  <c r="BQ93" i="1"/>
  <c r="BQ71" i="1"/>
  <c r="BQ174" i="1"/>
  <c r="BQ209" i="1"/>
  <c r="BB170" i="1"/>
  <c r="BI144" i="1"/>
  <c r="BQ278" i="1"/>
  <c r="BQ261" i="1"/>
  <c r="BQ235" i="1"/>
  <c r="BQ210" i="1"/>
  <c r="BQ19" i="1"/>
  <c r="BQ22" i="1"/>
  <c r="BQ70" i="1"/>
  <c r="BQ109" i="1"/>
  <c r="BQ123" i="1"/>
  <c r="BQ193" i="1"/>
  <c r="BB243" i="1"/>
  <c r="BQ66" i="1"/>
  <c r="BB70" i="1"/>
  <c r="BB235" i="1"/>
  <c r="BI261" i="1"/>
  <c r="BQ56" i="1"/>
  <c r="BQ9" i="1"/>
  <c r="BQ97" i="1"/>
  <c r="BQ101" i="1"/>
  <c r="BQ115" i="1"/>
  <c r="BB193" i="1"/>
  <c r="BI176" i="1"/>
  <c r="BB240" i="1"/>
  <c r="BB63" i="1"/>
  <c r="BB28" i="1"/>
  <c r="BB131" i="1"/>
  <c r="BB260" i="1"/>
  <c r="BB122" i="1"/>
  <c r="BB123" i="1"/>
  <c r="BB274" i="1"/>
  <c r="BI30" i="1"/>
  <c r="BI265" i="1"/>
  <c r="BQ36" i="1"/>
  <c r="BQ155" i="1"/>
  <c r="BQ165" i="1"/>
  <c r="BI22" i="1"/>
  <c r="BI226" i="1"/>
  <c r="BG66" i="1"/>
  <c r="BI66" i="1"/>
  <c r="BI4" i="1"/>
  <c r="BI178" i="1"/>
  <c r="BI185" i="1"/>
  <c r="BI224" i="1"/>
  <c r="BI243" i="1"/>
  <c r="BI254" i="1"/>
  <c r="BQ25" i="1"/>
  <c r="BQ141" i="1"/>
  <c r="BQ150" i="1"/>
  <c r="BI94" i="1"/>
  <c r="BB210" i="1"/>
  <c r="BB114" i="1"/>
  <c r="BI167" i="1"/>
  <c r="BQ226" i="1"/>
  <c r="BB19" i="1"/>
  <c r="BB265" i="1"/>
  <c r="BQ203" i="1"/>
  <c r="BI264" i="1"/>
  <c r="BI28" i="1"/>
  <c r="BI114" i="1"/>
  <c r="BI180" i="1"/>
  <c r="BI235" i="1"/>
  <c r="BQ199" i="1"/>
  <c r="BQ11" i="1"/>
  <c r="BQ18" i="1"/>
  <c r="BQ65" i="1"/>
  <c r="BI240" i="1"/>
  <c r="BQ255" i="1"/>
  <c r="BI203" i="1"/>
  <c r="BB263" i="1"/>
  <c r="BI37" i="1"/>
  <c r="BI3" i="1"/>
  <c r="BI160" i="1"/>
  <c r="BI209" i="1"/>
  <c r="BI259" i="1"/>
  <c r="BQ262" i="1"/>
  <c r="BQ58" i="1"/>
  <c r="BQ236" i="1"/>
  <c r="BQ198" i="1"/>
  <c r="BQ216" i="1"/>
  <c r="BQ185" i="1"/>
  <c r="BQ68" i="1"/>
  <c r="BQ24" i="1"/>
  <c r="BI126" i="1"/>
  <c r="BB69" i="1"/>
  <c r="BQ264" i="1"/>
  <c r="BI115" i="1"/>
  <c r="BI162" i="1"/>
  <c r="BI260" i="1"/>
  <c r="BI271" i="1"/>
  <c r="BB161" i="1"/>
  <c r="BQ187" i="1"/>
  <c r="BQ28" i="1"/>
  <c r="BB236" i="1"/>
  <c r="BI278" i="1"/>
  <c r="BI216" i="1"/>
  <c r="BQ4" i="1"/>
  <c r="BQ37" i="1"/>
  <c r="BQ247" i="1"/>
  <c r="BI218" i="1"/>
  <c r="BI104" i="1"/>
  <c r="BQ87" i="1"/>
  <c r="BB25" i="1"/>
  <c r="BB68" i="1"/>
  <c r="BI145" i="1"/>
  <c r="BI217" i="1"/>
  <c r="BQ253" i="1"/>
  <c r="BQ265" i="1"/>
  <c r="BQ41" i="1"/>
  <c r="BQ144" i="1"/>
  <c r="BQ61" i="1"/>
  <c r="BI174" i="1"/>
  <c r="BB178" i="1"/>
  <c r="BB206" i="1"/>
  <c r="BQ218" i="1"/>
  <c r="BQ231" i="1"/>
  <c r="BQ81" i="1"/>
  <c r="BB94" i="1"/>
  <c r="BQ98" i="1"/>
  <c r="BQ117" i="1"/>
  <c r="BB160" i="1"/>
  <c r="BB256" i="1"/>
  <c r="BB7" i="1"/>
  <c r="BI12" i="1"/>
  <c r="BI18" i="1"/>
  <c r="BQ270" i="1"/>
  <c r="BQ266" i="1"/>
  <c r="BQ214" i="1"/>
  <c r="BQ30" i="1"/>
  <c r="BQ211" i="1"/>
  <c r="BQ32" i="1"/>
  <c r="BI82" i="1"/>
  <c r="BQ130" i="1"/>
  <c r="BQ96" i="1"/>
  <c r="BQ152" i="1"/>
  <c r="BQ162" i="1"/>
  <c r="BI156" i="1"/>
  <c r="BB175" i="1"/>
  <c r="BQ179" i="1"/>
  <c r="BI67" i="1"/>
  <c r="BQ122" i="1"/>
  <c r="BQ149" i="1"/>
  <c r="BB216" i="1"/>
  <c r="BI152" i="1"/>
  <c r="BQ260" i="1"/>
  <c r="BQ274" i="1"/>
  <c r="BQ34" i="1"/>
  <c r="BQ7" i="1"/>
  <c r="BQ39" i="1"/>
  <c r="BQ63" i="1"/>
  <c r="BQ131" i="1"/>
  <c r="BI262" i="1"/>
  <c r="BB104" i="1"/>
  <c r="BB85" i="1"/>
  <c r="BB253" i="1"/>
  <c r="BB67" i="1"/>
  <c r="BB228" i="1"/>
  <c r="BB182" i="1"/>
  <c r="BB278" i="1"/>
  <c r="BI87" i="1"/>
  <c r="BI41" i="1"/>
  <c r="BQ44" i="1"/>
  <c r="BQ251" i="1"/>
  <c r="BQ182" i="1"/>
  <c r="BQ194" i="1"/>
  <c r="BQ228" i="1"/>
  <c r="BQ243" i="1"/>
  <c r="BQ12" i="1"/>
  <c r="BQ178" i="1"/>
  <c r="BQ27" i="1"/>
  <c r="BQ138" i="1"/>
  <c r="BB187" i="1"/>
  <c r="BB167" i="1"/>
  <c r="BI34" i="1"/>
  <c r="BI270" i="1"/>
  <c r="BQ49" i="1"/>
  <c r="BQ175" i="1"/>
  <c r="BQ114" i="1"/>
  <c r="BQ129" i="1"/>
  <c r="BQ146" i="1"/>
  <c r="BQ137" i="1"/>
  <c r="BB38" i="1"/>
  <c r="BB87" i="1"/>
  <c r="BQ271" i="1"/>
  <c r="BB138" i="1"/>
  <c r="BQ156" i="1"/>
  <c r="BQ126" i="1"/>
  <c r="BI215" i="1"/>
  <c r="BB126" i="1"/>
  <c r="BI124" i="1"/>
  <c r="BQ60" i="1"/>
  <c r="BQ161" i="1"/>
  <c r="BQ176" i="1"/>
  <c r="BQ240" i="1"/>
  <c r="BQ201" i="1"/>
  <c r="BQ31" i="1"/>
  <c r="BQ69" i="1"/>
  <c r="BQ110" i="1"/>
  <c r="BQ148" i="1"/>
  <c r="BB27" i="1"/>
  <c r="BQ67" i="1"/>
  <c r="BQ94" i="1"/>
  <c r="BB215" i="1"/>
  <c r="BI135" i="1"/>
  <c r="BI98" i="1"/>
  <c r="BB259" i="1"/>
  <c r="BQ124" i="1"/>
  <c r="BB82" i="1"/>
  <c r="BB174" i="1"/>
  <c r="BB145" i="1"/>
  <c r="BB272" i="1"/>
  <c r="BB271" i="1"/>
  <c r="BI214" i="1"/>
  <c r="BB229" i="1"/>
  <c r="BI251" i="1"/>
  <c r="BB166" i="1"/>
  <c r="BQ180" i="1"/>
  <c r="BQ213" i="1"/>
  <c r="BQ222" i="1"/>
  <c r="BQ225" i="1"/>
  <c r="BQ245" i="1"/>
  <c r="BQ16" i="1"/>
  <c r="BQ20" i="1"/>
  <c r="BQ112" i="1"/>
  <c r="BI266" i="1"/>
  <c r="BQ82" i="1"/>
  <c r="BQ85" i="1"/>
  <c r="BQ145" i="1"/>
  <c r="BB3" i="1"/>
  <c r="BB226" i="1"/>
  <c r="BI61" i="1"/>
  <c r="BB98" i="1"/>
  <c r="BB34" i="1"/>
  <c r="BB135" i="1"/>
  <c r="BB39" i="1"/>
  <c r="BB156" i="1"/>
  <c r="BB266" i="1"/>
  <c r="BI39" i="1"/>
  <c r="BQ33" i="1"/>
  <c r="BQ204" i="1"/>
  <c r="BB10" i="1"/>
  <c r="BB214" i="1"/>
  <c r="BI256" i="1"/>
  <c r="BQ248" i="1"/>
  <c r="BI57" i="1"/>
  <c r="CF10" i="1"/>
  <c r="BG287" i="1"/>
  <c r="BO287" i="1"/>
  <c r="X292" i="1"/>
  <c r="W293" i="1"/>
  <c r="BQ10" i="1"/>
  <c r="BX10" i="1"/>
  <c r="Y292" i="1"/>
  <c r="X293" i="1"/>
  <c r="Z292" i="1"/>
  <c r="Y293" i="1"/>
  <c r="AA292" i="1"/>
  <c r="Z293" i="1"/>
  <c r="AB292" i="1"/>
  <c r="AB293" i="1"/>
  <c r="AA293" i="1"/>
  <c r="S39" i="11" l="1"/>
  <c r="S282" i="11" s="1"/>
  <c r="AC282" i="11"/>
  <c r="T282" i="11"/>
  <c r="DN28" i="1"/>
  <c r="DN97" i="1"/>
  <c r="DP290" i="1"/>
  <c r="DQ290" i="1" l="1"/>
  <c r="DR290" i="1" l="1"/>
  <c r="DS290" i="1" l="1"/>
  <c r="DT290" i="1" l="1"/>
  <c r="DU290" i="1" l="1"/>
  <c r="DV290" i="1" l="1"/>
  <c r="DW290" i="1" l="1"/>
  <c r="DX290" i="1" l="1"/>
  <c r="DY290" i="1" l="1"/>
  <c r="DZ290" i="1" l="1"/>
  <c r="DZ291" i="1" l="1"/>
  <c r="DO291" i="1"/>
  <c r="DP291" i="1"/>
  <c r="DQ291" i="1"/>
  <c r="DR291" i="1"/>
  <c r="DS291" i="1"/>
  <c r="DT291" i="1"/>
  <c r="DU291" i="1"/>
  <c r="DV291" i="1"/>
  <c r="DW291" i="1"/>
  <c r="DX291" i="1"/>
  <c r="DY2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tc={45416672-4B68-4740-B585-906973A2779F}</author>
    <author>tc={173BB208-9D16-4206-B8C7-3A76A7545D5F}</author>
    <author>tc={655AEDBB-A1F9-4FA2-8EE0-27EE0571337F}</author>
    <author>tc={59F72326-14F1-4564-85A5-D8D6376E42B7}</author>
    <author>tc={35C417B9-9EFB-4F6F-84CD-A25CA00080DF}</author>
    <author>tc={B2312235-D4A2-4CFE-A2C0-F0D10B5EAD04}</author>
    <author>tc={5739C8E0-4511-4240-94A2-E171107869EF}</author>
    <author>tc={63D15229-198B-4A41-B3B6-E85854EFE33F}</author>
    <author>tc={D13A44A0-2044-49C7-89E5-7FABB0D74D72}</author>
    <author>tc={A4068465-0626-4B20-B0A3-A670556330A9}</author>
    <author>tc={48B3DFF0-D4E1-4CE6-A081-2A284519F203}</author>
    <author>tc={22F22493-1F24-40E7-9066-844C2892FBD9}</author>
    <author>tc={B2A514AD-BBDD-402D-8EDE-A34945DA5330}</author>
    <author>tc={5CB3A521-DEB6-4475-95DC-04A798EF8FD1}</author>
    <author>tc={2EE6F973-26E7-4F36-B01C-F830BBA50E32}</author>
    <author>tc={18474CC5-E67E-49A0-A2F1-E2556ABA9A64}</author>
    <author>tc={F06D7432-8730-4EBB-BA9F-18ED8348CA21}</author>
    <author>tc={15A82AEF-F6A1-4BBF-ADC0-D163FFD94F40}</author>
    <author>Malibiran, Eric</author>
    <author>tc={7EEA5795-B1C5-4650-B6BF-45123D3EDB15}</author>
    <author>tc={0C105C7C-5597-4960-83E6-38F1BD801E8B}</author>
    <author>tc={F1B0C94C-93B1-4B46-82DC-A0CA21E4579D}</author>
    <author>tc={6EE001D4-B86A-45DF-9639-0BB891CAEA07}</author>
    <author>tc={C4FD18E1-5426-40B3-8AE5-0E3928F16C6B}</author>
    <author>tc={0E74BC06-9B1A-45AA-9726-4E7CD07EE405}</author>
    <author>tc={72BF7E0C-0E1A-439E-9A21-FDE19D11353D}</author>
    <author>tc={6D073147-3076-43DE-9B5F-A5FDD1914349}</author>
    <author>tc={A0EB8476-C028-4016-BC06-2744C39CA0AE}</author>
    <author>tc={312B3F75-D749-4F51-96D2-C652198D4B84}</author>
    <author>tc={12AC47D7-4FDA-4997-8525-212B14E86F43}</author>
    <author>tc={378D2062-D932-4793-906D-9980BE70FF65}</author>
    <author>tc={BE02BA47-7100-4ED9-A371-CB57551D709C}</author>
    <author>tc={443887DF-0986-44E4-9DA5-1C6ABB66AD95}</author>
    <author>tc={32E7221C-61D2-473A-A905-AF1231F425AF}</author>
    <author>tc={5A0FF4DA-A8C0-4E66-9ACB-D608A3BC8121}</author>
  </authors>
  <commentList>
    <comment ref="BP14" authorId="0" shapeId="0" xr:uid="{45416672-4B68-4740-B585-906973A2779F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$1MM in eforecast</t>
        </r>
      </text>
    </comment>
    <comment ref="J27" authorId="1" shapeId="0" xr:uid="{173BB208-9D16-4206-B8C7-3A76A7545D5F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utility is not in the scope
Reply:
    utility is not in the scope</t>
        </r>
      </text>
    </comment>
    <comment ref="M27" authorId="2" shapeId="0" xr:uid="{655AEDBB-A1F9-4FA2-8EE0-27EE0571337F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to align with BP and PSC and operation team
Reply:
    LPD is OND'20, CLP is Mar'21, check the possibility to further speed up CLP</t>
        </r>
      </text>
    </comment>
    <comment ref="AD34" authorId="3" shapeId="0" xr:uid="{59F72326-14F1-4564-85A5-D8D6376E42B7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to benchmark with HDL</t>
        </r>
      </text>
    </comment>
    <comment ref="G44" authorId="4" shapeId="0" xr:uid="{35C417B9-9EFB-4F6F-84CD-A25CA00080DF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prob. &lt; 50%</t>
        </r>
      </text>
    </comment>
    <comment ref="E63" authorId="5" shapeId="0" xr:uid="{B2312235-D4A2-4CFE-A2C0-F0D10B5EAD04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PM: Recille</t>
        </r>
      </text>
    </comment>
    <comment ref="BE63" authorId="6" shapeId="0" xr:uid="{5739C8E0-4511-4240-94A2-E171107869EF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Fy1819 spending $617M</t>
        </r>
      </text>
    </comment>
    <comment ref="BM63" authorId="7" shapeId="0" xr:uid="{63D15229-198B-4A41-B3B6-E85854EFE33F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Fy1819 spending $617M</t>
        </r>
      </text>
    </comment>
    <comment ref="BU63" authorId="8" shapeId="0" xr:uid="{D13A44A0-2044-49C7-89E5-7FABB0D74D72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Fy1819 spending $617M</t>
        </r>
      </text>
    </comment>
    <comment ref="CA63" authorId="9" shapeId="0" xr:uid="{A4068465-0626-4B20-B0A3-A670556330A9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Fy1819 spending $617M</t>
        </r>
      </text>
    </comment>
    <comment ref="CI63" authorId="10" shapeId="0" xr:uid="{48B3DFF0-D4E1-4CE6-A081-2A284519F203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Fy1819 spending $617M</t>
        </r>
      </text>
    </comment>
    <comment ref="CO63" authorId="11" shapeId="0" xr:uid="{22F22493-1F24-40E7-9066-844C2892FBD9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Fy1819 spending $617M</t>
        </r>
      </text>
    </comment>
    <comment ref="CU63" authorId="12" shapeId="0" xr:uid="{B2A514AD-BBDD-402D-8EDE-A34945DA5330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Fy1819 spending $617M</t>
        </r>
      </text>
    </comment>
    <comment ref="CX63" authorId="13" shapeId="0" xr:uid="{5CB3A521-DEB6-4475-95DC-04A798EF8FD1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Fy1819 spending $617M</t>
        </r>
      </text>
    </comment>
    <comment ref="DF63" authorId="14" shapeId="0" xr:uid="{2EE6F973-26E7-4F36-B01C-F830BBA50E32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Fy1819 spending $617M</t>
        </r>
      </text>
    </comment>
    <comment ref="E67" authorId="15" shapeId="0" xr:uid="{18474CC5-E67E-49A0-A2F1-E2556ABA9A64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PM: Recille</t>
        </r>
      </text>
    </comment>
    <comment ref="BJ67" authorId="16" shapeId="0" xr:uid="{F06D7432-8730-4EBB-BA9F-18ED8348CA21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Recille inputs</t>
        </r>
      </text>
    </comment>
    <comment ref="AJ85" authorId="17" shapeId="0" xr:uid="{15A82AEF-F6A1-4BBF-ADC0-D163FFD94F40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covers $50M speed-up;</t>
        </r>
      </text>
    </comment>
    <comment ref="CA85" authorId="18" shapeId="0" xr:uid="{3498710A-CC16-4177-90C0-106CF794F438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$83M - book value of idle Masipack &amp; Jinyi + 36% for shipment &amp; handling cost (Note: cost of new Masipack is $180M w/o shipment yet)
$30M extra Masipack buckets (for JY2) + 25% shipment cost
$100M decoupling of UVA 1&amp;3 PDS with 20% risk/contingency
$100M machine modification and installation cost with 20% risk/contingency</t>
        </r>
      </text>
    </comment>
    <comment ref="CI85" authorId="18" shapeId="0" xr:uid="{1D2083B3-D9C2-4B50-B126-51514D737163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$83M - book value of idle Masipack &amp; Jinyi + 36% for shipment &amp; handling cost (Note: cost of new Masipack is $180M w/o shipment yet)
$30M extra Masipack buckets (for JY2) + 25% shipment cost
$100M decoupling of UVA 1&amp;3 PDS with 20% risk/contingency
$100M machine modification and installation cost with 20% risk/contingency</t>
        </r>
      </text>
    </comment>
    <comment ref="CO85" authorId="18" shapeId="0" xr:uid="{A9F989F5-D125-4964-9CD7-B94F87CDC797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$83M - book value of idle Masipack &amp; Jinyi + 36% for shipment &amp; handling cost (Note: cost of new Masipack is $180M w/o shipment yet)
$30M extra Masipack buckets (for JY2) + 25% shipment cost
$100M decoupling of UVA 1&amp;3 PDS with 20% risk/contingency
$100M machine modification and installation cost with 20% risk/contingency</t>
        </r>
      </text>
    </comment>
    <comment ref="CU85" authorId="18" shapeId="0" xr:uid="{4A73FE2B-FCB7-412D-9DE3-6143E6F53041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$83M - book value of idle Masipack &amp; Jinyi + 36% for shipment &amp; handling cost (Note: cost of new Masipack is $180M w/o shipment yet)
$30M extra Masipack buckets (for JY2) + 25% shipment cost
$100M decoupling of UVA 1&amp;3 PDS with 20% risk/contingency
$100M machine modification and installation cost with 20% risk/contingency</t>
        </r>
      </text>
    </comment>
    <comment ref="CX85" authorId="18" shapeId="0" xr:uid="{688672C6-E32D-4509-809A-60AB338EF0E3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$83M - book value of idle Masipack &amp; Jinyi + 36% for shipment &amp; handling cost (Note: cost of new Masipack is $180M w/o shipment yet)
$30M extra Masipack buckets (for JY2) + 25% shipment cost
$100M decoupling of UVA 1&amp;3 PDS with 20% risk/contingency
$100M machine modification and installation cost with 20% risk/contingency</t>
        </r>
      </text>
    </comment>
    <comment ref="DF85" authorId="18" shapeId="0" xr:uid="{EBEAB6AE-A37F-49E6-B525-ED33023F8DF4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$83M - book value of idle Masipack &amp; Jinyi + 36% for shipment &amp; handling cost (Note: cost of new Masipack is $180M w/o shipment yet)
$30M extra Masipack buckets (for JY2) + 25% shipment cost
$100M decoupling of UVA 1&amp;3 PDS with 20% risk/contingency
$100M machine modification and installation cost with 20% risk/contingency</t>
        </r>
      </text>
    </comment>
    <comment ref="CA110" authorId="18" shapeId="0" xr:uid="{2869172E-2ECB-4EE4-B606-DF4CCB3120B2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$10M/sachet machine for sealing bar replacment incl installation &amp; risk fund
$5M/bag machine for sealing bar replacement incl installation &amp; risk
$7M/bag machine for forming tube change</t>
        </r>
      </text>
    </comment>
    <comment ref="CI110" authorId="18" shapeId="0" xr:uid="{7FE47BEE-4C09-4680-99AD-350CC4383272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$10M/sachet machine for sealing bar replacment incl installation &amp; risk fund
$5M/bag machine for sealing bar replacement incl installation &amp; risk
$7M/bag machine for forming tube change</t>
        </r>
      </text>
    </comment>
    <comment ref="CO110" authorId="18" shapeId="0" xr:uid="{6E41513E-5F10-458D-80B1-A80A6D9AE6B9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$10M/sachet machine for sealing bar replacment incl installation &amp; risk fund
$5M/bag machine for sealing bar replacement incl installation &amp; risk
$7M/bag machine for forming tube change</t>
        </r>
      </text>
    </comment>
    <comment ref="CU110" authorId="18" shapeId="0" xr:uid="{12C12668-57FE-4500-9A42-58A737615523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$10M/sachet machine for sealing bar replacment incl installation &amp; risk fund
$5M/bag machine for sealing bar replacement incl installation &amp; risk
$7M/bag machine for forming tube change</t>
        </r>
      </text>
    </comment>
    <comment ref="CX110" authorId="18" shapeId="0" xr:uid="{20247B36-1B4F-4B9B-986E-F269D933D707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$10M/sachet machine for sealing bar replacment incl installation &amp; risk fund
$5M/bag machine for sealing bar replacement incl installation &amp; risk
$7M/bag machine for forming tube change</t>
        </r>
      </text>
    </comment>
    <comment ref="DF110" authorId="18" shapeId="0" xr:uid="{57737844-FC2D-4E8E-85FF-67E11CD9171D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$10M/sachet machine for sealing bar replacment incl installation &amp; risk fund
$5M/bag machine for sealing bar replacement incl installation &amp; risk
$7M/bag machine for forming tube change</t>
        </r>
      </text>
    </comment>
    <comment ref="CA117" authorId="18" shapeId="0" xr:uid="{16B7F722-5791-48F7-9171-1764AE168D11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$180M dedicated skyway conveyors at EOL for 3 UVA machines
$45M 3 units of automatic drop &amp; pack assembly with conveyors
$15M  3units of semi-auto case erector
$100M  1unit random size case taper
$25M S-conveyor for EOL PW
$180M  3units of auto-stitching machines
+50% of total cost for risk (30%) and eng'g/indirect cost (20%)</t>
        </r>
      </text>
    </comment>
    <comment ref="CI117" authorId="18" shapeId="0" xr:uid="{146889F3-CA2B-4E3B-A29B-C58BD05C0719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$180M dedicated skyway conveyors at EOL for 3 UVA machines
$45M 3 units of automatic drop &amp; pack assembly with conveyors
$15M  3units of semi-auto case erector
$100M  1unit random size case taper
$25M S-conveyor for EOL PW
$180M  3units of auto-stitching machines
+50% of total cost for risk (30%) and eng'g/indirect cost (20%)</t>
        </r>
      </text>
    </comment>
    <comment ref="CO117" authorId="18" shapeId="0" xr:uid="{05202D1A-428E-4326-8F28-172D772368A9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$180M dedicated skyway conveyors at EOL for 3 UVA machines
$45M 3 units of automatic drop &amp; pack assembly with conveyors
$15M  3units of semi-auto case erector
$100M  1unit random size case taper
$25M S-conveyor for EOL PW
$180M  3units of auto-stitching machines
+50% of total cost for risk (30%) and eng'g/indirect cost (20%)</t>
        </r>
      </text>
    </comment>
    <comment ref="CU117" authorId="18" shapeId="0" xr:uid="{80DA7E46-48D1-46E5-AABE-C4AAE3EA2ED8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$180M dedicated skyway conveyors at EOL for 3 UVA machines
$45M 3 units of automatic drop &amp; pack assembly with conveyors
$15M  3units of semi-auto case erector
$100M  1unit random size case taper
$25M S-conveyor for EOL PW
$180M  3units of auto-stitching machines
+50% of total cost for risk (30%) and eng'g/indirect cost (20%)</t>
        </r>
      </text>
    </comment>
    <comment ref="CX117" authorId="18" shapeId="0" xr:uid="{AAD938C8-25A5-4EFE-8B33-3BE7FCF98181}">
      <text>
        <r>
          <rPr>
            <b/>
            <sz val="9"/>
            <color indexed="81"/>
            <rFont val="Tahoma"/>
            <family val="2"/>
          </rPr>
          <t>Malibiran, Eric:</t>
        </r>
        <r>
          <rPr>
            <sz val="9"/>
            <color indexed="81"/>
            <rFont val="Tahoma"/>
            <family val="2"/>
          </rPr>
          <t xml:space="preserve">
$180M dedicated skyway conveyors at EOL for 3 UVA machines
$45M 3 units of automatic drop &amp; pack assembly with conveyors
$15M  3units of semi-auto case erector
$100M  1unit random size case taper
$25M S-conveyor for EOL PW
$180M  3units of auto-stitching machines
+50% of total cost for risk (30%) and eng'g/indirect cost (20%)</t>
        </r>
      </text>
    </comment>
    <comment ref="M144" authorId="19" shapeId="0" xr:uid="{7EEA5795-B1C5-4650-B6BF-45123D3EDB15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BP plan is JAS'22</t>
        </r>
      </text>
    </comment>
    <comment ref="AD149" authorId="20" shapeId="0" xr:uid="{0C105C7C-5597-4960-83E6-38F1BD801E8B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TBC</t>
        </r>
      </text>
    </comment>
    <comment ref="AD154" authorId="21" shapeId="0" xr:uid="{F1B0C94C-93B1-4B46-82DC-A0CA21E4579D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excl. CLP/LPD invested in BD $5.6MM</t>
        </r>
      </text>
    </comment>
    <comment ref="AD162" authorId="22" shapeId="0" xr:uid="{6EE001D4-B86A-45DF-9639-0BB891CAEA07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range of 20-30
Reply:
    new building+ new line base is 25, new CLP +15</t>
        </r>
      </text>
    </comment>
    <comment ref="AR170" authorId="23" shapeId="0" xr:uid="{C4FD18E1-5426-40B3-8AE5-0E3928F16C6B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$0.8MM carry over + $0.5MM payment delay</t>
        </r>
      </text>
    </comment>
    <comment ref="AY170" authorId="24" shapeId="0" xr:uid="{0E74BC06-9B1A-45AA-9726-4E7CD07EE405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$0.8MM carry over + $0.5MM payment delay</t>
        </r>
      </text>
    </comment>
    <comment ref="BE170" authorId="25" shapeId="0" xr:uid="{72BF7E0C-0E1A-439E-9A21-FDE19D11353D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$0.8MM carry over + $0.5MM payment delay</t>
        </r>
      </text>
    </comment>
    <comment ref="Q179" authorId="26" shapeId="0" xr:uid="{6D073147-3076-43DE-9B5F-A5FDD1914349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prelim funded (1920) $840M; Fy1920 actual $170M</t>
        </r>
      </text>
    </comment>
    <comment ref="K180" authorId="27" shapeId="0" xr:uid="{A0EB8476-C028-4016-BC06-2744C39CA0AE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PE in Nov</t>
        </r>
      </text>
    </comment>
    <comment ref="O203" authorId="28" shapeId="0" xr:uid="{312B3F75-D749-4F51-96D2-C652198D4B84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to visit volume in Mar</t>
        </r>
      </text>
    </comment>
    <comment ref="CD218" authorId="29" shapeId="0" xr:uid="{12AC47D7-4FDA-4997-8525-212B14E86F43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Infinity 2.0 (0.5MM) + Casablanca 2.0 (0.2MM)</t>
        </r>
      </text>
    </comment>
    <comment ref="E236" authorId="30" shapeId="0" xr:uid="{378D2062-D932-4793-906D-9980BE70FF65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</t>
        </r>
      </text>
    </comment>
    <comment ref="Q238" authorId="31" shapeId="0" xr:uid="{BE02BA47-7100-4ED9-A371-CB57551D709C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Prelim $M - FY1920 spending</t>
        </r>
      </text>
    </comment>
    <comment ref="AD247" authorId="32" shapeId="0" xr:uid="{443887DF-0986-44E4-9DA5-1C6ABB66AD95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range of 40-50</t>
        </r>
      </text>
    </comment>
    <comment ref="J248" authorId="33" shapeId="0" xr:uid="{32E7221C-61D2-473A-A905-AF1231F425AF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if install in the old building, we can save about $5,000M</t>
        </r>
      </text>
    </comment>
    <comment ref="AI273" authorId="34" shapeId="0" xr:uid="{5A0FF4DA-A8C0-4E66-9ACB-D608A3BC8121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Design Fee and sorter/FPS DP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tc={90C0FD02-E3BB-43B6-9008-D6A568AFC8CE}</author>
  </authors>
  <commentList>
    <comment ref="B87" authorId="0" shapeId="0" xr:uid="{90C0FD02-E3BB-43B6-9008-D6A568AFC8CE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FB.55127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<sst xmlns="http://schemas.openxmlformats.org/spreadsheetml/2006/main" count="5576" uniqueCount="1288">
  <si>
    <t>Region</t>
  </si>
  <si>
    <t>Platform</t>
  </si>
  <si>
    <t>Form</t>
  </si>
  <si>
    <t>Volume Assumption
(version)</t>
  </si>
  <si>
    <t>Planning Strategy
(CtD)</t>
  </si>
  <si>
    <t>SNO Strategy</t>
  </si>
  <si>
    <t>FY1718
(actual)</t>
  </si>
  <si>
    <t>FY1819
(actual)</t>
  </si>
  <si>
    <t>FY1920</t>
  </si>
  <si>
    <t>FY2021</t>
  </si>
  <si>
    <t>FY2122</t>
  </si>
  <si>
    <t>FY2223</t>
  </si>
  <si>
    <t>FY1819</t>
  </si>
  <si>
    <t>CAGR</t>
  </si>
  <si>
    <t>AA</t>
  </si>
  <si>
    <t>DL</t>
  </si>
  <si>
    <t>Bag</t>
  </si>
  <si>
    <t>Sachet</t>
  </si>
  <si>
    <t>Japan</t>
  </si>
  <si>
    <t>GC</t>
  </si>
  <si>
    <t>FE</t>
  </si>
  <si>
    <t>BTL</t>
  </si>
  <si>
    <t>Jun'19 LRCP Goal</t>
  </si>
  <si>
    <t>1.2 CtD @ Goal in JKT 
1.2 CtD @ Goal in CBY 
1.1 CtD @ Goal in BD</t>
  </si>
  <si>
    <t>RFL</t>
  </si>
  <si>
    <t>CRG</t>
  </si>
  <si>
    <t>Beads</t>
  </si>
  <si>
    <t>HDL</t>
  </si>
  <si>
    <t>SUD</t>
  </si>
  <si>
    <t>BD</t>
  </si>
  <si>
    <t>Continue to support local Vietnam as well as Thailand, Korea, Malaysia and Singapore for all forms as well as Philippines Bottles</t>
  </si>
  <si>
    <t>SIMPL Gate</t>
  </si>
  <si>
    <t xml:space="preserve">funding masterplan </t>
  </si>
  <si>
    <t>FY1920 Apr FF</t>
  </si>
  <si>
    <t>FY1920 May FF</t>
  </si>
  <si>
    <t>FY2021 Firm Feb'20 1st round with Pat/Sachin</t>
  </si>
  <si>
    <t>FY2021 firm Mar'20 for Submission</t>
  </si>
  <si>
    <t>FY2021 firm Apr'20 re-iteration</t>
  </si>
  <si>
    <t>FY2021 firm May'20 submission</t>
  </si>
  <si>
    <t>FY2021 Jun/Jul FF (Benoit review)</t>
  </si>
  <si>
    <t>FY2021 Aug FF (Aug-14)</t>
  </si>
  <si>
    <t>FY2021 Sep FF (Sep-14)</t>
  </si>
  <si>
    <t>FY2021 Oct FF (Oct-14)</t>
  </si>
  <si>
    <t>working Nov FF - Benoit review</t>
  </si>
  <si>
    <t>FY2021 Nov FF</t>
  </si>
  <si>
    <t>FY2021 Dec FF</t>
  </si>
  <si>
    <t>Mar FF</t>
  </si>
  <si>
    <t>Monthly Spending Plan</t>
  </si>
  <si>
    <t>Site</t>
  </si>
  <si>
    <t>Business Category</t>
  </si>
  <si>
    <t>Project No.</t>
  </si>
  <si>
    <t>Project Name</t>
  </si>
  <si>
    <t>Capital Classification Code</t>
  </si>
  <si>
    <t>Base or R&amp;O</t>
  </si>
  <si>
    <t>Priority</t>
  </si>
  <si>
    <t>Program</t>
  </si>
  <si>
    <t>Project Description
(Business needs)</t>
  </si>
  <si>
    <t>PC</t>
  </si>
  <si>
    <t>LPA</t>
  </si>
  <si>
    <t>SOP</t>
  </si>
  <si>
    <t>SOS</t>
  </si>
  <si>
    <t>Project Scope Assumption</t>
  </si>
  <si>
    <t>Funding Status</t>
  </si>
  <si>
    <t>J</t>
  </si>
  <si>
    <t>A</t>
  </si>
  <si>
    <t>S</t>
  </si>
  <si>
    <t>O</t>
  </si>
  <si>
    <t>N</t>
  </si>
  <si>
    <t>D</t>
  </si>
  <si>
    <t>F</t>
  </si>
  <si>
    <t>M</t>
  </si>
  <si>
    <t>ETC 
($M)</t>
  </si>
  <si>
    <t>SG 
($M)</t>
  </si>
  <si>
    <t>NPV ($M)</t>
  </si>
  <si>
    <t>ROR %</t>
  </si>
  <si>
    <t>Cap. B/Up</t>
  </si>
  <si>
    <t>Prob.</t>
  </si>
  <si>
    <t>Cap. PABU</t>
  </si>
  <si>
    <t>FADO B/Up</t>
  </si>
  <si>
    <t>FADO PABU</t>
  </si>
  <si>
    <t>Comment</t>
  </si>
  <si>
    <t>Change vs. 1st review</t>
  </si>
  <si>
    <t>efo</t>
  </si>
  <si>
    <t>Change vs. Mar</t>
  </si>
  <si>
    <t>Change description</t>
  </si>
  <si>
    <t>Change vs. Mar submission</t>
  </si>
  <si>
    <t>Change vs. Firm</t>
  </si>
  <si>
    <t>Comments</t>
  </si>
  <si>
    <t>Post Aug FF (w/ Konoha-san)</t>
  </si>
  <si>
    <t>Change vs. Jul FF</t>
  </si>
  <si>
    <t>Change vs. FIRM</t>
  </si>
  <si>
    <t>Change vs. Aug FF
(to Laura)</t>
  </si>
  <si>
    <t>Change vs. Sep FF</t>
  </si>
  <si>
    <t>Change vs. Oct FF</t>
  </si>
  <si>
    <t>Change vs. working Nov FF</t>
  </si>
  <si>
    <t xml:space="preserve">Change vs. Sep FF </t>
  </si>
  <si>
    <t>Change vs. Nov FF</t>
  </si>
  <si>
    <t>APAC EM</t>
  </si>
  <si>
    <t>A.03349</t>
    <phoneticPr fontId="0" type="Hiragana"/>
  </si>
  <si>
    <t>Halong</t>
  </si>
  <si>
    <t>04-Platform driven savings</t>
  </si>
  <si>
    <t>Base</t>
  </si>
  <si>
    <t>P0</t>
  </si>
  <si>
    <t>carry over</t>
  </si>
  <si>
    <t>Final</t>
  </si>
  <si>
    <t>FY1920 spending control $170M</t>
  </si>
  <si>
    <t xml:space="preserve">carry over </t>
  </si>
  <si>
    <t>construction quality verification takes longer time</t>
  </si>
  <si>
    <t>A.03476</t>
  </si>
  <si>
    <t>BD KR Escobar (8.5L)</t>
  </si>
  <si>
    <t>01-Initiative</t>
  </si>
  <si>
    <t>Partial</t>
  </si>
  <si>
    <t>A.03478</t>
  </si>
  <si>
    <t>BD Plant - HDL New Shubham Project</t>
  </si>
  <si>
    <t>01-Capacity</t>
  </si>
  <si>
    <t>A.03486</t>
  </si>
  <si>
    <t>BD M570 XXL Pouch</t>
  </si>
  <si>
    <t>A.03578</t>
  </si>
  <si>
    <t>2nd Mespack</t>
  </si>
  <si>
    <t>FY1920 spending control $29M</t>
  </si>
  <si>
    <t>$28M double counted in FY1920/2021</t>
  </si>
  <si>
    <t>pull-forward to FY1920</t>
  </si>
  <si>
    <t>$90M spent in this FY</t>
    <phoneticPr fontId="22" type="noConversion"/>
  </si>
  <si>
    <t>BULC</t>
  </si>
  <si>
    <t>A.03579</t>
  </si>
  <si>
    <t>Mass Premium</t>
  </si>
  <si>
    <t>A.03592</t>
  </si>
  <si>
    <t>MYSG Dynamite W1 - Jubilee</t>
  </si>
  <si>
    <t>To Win MYSG Dynamo Liquid with correct the value of equation
Product: new Jubilee chassis 
Packing: leverage current existing SKU with renew filling volume 
Soft Conversion &amp; New Launch</t>
  </si>
  <si>
    <t>Oct'19</t>
  </si>
  <si>
    <t>Feb'20</t>
  </si>
  <si>
    <t>Jun'20</t>
  </si>
  <si>
    <t>FY1920 spending control $164M</t>
  </si>
  <si>
    <t>release the spending double counting based on Apr FF</t>
  </si>
  <si>
    <t>$122M double counted in FY1920/2021</t>
  </si>
  <si>
    <t>$55M spent in this FY</t>
    <phoneticPr fontId="22" type="noConversion"/>
  </si>
  <si>
    <t>A.03688</t>
  </si>
  <si>
    <t>3rd Sachet</t>
  </si>
  <si>
    <t>P1</t>
  </si>
  <si>
    <t>new sachet</t>
  </si>
  <si>
    <t>Dec'20</t>
  </si>
  <si>
    <t>Sachet F3, F4  share one EOL with current F1 and relocated F2</t>
  </si>
  <si>
    <t>increase to cover Halong leftover scope and indirect cost</t>
  </si>
  <si>
    <t>COVID-19 VAT delay</t>
  </si>
  <si>
    <t>$150M spend in last FY, $260M spent in this FY, what's the left scope?</t>
    <phoneticPr fontId="22" type="noConversion"/>
  </si>
  <si>
    <t>A.03703</t>
  </si>
  <si>
    <t>XL/XXL Pouch CIP</t>
  </si>
  <si>
    <t>new Mespack</t>
  </si>
  <si>
    <t>CtD: 1.08 (FY 2021)</t>
  </si>
  <si>
    <t>OND'20</t>
  </si>
  <si>
    <t xml:space="preserve">New M570  Filler + manual EOL+ FP tank, shared with Mespack 2 due to layout constrain </t>
  </si>
  <si>
    <t>fund in FY1920; $130M Mespack filler cost reduction reflected</t>
  </si>
  <si>
    <t>assume ETC $2.4MM</t>
  </si>
  <si>
    <t>forecast change</t>
  </si>
  <si>
    <t>ETC increase</t>
  </si>
  <si>
    <t>site masterplan (cooling expansion), fund together with Mespack#3 final will define scope by Dec.</t>
  </si>
  <si>
    <t>$268M spent in FY1920; $350M for cooling warehouse modifications</t>
  </si>
  <si>
    <t>A.03718</t>
  </si>
  <si>
    <t>Thang Long (Halong 2)</t>
  </si>
  <si>
    <t>Making CIP (CLP/LPD)</t>
  </si>
  <si>
    <t>Capacity to 10MMSU, 2nd LPD, CA auto dosing, support India Juice shipping</t>
  </si>
  <si>
    <t>Oct'20</t>
  </si>
  <si>
    <t>2x50 ton juice shipping out, 2nd LPD, DI, chilling, room modification</t>
  </si>
  <si>
    <t>FY1920 spending control $1.2MM</t>
  </si>
  <si>
    <t>$767M double counted in FY1920/2021</t>
  </si>
  <si>
    <t>Need to check corresponding to SG upcharge.</t>
  </si>
  <si>
    <t>$1.26MM spent in this FY, $1MM in Dec'20</t>
    <phoneticPr fontId="22" type="noConversion"/>
  </si>
  <si>
    <t>A.03736</t>
  </si>
  <si>
    <t xml:space="preserve">Colossus - TH </t>
  </si>
  <si>
    <t>AMJ‘23</t>
  </si>
  <si>
    <t>Preliminary</t>
  </si>
  <si>
    <t>swing item</t>
  </si>
  <si>
    <t>GTM</t>
  </si>
  <si>
    <t>A.03817</t>
  </si>
  <si>
    <t>IWS 5.0 infrastructure upgrade - partial $1MM</t>
  </si>
  <si>
    <t>03-Non saving</t>
  </si>
  <si>
    <t>Sep'20</t>
  </si>
  <si>
    <t>new request in Apr. ETC max $1MM</t>
  </si>
  <si>
    <t>Business change</t>
  </si>
  <si>
    <t>new request</t>
  </si>
  <si>
    <t>A.03885</t>
  </si>
  <si>
    <t>Mekong (SWT localization)</t>
  </si>
  <si>
    <t>P2</t>
  </si>
  <si>
    <t>Localize SWT for saving</t>
    <phoneticPr fontId="0" type="noConversion"/>
  </si>
  <si>
    <t>AMJ'21</t>
  </si>
  <si>
    <t>Develop smaller scale SWT, with smaller footprint and height</t>
  </si>
  <si>
    <t xml:space="preserve">based on latest study </t>
  </si>
  <si>
    <t>B.06835</t>
  </si>
  <si>
    <t>FY1920 Non-saving</t>
  </si>
  <si>
    <t>AE funded</t>
  </si>
  <si>
    <t>B.06838</t>
  </si>
  <si>
    <t>3rd FPS</t>
  </si>
  <si>
    <t>new FPS</t>
  </si>
  <si>
    <t>N/A</t>
  </si>
  <si>
    <t>D2D</t>
  </si>
  <si>
    <t>value-added scope of PR improvement</t>
  </si>
  <si>
    <t>BF20 replacement</t>
  </si>
  <si>
    <t>Replace Flowmeter and Dosing Pump</t>
  </si>
  <si>
    <t>Pluto</t>
  </si>
  <si>
    <t xml:space="preserve">BD: No new PMC. To be confirmed by end-Nov.
Packing: small refill resclosable sku.
Decision point: end-Nov. still qualifying with R&amp;D. </t>
  </si>
  <si>
    <t>Nov'19</t>
  </si>
  <si>
    <t>JFM'21</t>
  </si>
  <si>
    <t>3*9CW Toyo, filling nozzle, sealing bar, gripper position modificaiton, need design</t>
  </si>
  <si>
    <t>Jul'20</t>
  </si>
  <si>
    <t>funding in FY1920</t>
  </si>
  <si>
    <t>for India</t>
  </si>
  <si>
    <t>$99M double counted in FY1920/2021, BF20 $90M, 3rd FPS $431M, D2D $88M</t>
  </si>
  <si>
    <t>~$300M spent; C&amp;O improvement scope in D2D not needed anymore</t>
  </si>
  <si>
    <t>B.07197</t>
  </si>
  <si>
    <t>FY2021 Non-Saving</t>
  </si>
  <si>
    <t>target 1100</t>
  </si>
  <si>
    <t>B.07199</t>
  </si>
  <si>
    <t>FY2021 Saving AE</t>
  </si>
  <si>
    <t>04-Plant driven savings</t>
  </si>
  <si>
    <t>P3</t>
  </si>
  <si>
    <t>target 400</t>
  </si>
  <si>
    <t>- Need to check before funding request: 
piggying for MES3: 49M-&gt;143M with NPV$6M
Auto temperature detecting: 28M-&gt;76M with NPV$22M</t>
  </si>
  <si>
    <t>B.07208</t>
  </si>
  <si>
    <t xml:space="preserve">mid-Sep'20 decision move to B-Up </t>
  </si>
  <si>
    <t xml:space="preserve">ETC $195M; SG $185M </t>
  </si>
  <si>
    <t>B.07250</t>
  </si>
  <si>
    <t>FB.16660</t>
  </si>
  <si>
    <t>ePLCM (packing)</t>
  </si>
  <si>
    <t>03-ePLCM/Equipment stds</t>
  </si>
  <si>
    <t>P5</t>
  </si>
  <si>
    <t>Place holder</t>
  </si>
  <si>
    <t>FB.41486</t>
  </si>
  <si>
    <t>ePLCM (making)</t>
  </si>
  <si>
    <t>FB.45770</t>
  </si>
  <si>
    <t xml:space="preserve"> $80 formula saving/year, water in LPD or AMA</t>
  </si>
  <si>
    <t>AE unfunded</t>
  </si>
  <si>
    <t>water on LPD - finaicials status</t>
  </si>
  <si>
    <t>FB.55972</t>
  </si>
  <si>
    <t>Making CIP - new CLP &amp; LPD</t>
  </si>
  <si>
    <t xml:space="preserve">1 new set of 20t/h CLP (SOP Mar'21);
1 new set of 8t/h or 22t/h
</t>
  </si>
  <si>
    <t>CLP JFM'21; LPD JAS'21</t>
  </si>
  <si>
    <r>
      <t xml:space="preserve">1 new set of 20t/h CLP (currently we have 1BFA tank, 1HTQ tank, no need additional active tank)---2500M
1 new set of 22t/h LPD --- 1500M
RM unloading skid upgrade --- 500M
piping connection to FP tank + pipping ---800M
</t>
    </r>
    <r>
      <rPr>
        <strike/>
        <sz val="10"/>
        <rFont val="Arial"/>
        <family val="2"/>
      </rPr>
      <t>1 FPS ---400M</t>
    </r>
    <r>
      <rPr>
        <sz val="10"/>
        <rFont val="Arial"/>
        <family val="2"/>
      </rPr>
      <t xml:space="preserve">
DI water capacity increase (covered by Halong Phase2) --- 0M
Chill water capacity increase --- 300M</t>
    </r>
  </si>
  <si>
    <t>assume SOP in JAS'21</t>
  </si>
  <si>
    <t>CtD 1.1 -$1.5MM</t>
  </si>
  <si>
    <t>CtD 1.1 -$1.5MM (offered no aligned)</t>
  </si>
  <si>
    <t>ETC increase based platform M&amp;S study</t>
  </si>
  <si>
    <t>FB.57236</t>
  </si>
  <si>
    <t>Royce Summer/Marshmallow 2.0</t>
  </si>
  <si>
    <t>Valentino</t>
  </si>
  <si>
    <t>JAS'21</t>
  </si>
  <si>
    <t>Royce summer PC-ed, zero capital project</t>
  </si>
  <si>
    <t>FB.57236</t>
    <phoneticPr fontId="22" type="noConversion"/>
  </si>
  <si>
    <t>new PMC placeholder</t>
  </si>
  <si>
    <t>Apr'21</t>
  </si>
  <si>
    <t>AMJ'22</t>
  </si>
  <si>
    <t>AA PMC placeholder</t>
  </si>
  <si>
    <t>PMC: Apple Burst (piping connection only)</t>
  </si>
  <si>
    <t>FB.57240</t>
  </si>
  <si>
    <t>KTD #1 rapid Changeover</t>
  </si>
  <si>
    <t>CtD: 1.09 (FY 2122)， funding plan in JFM'21.
After Mass Premium go back to JP by FY 2021, the line can be converted for AA &lt;/= 1L bottles, speed should be similar as 48bpm or slightly lower
- need to add labeler with some relayout</t>
  </si>
  <si>
    <t>OND'21</t>
  </si>
  <si>
    <t>Change parts for AA bottle - $150M
Feedscew, neck holder, piping modification, EOL case former etc - $120M</t>
  </si>
  <si>
    <t>FB.57241</t>
  </si>
  <si>
    <t>Chameleon speed-up</t>
  </si>
  <si>
    <t>speed-up</t>
  </si>
  <si>
    <t>Maybe need to replace Bottle unscrambler or case packer</t>
  </si>
  <si>
    <t>FB.57243</t>
  </si>
  <si>
    <t>BD Synergy</t>
  </si>
  <si>
    <t>R&amp;O</t>
  </si>
  <si>
    <t>CDX/CDB</t>
  </si>
  <si>
    <t>Add CDX/CDB on all JP FE formula - HPNS &amp; Base</t>
  </si>
  <si>
    <t>Fall'21</t>
  </si>
  <si>
    <t>Two more CDX/CDB unloading &amp; dosing system on 2 LPDs
CDX RM tank
CDB RM tank</t>
  </si>
  <si>
    <t>risk may materialize if BD continue source Japan</t>
  </si>
  <si>
    <t>FB.57244</t>
  </si>
  <si>
    <t>JP - Martini 2.0/Base Restage</t>
  </si>
  <si>
    <t>P4</t>
  </si>
  <si>
    <t>Base restage</t>
  </si>
  <si>
    <t>New Lenor removes cumulative MO thoroughly
- Making: new perfume, two new PMC (7th)</t>
  </si>
  <si>
    <t>Spring'22</t>
  </si>
  <si>
    <t>Placeholder</t>
  </si>
  <si>
    <t>base variant only initiative</t>
  </si>
  <si>
    <t>placeholder for JP sourcing (double check in Nov'20 LRCP udpate)</t>
  </si>
  <si>
    <t>FB.57247</t>
  </si>
  <si>
    <t>JP - Sakura 4.0 (Mass premium)</t>
  </si>
  <si>
    <t>Sakura 3.0</t>
  </si>
  <si>
    <r>
      <t xml:space="preserve">Prevent color fading and keep clothes as if newly bought (color, pilling, wrinkle, bottle shape) - no tech solution yet
- Making: </t>
    </r>
    <r>
      <rPr>
        <strike/>
        <sz val="10"/>
        <color rgb="FFFF0000"/>
        <rFont val="Arial"/>
        <family val="2"/>
      </rPr>
      <t>New ingredient</t>
    </r>
    <r>
      <rPr>
        <sz val="10"/>
        <rFont val="Arial"/>
        <family val="2"/>
      </rPr>
      <t>/formulation
- Packing: 2D upgrade, no ENG scope</t>
    </r>
  </si>
  <si>
    <t>Apr'20</t>
  </si>
  <si>
    <t>Oct'21</t>
  </si>
  <si>
    <t>Glossy bottle/PET bottle/Transparent bottle/Auto Dose cap = Sensor replace ment 100M, Capper changeparts 100M, Puck system 200M, other 100M</t>
  </si>
  <si>
    <t>for BD auto-dose cap</t>
  </si>
  <si>
    <t>FB.57248</t>
  </si>
  <si>
    <t>PH - Reapply JP MP formula/Bottle</t>
  </si>
  <si>
    <t>Jul//Aug'21</t>
  </si>
  <si>
    <t>Sep/Oct'21</t>
  </si>
  <si>
    <t>new in Nov FF</t>
  </si>
  <si>
    <t>FB.57249</t>
    <phoneticPr fontId="22" type="noConversion"/>
  </si>
  <si>
    <t>KR related</t>
  </si>
  <si>
    <t>easy to recycle</t>
    <phoneticPr fontId="0" type="noConversion"/>
  </si>
  <si>
    <t>TBD</t>
  </si>
  <si>
    <t xml:space="preserve">Op1 add knife on SSL machine
Op2 add perforation on pack material </t>
  </si>
  <si>
    <t>FB.57250</t>
  </si>
  <si>
    <t>FB.57252</t>
  </si>
  <si>
    <t xml:space="preserve">AA HDL capacity increase, incl. 2nd batch &amp; Pouch, Sachet </t>
  </si>
  <si>
    <t>CBY HDL packing localization:2MM, BD 4th Sachet:0.5MM</t>
  </si>
  <si>
    <t>FB.57253</t>
  </si>
  <si>
    <t>TH Anti-bac</t>
  </si>
  <si>
    <t>VN Innovation</t>
  </si>
  <si>
    <t>ealiest AMJ'22</t>
  </si>
  <si>
    <t>new RM or use FE existing RM</t>
    <phoneticPr fontId="22" type="noConversion"/>
  </si>
  <si>
    <t xml:space="preserve">no spending in FY2021 </t>
  </si>
  <si>
    <t>FB.57254</t>
  </si>
  <si>
    <t>VN W2 Ariel Collar &amp; Cuff : new WB+NI</t>
  </si>
  <si>
    <t>VN W2 Ariel Collar &amp; Cuff</t>
  </si>
  <si>
    <t>AMJ'21</t>
    <phoneticPr fontId="22" type="noConversion"/>
  </si>
  <si>
    <t>JFM'22</t>
    <phoneticPr fontId="22" type="noConversion"/>
  </si>
  <si>
    <t xml:space="preserve">Base plan update: new RM addition to existing formula upgrade, no new WB </t>
  </si>
  <si>
    <t>placeholder</t>
    <phoneticPr fontId="22" type="noConversion"/>
  </si>
  <si>
    <t>FB.57255</t>
  </si>
  <si>
    <t xml:space="preserve">PH Ariel Pacific </t>
  </si>
  <si>
    <t>PH Innovation</t>
  </si>
  <si>
    <t xml:space="preserve">SOS: Oct'20 
Concept: New juice packing PQ on current TD 
Product: Current PH Airel Product 
Package: Current TD 
Conversion: Commecial Increamental </t>
  </si>
  <si>
    <t xml:space="preserve">Base Plan: NEW WB  engineering scope
Stretch Plan: 1 new WB Tank needed- Med possibility
Making: update Chassis, 
introduce Tinosan ODD addition 
Packing: Premium 2D decoration </t>
  </si>
  <si>
    <t>Remove from R&amp;O, new WB coverd by C&amp;C</t>
  </si>
  <si>
    <t>FB.57256</t>
  </si>
  <si>
    <t>VN Restage Place holder</t>
  </si>
  <si>
    <t>1 new RM to drive restage per yr</t>
    <phoneticPr fontId="0" type="noConversion"/>
  </si>
  <si>
    <t>1 RM, storage, piping and dosing at LPD</t>
  </si>
  <si>
    <t>FB.57257</t>
  </si>
  <si>
    <t>BD SSL</t>
  </si>
  <si>
    <t>Package 3D</t>
  </si>
  <si>
    <t>IMP linkage TBD</t>
  </si>
  <si>
    <t>SSL system? conveyor modification-200M</t>
  </si>
  <si>
    <t>FB.57258</t>
  </si>
  <si>
    <t>VN Liberty W1</t>
  </si>
  <si>
    <t>Downy Juice at VN</t>
  </si>
  <si>
    <t>Dec'19</t>
  </si>
  <si>
    <t>Aug'20</t>
  </si>
  <si>
    <t>Making: Current VN HDL Downy Juice
Packing: XXL Pouch with current LGF
Sticker for BOTL: 150M</t>
  </si>
  <si>
    <t>zero capital solution</t>
  </si>
  <si>
    <t>FB.57259</t>
  </si>
  <si>
    <t>ePLCM</t>
  </si>
  <si>
    <t>place holder each year 250M</t>
    <phoneticPr fontId="0" type="noConversion"/>
  </si>
  <si>
    <t>FB.57261</t>
  </si>
  <si>
    <t>place holder each year 0.3MM</t>
    <phoneticPr fontId="0" type="noConversion"/>
  </si>
  <si>
    <t>FB.60684</t>
    <phoneticPr fontId="22" type="noConversion"/>
  </si>
  <si>
    <t>capper on KWT line</t>
    <phoneticPr fontId="22" type="noConversion"/>
  </si>
  <si>
    <t>consumer test result available in Nov'20</t>
  </si>
  <si>
    <t>SOS delay to AMJ'22 from OND'21; PQ in Dec'21</t>
  </si>
  <si>
    <t>FB.60685</t>
  </si>
  <si>
    <t>Pluto 2.0</t>
  </si>
  <si>
    <t>handing hole one the pouch</t>
  </si>
  <si>
    <t>To have hanging hole on small reclosable pouch</t>
  </si>
  <si>
    <t>no scope in BD</t>
  </si>
  <si>
    <t>FB.62669</t>
  </si>
  <si>
    <t>Site masterplan (Utility, Logistic)</t>
  </si>
  <si>
    <t>site masterplan study outcome</t>
  </si>
  <si>
    <t>FB.66194</t>
    <phoneticPr fontId="22" type="noConversion"/>
  </si>
  <si>
    <t>PH Jubilee formula</t>
  </si>
  <si>
    <t>JFM'21</t>
    <phoneticPr fontId="22" type="noConversion"/>
  </si>
  <si>
    <t>Simulation result to be update in wk Dec-7</t>
    <phoneticPr fontId="22" type="noConversion"/>
  </si>
  <si>
    <t>Toyo-5/Mespack-1 decides ETC:50-&gt;100M</t>
    <phoneticPr fontId="22" type="noConversion"/>
  </si>
  <si>
    <t>Aug'21</t>
  </si>
  <si>
    <t>move in to B-up based on TST alignment</t>
  </si>
  <si>
    <t>FB.67624</t>
    <phoneticPr fontId="22" type="noConversion"/>
  </si>
  <si>
    <t>FB.77614</t>
  </si>
  <si>
    <t>Unfunded</t>
  </si>
  <si>
    <t>FB.72630</t>
  </si>
  <si>
    <t>FB.XXXXX</t>
  </si>
  <si>
    <t>BD HDL 2nd Batch</t>
  </si>
  <si>
    <t>New Batch+PKG line</t>
  </si>
  <si>
    <t>4000-7000</t>
  </si>
  <si>
    <t>ETC=4-7MM</t>
  </si>
  <si>
    <t>TH - Mass Premium</t>
  </si>
  <si>
    <t xml:space="preserve">Sep'20 decision </t>
  </si>
  <si>
    <t>New Bottle Line in BD</t>
  </si>
  <si>
    <t>2MM for KWT line, 2MM for packing room expansion; or convert TAK line 1 for MP capability to take back MP volume earlier.</t>
  </si>
  <si>
    <t>FE 4th Mespack 440</t>
  </si>
  <si>
    <t>to support India sourcing</t>
  </si>
  <si>
    <t xml:space="preserve">additional relief to cover India </t>
  </si>
  <si>
    <t>remove from Sep FF</t>
  </si>
  <si>
    <t>JP HNPS BCP - Refill</t>
  </si>
  <si>
    <t>decision gate Oct'20</t>
  </si>
  <si>
    <t>Placeholder for GC FE source from BD</t>
  </si>
  <si>
    <t>KR - Chopard</t>
  </si>
  <si>
    <t xml:space="preserve">KR Senso Brand Restage with nil-PMC
Making: New pro perfume. Nil PMC.
Packing: 0.8 L bottle to replace 1L bottle. (on hold)
Package :SSL bottle for all senso, idea is to use Wasabi bottle
</t>
  </si>
  <si>
    <t>Mar'20</t>
  </si>
  <si>
    <t>JFM'21</t>
    <phoneticPr fontId="0" type="noConversion"/>
  </si>
  <si>
    <t>Packing scope placeholder</t>
  </si>
  <si>
    <t xml:space="preserve">zero capital solution </t>
  </si>
  <si>
    <t>JP - Sakura 2.0 (Mass Premium)</t>
  </si>
  <si>
    <t>Sakura 2.0</t>
  </si>
  <si>
    <t>Making: New variant (Blue or Black), new perfume, no new PMC; Packing: glossy bottle</t>
  </si>
  <si>
    <t>AMJ'20</t>
  </si>
  <si>
    <t>JAS'20</t>
  </si>
  <si>
    <t>- Making: MP 3rd variants
- Packing: transferring system upgrade</t>
  </si>
  <si>
    <t>CBY</t>
  </si>
  <si>
    <t>A.03325</t>
  </si>
  <si>
    <t>Ariel Platinum_Beads in Powder Project</t>
  </si>
  <si>
    <t>A.03379</t>
  </si>
  <si>
    <t>Downy Beads in Powder</t>
  </si>
  <si>
    <t>COVID-19 impact</t>
  </si>
  <si>
    <t>COVID-19</t>
  </si>
  <si>
    <t>A.03390</t>
  </si>
  <si>
    <t>AUDREY_RIMOWA (PAC PMC in SEA)</t>
  </si>
  <si>
    <t>A.03471</t>
    <phoneticPr fontId="0" type="Hiragana"/>
  </si>
  <si>
    <t>Cluster 7</t>
  </si>
  <si>
    <t>final funding and PCA</t>
  </si>
  <si>
    <t>A.03541</t>
  </si>
  <si>
    <t>Mystique (YSL 5th PMC (Cocolait))</t>
  </si>
  <si>
    <t>Qualifying Cocolait PMC with purple feeling perfume. Decision point: early-Dec. 
Making: If go, retrigger PMC skid in CBY. At least 4-5 months for engineering readiness aligned with IL.</t>
  </si>
  <si>
    <t>A.03648</t>
  </si>
  <si>
    <t>PCA needed (SOP delay to Sep'20)</t>
  </si>
  <si>
    <t>A.03712</t>
  </si>
  <si>
    <t>CIP 28 Making</t>
  </si>
  <si>
    <t>CIP 28</t>
  </si>
  <si>
    <t>Making net through put increase from 23 to 28thp</t>
  </si>
  <si>
    <t>carry over: ACM whole air handling system upgrade
Admix elevator capacity increase
Related LIW modification
New buggy storage space extend
PC&amp;IS for 28THP related version up
Detail design/building layout/facilty/construction
COH/contigency rate included</t>
  </si>
  <si>
    <t>fund in FY1920</t>
  </si>
  <si>
    <t>230$M spending shift to Jul</t>
  </si>
  <si>
    <t xml:space="preserve">ETC increase </t>
  </si>
  <si>
    <t>A.03761</t>
  </si>
  <si>
    <t>FE Making CIP</t>
  </si>
  <si>
    <t>DI water</t>
  </si>
  <si>
    <t>Prepared for CLP speed up</t>
  </si>
  <si>
    <t>Making Capacity Increase</t>
  </si>
  <si>
    <t>1 CLP speed up from 15/h to 20t/h.
CtD: 1.01(Dec'20)</t>
    <phoneticPr fontId="0" type="noConversion"/>
  </si>
  <si>
    <t>Step modification $25M*2 = $50M; 
potencial DI water supply CIP to 2 CLPs (BD learning, deligae piping needed) - $100M</t>
  </si>
  <si>
    <t>A.03813</t>
  </si>
  <si>
    <t>Mespack 440 (Pouch CIP W1)</t>
  </si>
  <si>
    <t>1st Mespack in CBY - 440</t>
  </si>
  <si>
    <t>1st Mespack, manual EOL, making, loaded - 2200
Powerpanel reallocation (CBY site inputs)  - 200
small openning on the wall for conveyor - 100</t>
  </si>
  <si>
    <t>$130M Mespack filler cost reduction reflected</t>
  </si>
  <si>
    <t>prob. increase</t>
  </si>
  <si>
    <t>B.05540</t>
  </si>
  <si>
    <t>CABUYAO 1617 03-NON SAVINGS AE</t>
  </si>
  <si>
    <t>B.06056</t>
  </si>
  <si>
    <t>CABUYAO LFE 1718 01-INITIATIVES AE</t>
  </si>
  <si>
    <t>B.06383</t>
  </si>
  <si>
    <t>FY1819 Non-saving</t>
  </si>
  <si>
    <t>B.06385</t>
  </si>
  <si>
    <t>FY1819 Saving</t>
  </si>
  <si>
    <t>B.06387</t>
  </si>
  <si>
    <t>CABUYAO FC 1819 01-DL INITIATIVES AE</t>
  </si>
  <si>
    <t>B.06732</t>
  </si>
  <si>
    <t>FY1920 CBY PCC NON-SAVINGS AE</t>
  </si>
  <si>
    <t>B.06824</t>
  </si>
  <si>
    <t>B.06827</t>
  </si>
  <si>
    <t>B.06829</t>
  </si>
  <si>
    <t>PAC PMC</t>
  </si>
  <si>
    <t>LIW installation in Jun， carryover should have</t>
  </si>
  <si>
    <t>FY1920 Saving</t>
  </si>
  <si>
    <t>Delay from FY1920</t>
  </si>
  <si>
    <t>FBD elimination</t>
  </si>
  <si>
    <t>B.06830</t>
  </si>
  <si>
    <t>Nov'20</t>
  </si>
  <si>
    <t>B.06831</t>
  </si>
  <si>
    <t>1920 DL 01-Initiative AE</t>
  </si>
  <si>
    <t>2.2KG+Shubamn S19</t>
  </si>
  <si>
    <t>B.07155</t>
  </si>
  <si>
    <t>B.07209</t>
  </si>
  <si>
    <t>JY conversion (to pack small size)</t>
  </si>
  <si>
    <t>min +10% rate increase across all bag fillers (UVA and Jinyi) enabled by layout improvement from EOL ph2 project. Project will support CIP plan for bags SKUs in FY2122.</t>
  </si>
  <si>
    <t>speed-up $350M; (50$M in FY1920, $300M in FY2021)
PR improvevment $100M; 
4-&gt;6 lane conversion 170$M</t>
  </si>
  <si>
    <t>ETC $180M, funding in Oct/Nov'20</t>
  </si>
  <si>
    <t>B.07210</t>
  </si>
  <si>
    <t>B.07213</t>
  </si>
  <si>
    <t>FY2021 Non-Saving FE</t>
  </si>
  <si>
    <t xml:space="preserve">"+$140M for Auto C&amp;S </t>
  </si>
  <si>
    <t>B.07214</t>
  </si>
  <si>
    <t>FY2021 Non-Saving DL</t>
  </si>
  <si>
    <t>B.07215</t>
  </si>
  <si>
    <t>FY2021 FE Saving FE</t>
  </si>
  <si>
    <t>EOL automation $75M; online case printing $75M</t>
  </si>
  <si>
    <t xml:space="preserve">EOL automation 75$M + Online case printing 75$M </t>
  </si>
  <si>
    <t>On-line printing $75M; Hassia upgrade $200M</t>
  </si>
  <si>
    <t xml:space="preserve">Hassia move out from FY20-21 execution, due to large GMC investment </t>
  </si>
  <si>
    <t>B.07216</t>
  </si>
  <si>
    <t>FY2021 Saving DL</t>
  </si>
  <si>
    <t>LIMS $105M + DL Admix GDC 2 $149M</t>
  </si>
  <si>
    <t>LIMS $100M + DL Admix GDC 2 $200M</t>
  </si>
  <si>
    <t>FB.25152</t>
  </si>
  <si>
    <t>FB.31000</t>
  </si>
  <si>
    <t>FB.32832</t>
  </si>
  <si>
    <t>LPD Speed up</t>
  </si>
  <si>
    <t>2 LPD speed up from 8t/h to 9.6t/h.
CtD: 1.03(Dec'20)</t>
  </si>
  <si>
    <t>Raise pump speed+CL update: $30M</t>
  </si>
  <si>
    <t>FB.33154</t>
  </si>
  <si>
    <t>BF20</t>
  </si>
  <si>
    <t>Anti-foam Replacment in CLP</t>
  </si>
  <si>
    <t>AMJ'20</t>
    <phoneticPr fontId="0" type="noConversion"/>
  </si>
  <si>
    <t>BD funded in FY1920</t>
  </si>
  <si>
    <t>postpone to next FY</t>
  </si>
  <si>
    <t>FB.35045</t>
  </si>
  <si>
    <t>XL pouch qualification</t>
  </si>
  <si>
    <t>XL pouch qualification (2.4L)</t>
  </si>
  <si>
    <t>One Elgie retrofit for XL pouch (2.4L)</t>
    <phoneticPr fontId="0" type="noConversion"/>
  </si>
  <si>
    <t>Retrofit existing Elgie to pack 2.4L</t>
  </si>
  <si>
    <t>FB.36518</t>
  </si>
  <si>
    <t>Sachet CIP wave 3 - SHB relocation</t>
  </si>
  <si>
    <t>7,8,9th Haircare Shubham with filling system upgarde similar as previous machines</t>
  </si>
  <si>
    <r>
      <t xml:space="preserve">3 Shubham Relocation from BD with modification - $800M
convert Warade - $250M
</t>
    </r>
    <r>
      <rPr>
        <strike/>
        <sz val="10"/>
        <rFont val="Arial"/>
        <family val="2"/>
      </rPr>
      <t>Building Colomn relocation (CBY site inputs) - $400M</t>
    </r>
  </si>
  <si>
    <t>0</t>
  </si>
  <si>
    <t>move to B-up</t>
  </si>
  <si>
    <t>FB.47543</t>
  </si>
  <si>
    <t>New LPD 3, 22Ton</t>
    <phoneticPr fontId="0" type="noConversion"/>
  </si>
  <si>
    <t>1 new set of 22t/h LPD</t>
    <phoneticPr fontId="0" type="noConversion"/>
  </si>
  <si>
    <t>FY2324</t>
  </si>
  <si>
    <t xml:space="preserve">$1540M in FY2021, $660M in FY2122
1 new set of 22t/h LPD, RM unloading upgrade (DCDI to release the space): - 2200M
</t>
  </si>
  <si>
    <t>materialized BULC</t>
  </si>
  <si>
    <t>LPD speed-up 9-11tph push out to FY2324</t>
  </si>
  <si>
    <t>FB.50721</t>
  </si>
  <si>
    <t>NSS placeholder</t>
  </si>
  <si>
    <t>FB.51077</t>
  </si>
  <si>
    <t xml:space="preserve">Hassia upgarde </t>
  </si>
  <si>
    <t>move from R&amp;O</t>
  </si>
  <si>
    <t>update in Nov FF (LRCP update in Oct)</t>
  </si>
  <si>
    <t>new in Sep FF</t>
  </si>
  <si>
    <t>FB.51079</t>
  </si>
  <si>
    <t>2nd FPS</t>
  </si>
  <si>
    <t>decision gate Dec'20</t>
  </si>
  <si>
    <t>FPS</t>
  </si>
  <si>
    <t xml:space="preserve">place holder; 2nd single cell FPS: $300M. </t>
  </si>
  <si>
    <t>FB.51080</t>
  </si>
  <si>
    <t>PMC: Apple Burst (1 in 1 out / Cocolait)</t>
  </si>
  <si>
    <t>FB.56295</t>
  </si>
  <si>
    <t xml:space="preserve">BULC ? </t>
  </si>
  <si>
    <t>FB.58395</t>
  </si>
  <si>
    <t>PH Tide Olympus</t>
  </si>
  <si>
    <t xml:space="preserve">move to B-up </t>
  </si>
  <si>
    <t>New RM: V200-Hand wash PWD/Machine PWD Whiteness Parity to WIN vs. Breeze (Ariel to follow the same design)</t>
  </si>
  <si>
    <t>May-&gt;Jun'21</t>
    <phoneticPr fontId="22" type="noConversion"/>
  </si>
  <si>
    <t>The old hue dye handle strategy was add in premixed minor.
New due dye 0.5-0.8% V200 dosing. 
Option 1, Same with previous due dye handling in premix, should &lt;$20M investment for dosing system smaller change.
option 2, upgrade idled feeders, install new LIW if idled LIWs can't support 120--240kg/h, ~$80M directly capital + tax/clearance fee, and 50% risk of direct cost, and $40M installation and PC&amp;IS.
3. Special controlled WH room 50m2 for 15days V200 material storage, consider the Ariel Germany possible use V200, so may need double WH area  ~$160M</t>
  </si>
  <si>
    <t>double check in Sep FF</t>
  </si>
  <si>
    <t xml:space="preserve">move from Risk to B-Up after getting consumer result </t>
  </si>
  <si>
    <t>scope inclusion of de-humidity; next update after Oct TST, SOS Mar'21 - double check Oct-13</t>
  </si>
  <si>
    <t>funding in Jan'21, lock TBP in Dec'20, SOP in Jun'21</t>
  </si>
  <si>
    <t>$140M ETC, SOP May/Jun'21; monthly spending plan Dec-8</t>
  </si>
  <si>
    <t>FB.58400</t>
  </si>
  <si>
    <t>FB.58403</t>
  </si>
  <si>
    <t>New film structure (Mermaid)</t>
  </si>
  <si>
    <t xml:space="preserve">FEO completed </t>
  </si>
  <si>
    <t xml:space="preserve">no capital needed </t>
  </si>
  <si>
    <t>New film structure</t>
  </si>
  <si>
    <t>Regulation: New Film structure
recyclable material</t>
  </si>
  <si>
    <t>Detailed scopes could be determined after FEO in late FY1920
Potential scopes:
-replacement of sealing bars of bags &amp; sachet machines
-possible forming tube replacement (TBD)</t>
  </si>
  <si>
    <t>FB.58404</t>
  </si>
  <si>
    <t>BIP conversion of S19</t>
  </si>
  <si>
    <t xml:space="preserve">Additional BIP capacity If BIP salience will continue to lean towards Jumbo. S19 could be 1st option since it is sharing a common PDS with S30.
 Conversion of S19 to Jumbo BIP.
. </t>
  </si>
  <si>
    <t>Additional Piab pump, Rotolok diverter valve, Shubham beads dosing unit and extension of beads conveying line of system 1.
Jumbo conversion kit</t>
  </si>
  <si>
    <t>FB.58406</t>
  </si>
  <si>
    <t xml:space="preserve">double check in Sep FF if release or not </t>
  </si>
  <si>
    <t>FB.58793</t>
  </si>
  <si>
    <t>FB.60633</t>
    <phoneticPr fontId="22" type="noConversion"/>
  </si>
  <si>
    <t>FB.60715</t>
  </si>
  <si>
    <t>FE Automation study</t>
  </si>
  <si>
    <t>AMA</t>
  </si>
  <si>
    <t>Online customization driving savings</t>
  </si>
  <si>
    <t>Jun'20 (1st machine)</t>
  </si>
  <si>
    <t>assume FY1920 spend to $0.4MM</t>
  </si>
  <si>
    <t>project cancelled, placeholde</t>
  </si>
  <si>
    <t>Business Change</t>
  </si>
  <si>
    <t>project on-hold, placeholder for other automation study</t>
  </si>
  <si>
    <t>FB.60737</t>
    <phoneticPr fontId="22" type="noConversion"/>
  </si>
  <si>
    <t>Auto-splicing (pilot)</t>
  </si>
  <si>
    <t xml:space="preserve">hold for EOL Ph4? </t>
  </si>
  <si>
    <t>FB.60763</t>
  </si>
  <si>
    <t>DL EOL Automation P1 - Line 2A</t>
  </si>
  <si>
    <t>Automatic EOL shipper packing, weighing and case taping for bags SKUs and auto-stitching for sachets at Line 2A.</t>
  </si>
  <si>
    <t>New EOL dedicated skyway conveyors for UVA machines at L2A
Automatic drop &amp; pack assembly for UVA 1/2/3
Semi-auto case erector units
New case taper - random size, higher capacity
New S-conveyor for PW EOL
Auto-stiching units for S26/27/30
Re-use shipper roller conveyors, checkweigher, case reject conveyor, EOL PW straight conveyors and ISMs.</t>
  </si>
  <si>
    <t>FB.61069</t>
  </si>
  <si>
    <t>Bags Packing CIP</t>
  </si>
  <si>
    <t>new filler (or transfer from BJ plant)</t>
  </si>
  <si>
    <t>when is the latest BJ plant close date</t>
  </si>
  <si>
    <t>FB.61071</t>
  </si>
  <si>
    <t>Packing EOL Capacity Ph3</t>
  </si>
  <si>
    <t>ETC $185M, funding in Oct/Nov'20</t>
  </si>
  <si>
    <t>CIP 32</t>
  </si>
  <si>
    <t>Design only in FY2021</t>
  </si>
  <si>
    <t>check gate Oct'20</t>
  </si>
  <si>
    <t xml:space="preserve">re-layout driven by further speed-up </t>
  </si>
  <si>
    <t>mostly Design in FY2021</t>
  </si>
  <si>
    <t>Additional COVID-19 impact</t>
  </si>
  <si>
    <t>BIP Packing scope carry over</t>
  </si>
  <si>
    <t>Late additional scopes, PSUs and carryover from BIP big bags, auto beads delivery system and bags flexibility solution.</t>
  </si>
  <si>
    <t>Dummy</t>
  </si>
  <si>
    <t>FB.50913</t>
  </si>
  <si>
    <t>Cat-03 regional reserve</t>
  </si>
  <si>
    <t>EM ePLCM placeholder</t>
  </si>
  <si>
    <t>JKT</t>
  </si>
  <si>
    <t>A.03180</t>
    <phoneticPr fontId="22" type="noConversion"/>
  </si>
  <si>
    <t>Sachet CIP</t>
  </si>
  <si>
    <t>A.03387</t>
  </si>
  <si>
    <t>A.03446</t>
    <phoneticPr fontId="0" type="Hiragana"/>
  </si>
  <si>
    <t>Sachet CIP Wave 3 (2 shubham)</t>
  </si>
  <si>
    <t>A.03537</t>
    <phoneticPr fontId="0" type="Hiragana"/>
  </si>
  <si>
    <t>JKT YSL (5th PMC (Cocolait))</t>
  </si>
  <si>
    <t>A.03568</t>
  </si>
  <si>
    <t>ARJ 4</t>
  </si>
  <si>
    <t>ARJ 4 Carry Over</t>
  </si>
  <si>
    <t>SOP delay from Jul'20 to JFM'21 - PCA needed</t>
  </si>
  <si>
    <t>A.03699</t>
  </si>
  <si>
    <t>CLP Speed Up</t>
  </si>
  <si>
    <t>1 CLP speed up from 15t/h to 20t/h
CtD:1.1 Jul'20/0.94 Feb'21</t>
  </si>
  <si>
    <t>Jul'21</t>
  </si>
  <si>
    <t>SOP delay from Jun'20 to JFM'21- PCA needed</t>
  </si>
  <si>
    <t>CLP speed-up SOP in ??, DI water SOP in FY2324</t>
  </si>
  <si>
    <t>B.06805</t>
  </si>
  <si>
    <t xml:space="preserve">FY1920 Non-saving </t>
  </si>
  <si>
    <t>B.06807</t>
  </si>
  <si>
    <t>JAKARTA 1920 04-SAVINGS AE</t>
  </si>
  <si>
    <t>B.06808</t>
  </si>
  <si>
    <t>JAKARTA 1920 01-INITIATIVES AE</t>
  </si>
  <si>
    <t>B.07177</t>
  </si>
  <si>
    <t>B.07178</t>
  </si>
  <si>
    <t>B.07179</t>
  </si>
  <si>
    <t>includes 1 Mespack rapid C/O</t>
  </si>
  <si>
    <t>B.07211</t>
  </si>
  <si>
    <t>Mespack Speed up *3</t>
    <phoneticPr fontId="0" type="noConversion"/>
  </si>
  <si>
    <t>speed up existing 3 Mespacks 50ppm-&gt;TBD</t>
    <phoneticPr fontId="0" type="noConversion"/>
  </si>
  <si>
    <t>JAS'21</t>
    <phoneticPr fontId="0" type="noConversion"/>
  </si>
  <si>
    <t>technical readiness</t>
  </si>
  <si>
    <t>FB.25015</t>
  </si>
  <si>
    <t>FB.31001</t>
  </si>
  <si>
    <t>FB.38261</t>
  </si>
  <si>
    <t>Need to FU BF-20</t>
  </si>
  <si>
    <t>move back from R&amp;O to keep the standard process</t>
  </si>
  <si>
    <t xml:space="preserve">postpone to next FY </t>
  </si>
  <si>
    <t>FB.41487</t>
  </si>
  <si>
    <t>ARJ 6 + Shubham EOL/relocation</t>
    <phoneticPr fontId="0" type="noConversion"/>
  </si>
  <si>
    <t>JKT 6th ARJ</t>
  </si>
  <si>
    <t>6th Ajunior, FP tank - 2050
packing hall expasion - 48
AHU - 125
Shubham EOL modificaiton - 350
Shubham relocation to new spot - 375</t>
    <phoneticPr fontId="0" type="noConversion"/>
  </si>
  <si>
    <t>released in May</t>
  </si>
  <si>
    <t>FB.47545</t>
  </si>
  <si>
    <t>ARJ 5</t>
  </si>
  <si>
    <t>JKT 5th ARJ</t>
  </si>
  <si>
    <t>SOP shift to JFM'22 (from JAS'21) quarter based on Apr end LRCP update</t>
  </si>
  <si>
    <t>FB.51085</t>
  </si>
  <si>
    <t>Place holder for 2nd single FPS</t>
  </si>
  <si>
    <t>FB.51086</t>
  </si>
  <si>
    <t>Pluto -&gt; Pluto 2.0</t>
  </si>
  <si>
    <t>Change: (PH, ID, TH, VN)
JKT: No new PAC MC. New perfume.
Making:  No scope
Packing: JKT mespack modification 
(CBY/JKT/BD have reclosable capability)</t>
  </si>
  <si>
    <t>JKT: 1 Mespack -  200</t>
  </si>
  <si>
    <t>FB.51087</t>
  </si>
  <si>
    <t>AA Senso Restage:
Additional 2 more PAC PMC for total Senso line-up
Perfume :1 in 1 out
（Not PE yet, no formula available. Possible New PAC PMC, new perfume)</t>
  </si>
  <si>
    <t>JFM'22</t>
  </si>
  <si>
    <t>Placeholder for restage; New PMC in AA
Potential scope - 1 PMC skid + dosing skid *3 + site clearance</t>
  </si>
  <si>
    <t>PMC: Apple Burst (new PMC to JKT)</t>
  </si>
  <si>
    <t>FB.56212</t>
  </si>
  <si>
    <t>Bvlgari</t>
  </si>
  <si>
    <t>AA Senso Iron Aid Launch. Formulation comes from site. 
Consumer: mix sachet with water and then spray on the clothes.
Juice making in JKT, packing maybe CM sites</t>
    <phoneticPr fontId="0" type="noConversion"/>
  </si>
  <si>
    <t>decision on Apr-14</t>
  </si>
  <si>
    <t xml:space="preserve">Decision in Feb'21 </t>
  </si>
  <si>
    <t>FB.58718</t>
  </si>
  <si>
    <t>Mespack rapid C/O</t>
  </si>
  <si>
    <t>new request in Apr FF</t>
  </si>
  <si>
    <t>install new ESP</t>
  </si>
  <si>
    <t>ARJ 5 (if accelerate)</t>
  </si>
  <si>
    <t>if acceleration needed</t>
  </si>
  <si>
    <t>TH</t>
  </si>
  <si>
    <t>TH localization</t>
  </si>
  <si>
    <t>6 (base plan) +1.5 (AMA)</t>
  </si>
  <si>
    <t>APAC FM</t>
  </si>
  <si>
    <t>FB.50914</t>
  </si>
  <si>
    <t>Cat-04 regional reserve</t>
  </si>
  <si>
    <t>TAK</t>
  </si>
  <si>
    <t>A.02453</t>
  </si>
  <si>
    <t>Line 3</t>
  </si>
  <si>
    <t>Jan'21</t>
  </si>
  <si>
    <t>$1MM BULC opportunity to be confirmed (Canopy installation), keep same amount given Shamrock upcharge</t>
  </si>
  <si>
    <t>A.02460</t>
  </si>
  <si>
    <t>SUD Asia A3M</t>
  </si>
  <si>
    <t>A.02744</t>
  </si>
  <si>
    <t>Poseidon</t>
  </si>
  <si>
    <t>A.03235</t>
  </si>
  <si>
    <t>Parisienne - PX</t>
  </si>
  <si>
    <t>Surfactant</t>
  </si>
  <si>
    <t>A.03273</t>
    <phoneticPr fontId="0" type="Hiragana"/>
  </si>
  <si>
    <t>Tengu</t>
  </si>
  <si>
    <t>Phase 3 delayed - aligned with Benoit</t>
  </si>
  <si>
    <t>A.03318</t>
    <phoneticPr fontId="0" type="Hiragana"/>
  </si>
  <si>
    <t>Phoenix- L16</t>
  </si>
  <si>
    <t xml:space="preserve">L16 PSU </t>
  </si>
  <si>
    <t>FY1920 spending control considered</t>
  </si>
  <si>
    <t>FY1920 spending control considered $1MM</t>
  </si>
  <si>
    <t>$200M swing double counted in FY1920 and 2021</t>
  </si>
  <si>
    <t>due to city water quote update</t>
  </si>
  <si>
    <t>Phoenix- L18</t>
    <phoneticPr fontId="0" type="noConversion"/>
  </si>
  <si>
    <t>New building, new lines H440x2 or H440+570, making, no new CLP</t>
    <phoneticPr fontId="0" type="noConversion"/>
  </si>
  <si>
    <t>A.03339</t>
  </si>
  <si>
    <t>A.03366</t>
  </si>
  <si>
    <t>Akari</t>
  </si>
  <si>
    <t>closed in Aug'20</t>
  </si>
  <si>
    <t>A.03395</t>
    <phoneticPr fontId="0" type="Hiragana"/>
  </si>
  <si>
    <t>Mespack speed up</t>
  </si>
  <si>
    <t>Local scope modification</t>
  </si>
  <si>
    <t xml:space="preserve">canopy &amp; compressed air </t>
  </si>
  <si>
    <t>A.03453</t>
  </si>
  <si>
    <t>Stream Off</t>
  </si>
  <si>
    <t>Stream off capability, new equipment to pack pods into cartons.</t>
  </si>
  <si>
    <t>move to R&amp;O</t>
  </si>
  <si>
    <t>A.03489</t>
  </si>
  <si>
    <t>Mojito</t>
  </si>
  <si>
    <t>A.03534</t>
  </si>
  <si>
    <t>Piaget 2</t>
  </si>
  <si>
    <t>A.03560</t>
  </si>
  <si>
    <t xml:space="preserve">Ariel - Infinity </t>
  </si>
  <si>
    <t>Price point: 248Y (850g*)
Product:PA35 + Infinity Chassis +
Opacifier for 3rd variant
Package: SSL + online sticker +
PP Transparent BTL for 3rd variant
Conversion: Hard for BTL</t>
  </si>
  <si>
    <t>Aug'19</t>
  </si>
  <si>
    <t xml:space="preserve">$200M for shared unloading layout modification </t>
  </si>
  <si>
    <t xml:space="preserve">release layout modification for pouch loading </t>
  </si>
  <si>
    <t>A.03571</t>
  </si>
  <si>
    <t>Mercury</t>
  </si>
  <si>
    <t>New Cylinder tub line in A-Warehouse, &amp; Making scope</t>
  </si>
  <si>
    <t>A.03580</t>
  </si>
  <si>
    <t>A.03674</t>
  </si>
  <si>
    <t>Phoenix- L17</t>
  </si>
  <si>
    <t xml:space="preserve">TC relocation line, new building, making speed up </t>
    <phoneticPr fontId="0" type="noConversion"/>
  </si>
  <si>
    <t>SOP Dec'21</t>
  </si>
  <si>
    <t>Decision in Dec'20 to trigger B&amp;UF immediately</t>
  </si>
  <si>
    <t xml:space="preserve">Fx-rate change </t>
  </si>
  <si>
    <t xml:space="preserve">Spending double click based on the worst scenario </t>
  </si>
  <si>
    <t>Decision in Dec'20</t>
  </si>
  <si>
    <t>A.03676</t>
  </si>
  <si>
    <t>Shamrock</t>
  </si>
  <si>
    <t>Jun'21</t>
  </si>
  <si>
    <t>4 chamber across base &amp; square tub packaging. 
Baseplan: Cylinder Tub in A-warehouse (additional 2-3 lines), 4 in 1 conversion kit for 3 converters, Making Scope: New dye premix</t>
  </si>
  <si>
    <t>New 3D package option is current being evaluation, capital significantly lower (from 13.7 to 4)</t>
  </si>
  <si>
    <t xml:space="preserve">FY1920 spending control considered </t>
  </si>
  <si>
    <t>Partial in Nov'20</t>
  </si>
  <si>
    <t xml:space="preserve">Potential upcharge? </t>
  </si>
  <si>
    <t>A.03680</t>
  </si>
  <si>
    <t>Infinity</t>
  </si>
  <si>
    <t>Capital Scope: PA35 Premix Dosing system, Low Dosing PMC, Mespack RCO</t>
  </si>
  <si>
    <t>remaining punchlist &amp; COH</t>
  </si>
  <si>
    <t>A.03710</t>
  </si>
  <si>
    <t xml:space="preserve">HDL Miracle C&amp;C </t>
  </si>
  <si>
    <t>Concept: Better than bleach 2018 end PE, re PE
Price point: 698Y (700g)
Product:High AES/AE9NI (instead of AE7 NI)+ Anti-foam (LCAF) + Banco Bliss
Package: Shorter Goldie (or Cylinder BTL?) + SSL? + New Color TP/Cap?
Conversion: New Launch</t>
  </si>
  <si>
    <t>May'20</t>
  </si>
  <si>
    <t>FMA'21</t>
  </si>
  <si>
    <r>
      <t xml:space="preserve">concentrated formula
</t>
    </r>
    <r>
      <rPr>
        <strike/>
        <sz val="10"/>
        <rFont val="Arial"/>
        <family val="2"/>
      </rPr>
      <t>new 3D bottle -Hexgon</t>
    </r>
    <r>
      <rPr>
        <sz val="10"/>
        <rFont val="Arial"/>
        <family val="2"/>
      </rPr>
      <t xml:space="preserve">
Making: assuming running on CLP rate: 22t/h and need 100% AE9 NI
Scope assumption: 
Making: 
3rd NI tank: 1100M
 AE9 to CLP &amp; LPD: 2300
CLP modification: 240M; others: 300M Risk (30%): 1200M
Packing: 700M (pouch TP&amp; cap)</t>
    </r>
  </si>
  <si>
    <t>will fund in FY1920</t>
  </si>
  <si>
    <t>ETC/scope update</t>
  </si>
  <si>
    <t>scope simplification, HLAS investment avoidance, NI tank non-hazard simplification</t>
  </si>
  <si>
    <t>A.03725</t>
  </si>
  <si>
    <t>Power Masterplan Ph4</t>
  </si>
  <si>
    <t>A.03727</t>
  </si>
  <si>
    <t>Bold - Casablanca</t>
  </si>
  <si>
    <t>Bold</t>
  </si>
  <si>
    <t>Concept: TBC in Sep'19 PE ed
Concept: TBC in Oct'19 IR
Price point: Price up Pink/Natural (green) while keep Blue (base)? 
Product:TBC (Keep Pink OAR win juice) 
Package: New 3D BTL to enable pricing?
Conversion: Hard for Pink/Natural?</t>
  </si>
  <si>
    <t xml:space="preserve">- $1.7MM PAC PMC addition
- $2.5 MM for new RM place holder (for PAC PMC aggregation issue)
assuming PAC PMC will use LFE PAC PMC.
Scope assumption:
50M$ modification for PAC skid assuming leverage existing LFE PAC PMC skid. PAC PMC supply: 250M; LPD dosing: 600M; Others: 200M; Indirect: 200M; Risk: 400M
</t>
  </si>
  <si>
    <t>Bold variant only initiative</t>
  </si>
  <si>
    <t>ETC/scope update and prob. increase</t>
  </si>
  <si>
    <t>PMC skid acceleration</t>
  </si>
  <si>
    <t>A.03757</t>
  </si>
  <si>
    <t>Sakura 2.0 (Mass Premium)</t>
  </si>
  <si>
    <t>FPS + CDX/CDB unloading improvement</t>
  </si>
  <si>
    <t>Dec'19</t>
    <phoneticPr fontId="0" type="noConversion"/>
  </si>
  <si>
    <t>Jul/Aug'20</t>
    <phoneticPr fontId="0" type="noConversion"/>
  </si>
  <si>
    <t>Oct'20</t>
    <phoneticPr fontId="0" type="noConversion"/>
  </si>
  <si>
    <t>$160M in FY1920; $1140M in FY2021
FPS ($0.65MM)  + CDX/CDB unloading improvement ($0.65MM)</t>
  </si>
  <si>
    <t>BULC, based on latest ETC $1.6MM</t>
  </si>
  <si>
    <t xml:space="preserve">scope/forecast change </t>
  </si>
  <si>
    <t>scope/forecast update after conceptual design</t>
  </si>
  <si>
    <t>A.03760</t>
    <phoneticPr fontId="22" type="noConversion"/>
  </si>
  <si>
    <t>Aesop</t>
  </si>
  <si>
    <t>HPNS restage</t>
  </si>
  <si>
    <t xml:space="preserve">New Lenor removes cumulative MO thoroughly
- Making: new perfume, two new PMC (7th)
- Packing : </t>
  </si>
  <si>
    <t>Oct'20 end</t>
  </si>
  <si>
    <t>Feb'21</t>
  </si>
  <si>
    <t>new PMC, CDB handling system</t>
  </si>
  <si>
    <t>$200M in FY1920</t>
  </si>
  <si>
    <t xml:space="preserve">project on-hold due to PMC material readiness; PC delay? </t>
  </si>
  <si>
    <t>consumer test result available in Dec'20 (option 1: PMC + increasing % of BFA + one more RM needed, ETC $5.2MM; Option 2: PMC + CDB, ETC $3.4MM); PC end Oct'20; SOS Fall'21; SOP Jun'21</t>
  </si>
  <si>
    <t>A.03836</t>
  </si>
  <si>
    <t>ESP#1 replacement</t>
  </si>
  <si>
    <t>A.03866</t>
  </si>
  <si>
    <t>inspection WH</t>
  </si>
  <si>
    <t xml:space="preserve">Decision in Oct end'20; </t>
  </si>
  <si>
    <t>A.03868</t>
  </si>
  <si>
    <t>Inhouse SSL sticker capability/Big Sticker</t>
  </si>
  <si>
    <t>Package</t>
  </si>
  <si>
    <t>Relocate Line 1 sticker machine to enable sticker on SSL bottle</t>
  </si>
  <si>
    <t xml:space="preserve">Line 1 EOL layout rearrangement </t>
  </si>
  <si>
    <t>A.03886</t>
  </si>
  <si>
    <t>Tsugi-3D bottle change</t>
  </si>
  <si>
    <t>placeholder</t>
  </si>
  <si>
    <t>Mar'22</t>
  </si>
  <si>
    <t xml:space="preserve">Placeholder </t>
  </si>
  <si>
    <t>new request, move from R&amp;O</t>
  </si>
  <si>
    <t>increase prob. from 50% to 75%</t>
  </si>
  <si>
    <t>SIMPL gate check with Alex</t>
  </si>
  <si>
    <t xml:space="preserve">$0.3MM MRA scope inclusion </t>
  </si>
  <si>
    <t>Tsugi cancelled in early Dec</t>
  </si>
  <si>
    <t>A.03889</t>
  </si>
  <si>
    <t>Liquid Pouch speed-up</t>
  </si>
  <si>
    <t>L11 Mar'21; L13 AMJ'21; L15 Jan'21; Line 14 tbd</t>
  </si>
  <si>
    <t xml:space="preserve">Line 11/13 speed-up </t>
  </si>
  <si>
    <t xml:space="preserve">Partial planned in Jan'21 </t>
  </si>
  <si>
    <t>A.03897</t>
  </si>
  <si>
    <t>Aquarius (Jokin)</t>
  </si>
  <si>
    <t>PE in Sep'20; prelim $1MM authorized, funding in mid-Oct; consumer test by end Oct'20; PC in Nov'20; Nov end'20 start construction (scaffolding), Partial funding in Dec'20; LPA Feb'21, PQ Jan'21. ETC $2-3MM (14% CA, under consumer test), if increase CA% to 28% (if consumer test failed), ETC $3-4MM; $0.5MM MRA scope inclusion</t>
  </si>
  <si>
    <t>A.03918</t>
  </si>
  <si>
    <t>Tranquility - #7 PMC in TAK</t>
  </si>
  <si>
    <t>Vendome restage</t>
  </si>
  <si>
    <t>Improve the quality of your sleep environment by stress release
- Making: New PMC (6th), No incremental perfume - discontinue one variant, but not yet lcoked
- Packing: 2D upgrade, no ENG scope</t>
  </si>
  <si>
    <t>end Oct'20</t>
  </si>
  <si>
    <t>Placeholder for Vendome restage, maybe tranquility PMC,</t>
  </si>
  <si>
    <t xml:space="preserve">new PMC requires unloading room modifications </t>
  </si>
  <si>
    <t>will trigger HDL PMC room modification, PC in Sep/Oct'20, SOS Fall'21</t>
  </si>
  <si>
    <t>$1MM if low cost solution to be identified by Oct end'20</t>
  </si>
  <si>
    <t>A.03923</t>
  </si>
  <si>
    <t>MEASWT unloading automation</t>
  </si>
  <si>
    <t>SWT Bulk Handling (1.5), Dye Automation carry over (0.1)</t>
  </si>
  <si>
    <t>MEASWT bulk handling, Dye automation, automation AGV</t>
  </si>
  <si>
    <t>Premix automation ($0.5MM)</t>
  </si>
  <si>
    <t>Premix automation (ETC $0.5MM); Oct/Nov'20 partial funding</t>
  </si>
  <si>
    <t>SWT automation</t>
  </si>
  <si>
    <t>A.03927</t>
  </si>
  <si>
    <t>AutoStop cap</t>
  </si>
  <si>
    <t>Auto dose cap to replace current D2D cap for both base and HPNS</t>
  </si>
  <si>
    <t>Packing line modification:
- New sorter (take off current one)
- Capper modification
- Cap guide
- Cap starwheel
- Case packer gripper</t>
  </si>
  <si>
    <t>funding timing？</t>
  </si>
  <si>
    <t>update in Nov FF</t>
  </si>
  <si>
    <t>A.03943</t>
  </si>
  <si>
    <t>Line 3 speed-up (20%)</t>
  </si>
  <si>
    <t xml:space="preserve">Line 3: ETC $1MM, speed-up %, 120-140bpm </t>
  </si>
  <si>
    <t>A.03947</t>
  </si>
  <si>
    <t>Line 1 speed-up</t>
  </si>
  <si>
    <t>Decision gate in JFM'21</t>
  </si>
  <si>
    <t xml:space="preserve">Partial in Mar'21, or trigger new bottle line? </t>
  </si>
  <si>
    <t>A.03948</t>
    <phoneticPr fontId="22" type="noConversion"/>
  </si>
  <si>
    <t>Synchronized PDS</t>
  </si>
  <si>
    <t xml:space="preserve">new warehouse to enable SPDS for T&amp;W saving </t>
  </si>
  <si>
    <t xml:space="preserve">ETC $11MM </t>
  </si>
  <si>
    <t>B.06813</t>
  </si>
  <si>
    <t>B.06814</t>
  </si>
  <si>
    <t>FY1920 Shared Non-saving</t>
  </si>
  <si>
    <t>B.06816</t>
  </si>
  <si>
    <t>TAKASAKI 1920 HDL ePLCM 03-NON SAVINGS A</t>
  </si>
  <si>
    <t>B.06818</t>
  </si>
  <si>
    <t>B.06819</t>
  </si>
  <si>
    <t>Shared FY1920 Saving</t>
  </si>
  <si>
    <t>B.06822</t>
  </si>
  <si>
    <t>SUD Miracle C&amp;C</t>
  </si>
  <si>
    <t>New RM HOD base and high level of Brigtener to LPD.</t>
  </si>
  <si>
    <t>B.07183</t>
  </si>
  <si>
    <t>B.07184</t>
  </si>
  <si>
    <t>FY2021 Shared Non-Saving</t>
  </si>
  <si>
    <t>B.07185</t>
  </si>
  <si>
    <t>B.07188</t>
  </si>
  <si>
    <t>B.07189</t>
  </si>
  <si>
    <t>FY2021 Shared Saving AE</t>
  </si>
  <si>
    <t>B.07217</t>
  </si>
  <si>
    <t>LPD 1 connection to Line 5</t>
  </si>
  <si>
    <t>Connect Line 5 (reduce x-platform C/O vs. L14) to HDL LPD 1</t>
  </si>
  <si>
    <t xml:space="preserve">change to Line 5 </t>
  </si>
  <si>
    <t>B.07219</t>
  </si>
  <si>
    <t>follow-up from Martini 1.0)</t>
  </si>
  <si>
    <t>PMC dosing level (lower dosage); needs not urgent, if after Martini SOP in Jan'21; check the leadtime of double needle valve</t>
  </si>
  <si>
    <t>check if needed</t>
  </si>
  <si>
    <t>eCom shipper</t>
  </si>
  <si>
    <t xml:space="preserve">Line 5 EOL modification for X-platform Costco shipper and E-com shipper, scope includes former modification, stopper modification. Nov/Dec funding </t>
  </si>
  <si>
    <t>FB.16667</t>
  </si>
  <si>
    <t>FB.16775</t>
  </si>
  <si>
    <t>FB.24930</t>
  </si>
  <si>
    <t>FB.50709</t>
  </si>
  <si>
    <t>FB.58291</t>
  </si>
  <si>
    <t>TAK New LPD E</t>
    <phoneticPr fontId="0" type="noConversion"/>
  </si>
  <si>
    <t>New LPD E to support L14 and L5</t>
    <phoneticPr fontId="0" type="noConversion"/>
  </si>
  <si>
    <t>Building/Facility: New building $5MM
Making: New LPD E $2500M; RM skids upgrade + piping from WB tank to LPD, $2500M; 
Base plan is 9.6t/h; value added is 22t/h</t>
  </si>
  <si>
    <t>FM LRCP update in mid-Nov'20</t>
  </si>
  <si>
    <t xml:space="preserve">Oct end'20 align base plan </t>
  </si>
  <si>
    <t>FB.58292</t>
  </si>
  <si>
    <t>Synergy - CDX handling</t>
  </si>
  <si>
    <t>Three more CDX/CDB unloading &amp; dosing system on 3 LPDs
CDX RM tank
CDB RM tank
site clearance</t>
  </si>
  <si>
    <t>combine with Aesop</t>
  </si>
  <si>
    <t>FB.58295</t>
  </si>
  <si>
    <t>case count L11 &amp; L5; costco shipper</t>
  </si>
  <si>
    <t>Costco Shipper</t>
  </si>
  <si>
    <t>1) 6 -&gt; 4 case count change (costco shipper), HDL/FE/Home Care x-platform requirements and FE will cover, ETC $0.2-0.3MM, $0.7MM saving/yr; 2) Refill TD reduction, $0.25MM ETC, saving $0.3MM/yr; 3) 6 -&gt;8 case count  change, ETC under study (FE saving less than HDL)</t>
  </si>
  <si>
    <t>FB.58297</t>
  </si>
  <si>
    <t>TAK CLP Speed up</t>
    <phoneticPr fontId="0" type="noConversion"/>
  </si>
  <si>
    <t>15t/h --&gt; 20t/h of 2 CLP</t>
  </si>
  <si>
    <t>speed up existing 2 CLP</t>
    <phoneticPr fontId="0" type="noConversion"/>
  </si>
  <si>
    <t>FB.58298</t>
  </si>
  <si>
    <t>Line 11 speed-up</t>
  </si>
  <si>
    <t>Flush nozzle *12,  Sealbar modification</t>
  </si>
  <si>
    <t>FB.58299</t>
  </si>
  <si>
    <t>Pumps, Flowmeter replacement</t>
  </si>
  <si>
    <t>fianancials assessment</t>
  </si>
  <si>
    <t>FB.58369</t>
  </si>
  <si>
    <t>3D bottle change</t>
  </si>
  <si>
    <t>move to B-Up</t>
  </si>
  <si>
    <t>FB.58370</t>
  </si>
  <si>
    <t>AIT4X</t>
  </si>
  <si>
    <t>place holder, high concetrate formula for auto dose. Scope assumption:
shipping out capability at SUD and receiving capability at TAK</t>
  </si>
  <si>
    <t>FB.58371</t>
  </si>
  <si>
    <t>Concept: TBC
Price point: TBC
Product: Pro-biotics?
Package: CDI?
Conversion: TBC</t>
  </si>
  <si>
    <r>
      <t xml:space="preserve">Chassis upgarde with new RM MOR/MOP upgrade (benchmark with Infinity) and 10% compat formula (due to small bottle)
Package: new 3D cap (auto dose)
</t>
    </r>
    <r>
      <rPr>
        <u/>
        <sz val="10"/>
        <rFont val="Arial"/>
        <family val="2"/>
      </rPr>
      <t xml:space="preserve">Scope: </t>
    </r>
    <r>
      <rPr>
        <sz val="10"/>
        <rFont val="Arial"/>
        <family val="2"/>
      </rPr>
      <t xml:space="preserve">
Making: RM skid 500M &amp; transfer 250M, LPD dosing: 600M, others 200M, Indirect: 450M, Risk: 600
LPD modification (place holder for 2 RM parts increase): 900M. 
Packing: place holder 500M$(cap sorter and case packer C/O)</t>
    </r>
  </si>
  <si>
    <t xml:space="preserve">PC in Mar'21, SOS ? </t>
  </si>
  <si>
    <t>FB.58372</t>
  </si>
  <si>
    <t>2.4kg localization</t>
  </si>
  <si>
    <t>move out from Aug FF</t>
  </si>
  <si>
    <t>FB.58373</t>
  </si>
  <si>
    <t xml:space="preserve">1) $200M for Senso WB reblend capability, ROR 63% SOP in JFM'21; 2) &gt;$500M for case count change (6 -&gt; 8) $2.1MM saving HDL&amp;FE, SOP in AMJ'21? ; 3) $0.5-2MM Natrual NI in HDL, under discussion </t>
  </si>
  <si>
    <t xml:space="preserve">case count change ($0.5MM) , AMJ'21 SOP; financials assessment? </t>
  </si>
  <si>
    <t>Case Count change</t>
  </si>
  <si>
    <t>FB.58375</t>
  </si>
  <si>
    <t>Bold PLE Serendipity</t>
  </si>
  <si>
    <t>SOS: JFM'22
Concept: EDL-In Care
Price point: 698Y (750g)
Product:FEI work to support concept
Package:  Winpack BTL? + Flower Cap?
Conversion: New Launch</t>
  </si>
  <si>
    <t>Mar'21</t>
  </si>
  <si>
    <t>Formula: place holder for PX???
Package: new 3D bottle winpack
PD: 
or more Cathec -&gt; premix system capability constraint
Scope assumption: 
Making: bechmark scope from LFE: CDX/CDB/Silicion system+ static mixer and 500L buffer tank and pressured hopper (1sets 1500M$ direct): 4500 M (Bottle/CTRG/Refill)additional for HDL space place holder: 500M, indirect: 1000. Risk: 1500
Packing:  1500M (filler/capper C/O unscrambler major modification)</t>
  </si>
  <si>
    <t>FB.58376</t>
  </si>
  <si>
    <t>Placeholder for package innovation</t>
  </si>
  <si>
    <t>place holder</t>
  </si>
  <si>
    <t>packaging (Pouch &amp; SSL) innovation for sustainability program
bag in BOX or circularity in packaging  place holder 2MM</t>
  </si>
  <si>
    <t>FB.58378</t>
  </si>
  <si>
    <t>Misa Leverage</t>
  </si>
  <si>
    <t>Fix Pink ORA parity (FNB, Kao)</t>
  </si>
  <si>
    <t>Jan'20</t>
  </si>
  <si>
    <t>FB.58386</t>
  </si>
  <si>
    <t>Line 3 Phase 2 -  bag leg</t>
  </si>
  <si>
    <t>additional bag leg (Mespack Line)</t>
  </si>
  <si>
    <t>chek gate Oct'20</t>
  </si>
  <si>
    <t>Approved to delay the additional bag leg to 2223 &amp; decision in 2122</t>
  </si>
  <si>
    <t>FB.58387</t>
  </si>
  <si>
    <t>Infinity 2.0</t>
  </si>
  <si>
    <t>MJJ'21</t>
  </si>
  <si>
    <t>Packing Changeover parts</t>
  </si>
  <si>
    <t>FB.58388</t>
  </si>
  <si>
    <t>Miracle 2.0</t>
  </si>
  <si>
    <t>OND '21</t>
  </si>
  <si>
    <t>New CLP RM and LPD Modifications</t>
  </si>
  <si>
    <t>FB.58389</t>
  </si>
  <si>
    <t>Hercules</t>
  </si>
  <si>
    <t>Upgrade LPD</t>
  </si>
  <si>
    <t>FB.58390</t>
  </si>
  <si>
    <t>Serendipty</t>
  </si>
  <si>
    <t>Scope: Softness care benefits, PX technology (New RM in the LPD)
Concept: EDL-In Care, Price point: 698Y, Product:FEI work to support concept + 4in1 pod, Package: Cylinder Tub
Conversion: New Launch
Scope Assumption: New RM and LPD Upgrade</t>
  </si>
  <si>
    <t>FB.58391</t>
  </si>
  <si>
    <t>Akari 3.0</t>
  </si>
  <si>
    <t>Akari Restage X-Form, HDL New 3D BTL, Hard conv for BTL
Scope Assumption: Equipment upgrade - Perfume &amp; LPD</t>
  </si>
  <si>
    <t>FB.58392</t>
  </si>
  <si>
    <t>Infinity leverage</t>
  </si>
  <si>
    <t>Concept: Pillow MO Cleaning or Pro-biotics WM Tub (tbc), Price point: No Change vs. Infinity, Product:Green formula meaningful differentiation to strenghten claim support? (tbc), Package: AW change only, Conversion: Mid for Tub
Scope Assumption: RM dosing upgrade</t>
  </si>
  <si>
    <t>FB.58683</t>
  </si>
  <si>
    <t>PMC Temporature control water system CIP</t>
  </si>
  <si>
    <t>Water genarator upgrade for new PMC</t>
  </si>
  <si>
    <t>scope incorporated into Sakura 2.0</t>
  </si>
  <si>
    <t>FB.60686</t>
  </si>
  <si>
    <t>Martini 2.0 - #8 PMC in TAK</t>
  </si>
  <si>
    <t>Spring'21</t>
  </si>
  <si>
    <t>New PMC</t>
  </si>
  <si>
    <t>FB.64663</t>
  </si>
  <si>
    <t>MRA follow-up</t>
  </si>
  <si>
    <t>Benoit aligned in Aug</t>
  </si>
  <si>
    <t>FB.64700</t>
  </si>
  <si>
    <t>Pouch Loading L11 2nd filler</t>
  </si>
  <si>
    <t>Line 13/11 roll-out (pilot line)</t>
  </si>
  <si>
    <t>see detail cal. In AMA masterplan</t>
  </si>
  <si>
    <t>50% DP in FY2021 (layout modification in Infinity, $0.2MM all spent in FY2021)</t>
  </si>
  <si>
    <t>FB.64701</t>
  </si>
  <si>
    <t>Auto case loading</t>
  </si>
  <si>
    <t xml:space="preserve">eTAMU, case loading ? </t>
  </si>
  <si>
    <t xml:space="preserve">ETC $0.5MM </t>
  </si>
  <si>
    <t>FB.64707</t>
  </si>
  <si>
    <t>LPD D connection to Line 14</t>
  </si>
  <si>
    <t>NSS driven</t>
  </si>
  <si>
    <t>Piping connection from LPD-D to L15.</t>
  </si>
  <si>
    <t>FM LRCP Nov'20; EM LRCP Dec'20</t>
  </si>
  <si>
    <t xml:space="preserve">need Line 14 or 10 by JAS'22, Leadtime 6mons </t>
  </si>
  <si>
    <t>FB.66682</t>
  </si>
  <si>
    <t>funding in Feb/Mar'21</t>
  </si>
  <si>
    <t>FB.66948</t>
  </si>
  <si>
    <t>Phoenix- L19</t>
    <phoneticPr fontId="0" type="noConversion"/>
  </si>
  <si>
    <t>AMJ'23</t>
  </si>
  <si>
    <t>New building, new lines, New CLP</t>
    <phoneticPr fontId="0" type="noConversion"/>
  </si>
  <si>
    <t>TAK bottle line replatform (MOQ1), formerly known as Sakura bottle localization</t>
  </si>
  <si>
    <t>Localize the MP bottle in TAK</t>
    <phoneticPr fontId="0" type="noConversion"/>
  </si>
  <si>
    <t>Packing base plan: MOQ1 Line
Making: pioing supply to bottle line
Alternative Options:
1) CM solutions
2) Other mature packing lines in TAK</t>
  </si>
  <si>
    <t>aligned move out on Jan-16 review with Benson</t>
  </si>
  <si>
    <t xml:space="preserve">HLAS Phase 3 delay </t>
  </si>
  <si>
    <t xml:space="preserve">Aesop (Variquat + Packing) </t>
  </si>
  <si>
    <t>Slic introduction to senso/BFA % change/new PMC
New RM, PMC  
Potencial to extend MP formula to HPNS, new LLPD and surge hopper on L1/L11/L10</t>
  </si>
  <si>
    <t>$1.5MM for 3D bottle change</t>
  </si>
  <si>
    <t xml:space="preserve">$1.5MM for 3D bottle change released; $2MM for CDX/Silc, consumer test result learning in Nov'20 </t>
  </si>
  <si>
    <t xml:space="preserve">move to B-up in Oct FF </t>
  </si>
  <si>
    <t>JP - Sakura 3.0</t>
  </si>
  <si>
    <t>Prevent color fading and keep clothes as if newly bought (color, pilling, wrinkle, bottle shape) - no tech solution yet
- Making: New ingredient/formulation
- Packing: 2D upgrade, no ENG scope</t>
  </si>
  <si>
    <t>Making: new ingredient for color protection 
- Material supply and dosing to 4 LPDs
- Material handling</t>
  </si>
  <si>
    <t>SUD AGV</t>
  </si>
  <si>
    <t>Priority 2</t>
  </si>
  <si>
    <t>Line 11 auto C/O solution</t>
    <phoneticPr fontId="0" type="noConversion"/>
  </si>
  <si>
    <t>reapply BD concept, upgrade the design</t>
    <phoneticPr fontId="0" type="noConversion"/>
  </si>
  <si>
    <t>Change Parts</t>
    <phoneticPr fontId="0" type="noConversion"/>
  </si>
  <si>
    <t>SOP postpone by 2yrs</t>
  </si>
  <si>
    <t>Ariel Infinity- moonshot &amp; pouch CMR</t>
  </si>
  <si>
    <t>aligned no need 3rd tank for moonshot formula</t>
  </si>
  <si>
    <t>Wakaba</t>
  </si>
  <si>
    <t>Line 11 FE qualification</t>
  </si>
  <si>
    <t>delay from Fy1920</t>
  </si>
  <si>
    <t>Tengu Ph3 SLE3S option</t>
  </si>
  <si>
    <t>monthly $M</t>
  </si>
  <si>
    <t>cum $M</t>
  </si>
  <si>
    <t>cum $MM</t>
  </si>
  <si>
    <t>FYTD spending</t>
  </si>
  <si>
    <t>detailed spending plan of site utility scope $0.4MM in May</t>
  </si>
  <si>
    <t>FY1920 FE Cat-01 Initiative AE</t>
  </si>
  <si>
    <t>Marshmallow (PMC)</t>
  </si>
  <si>
    <t>FB.57249</t>
  </si>
  <si>
    <t>KR - regulation relevant/perforation, Tesla(wiper label)</t>
    <phoneticPr fontId="22" type="noConversion"/>
  </si>
  <si>
    <t>KR - Package placholder: flower cap, etc</t>
  </si>
  <si>
    <t xml:space="preserve">bottle shape/size change </t>
  </si>
  <si>
    <t>FB.60684</t>
  </si>
  <si>
    <t>KR - Reapply JP MP formula/Bottle</t>
  </si>
  <si>
    <t>FB.66194</t>
  </si>
  <si>
    <t>FB.66195</t>
  </si>
  <si>
    <t>EOL Capacity Ph2</t>
  </si>
  <si>
    <t>CABUYAO HOMECARE 1920 03-NON SAVINGS AE</t>
  </si>
  <si>
    <t xml:space="preserve">why 80$M in AM'21 only? </t>
  </si>
  <si>
    <t>1920 Saving</t>
  </si>
  <si>
    <t>FY2021 CABUYAO DL 01-INITIATIVES</t>
  </si>
  <si>
    <t>Shubham Speed-up (Pilot Machine)</t>
  </si>
  <si>
    <t>AMJ'21-AMJ'22</t>
  </si>
  <si>
    <t>Royce Summer(PMC placeholder-Apple Burst)</t>
    <phoneticPr fontId="22" type="noConversion"/>
  </si>
  <si>
    <t>HAV200 (formerly PH Tide Olympus)</t>
  </si>
  <si>
    <t xml:space="preserve">placeholder for scan station? </t>
  </si>
  <si>
    <t>FB.60737</t>
  </si>
  <si>
    <t>A.03180</t>
  </si>
  <si>
    <t>Introduce Iron Acid to concentrated Formula</t>
  </si>
  <si>
    <t>SUD Asia capacity increase</t>
  </si>
  <si>
    <t>L1 new TP rotation camera</t>
  </si>
  <si>
    <t>FB.30526</t>
  </si>
  <si>
    <t>FB.49225</t>
  </si>
  <si>
    <t>IT related scope</t>
  </si>
  <si>
    <t>FB.58293</t>
  </si>
  <si>
    <t xml:space="preserve">possible to postpone to next FY </t>
  </si>
  <si>
    <t>Osiris (Infinty 2.0)</t>
  </si>
  <si>
    <t>FB.66224</t>
  </si>
  <si>
    <t>CD</t>
  </si>
  <si>
    <t>B.06798</t>
    <phoneticPr fontId="22" type="noConversion"/>
  </si>
  <si>
    <t>FY1920 Non-Saving AE</t>
    <phoneticPr fontId="22" type="noConversion"/>
  </si>
  <si>
    <t>B.07172</t>
    <phoneticPr fontId="22" type="noConversion"/>
  </si>
  <si>
    <t>FY2021 Non-Saving AE</t>
  </si>
  <si>
    <t>B.07175</t>
    <phoneticPr fontId="22" type="noConversion"/>
  </si>
  <si>
    <t>FB.58408</t>
  </si>
  <si>
    <t>PEPE; Salt in Crutcher; Perfume reduction</t>
  </si>
  <si>
    <t>FB.58409</t>
  </si>
  <si>
    <t>Softness</t>
  </si>
  <si>
    <t>Small size donot need capital;
Big size in process wait for confirmation</t>
  </si>
  <si>
    <t>FB.58410</t>
  </si>
  <si>
    <t>Tide BiP</t>
  </si>
  <si>
    <t>19 to 10 layers
Manual bar shape packing at 55MSU</t>
  </si>
  <si>
    <t>zero capital ENG solution</t>
  </si>
  <si>
    <t>Will confirm in Dec FF.</t>
  </si>
  <si>
    <t>ESS site</t>
  </si>
  <si>
    <t>New Form</t>
  </si>
  <si>
    <t>A.03361</t>
  </si>
  <si>
    <t>KR LGF SOLID FOAM</t>
  </si>
  <si>
    <t>FB.58411</t>
  </si>
  <si>
    <t>PH Hand Wash FE</t>
  </si>
  <si>
    <t>Anti wrinkle formula w/ dissolution improvement
PMC inside foam
continuous sachet pack (not cut through)</t>
  </si>
  <si>
    <t>Nov early</t>
  </si>
  <si>
    <t>*Modification on sachet packing(70M)
*New Perfume system (150M)
*Demolding &amp; separation development(130M)
*Risk (50M$)</t>
  </si>
  <si>
    <t>SOS AMJ'21, LRCP in Aug/Sep'20</t>
  </si>
  <si>
    <t>Volume changes a lot. PC on Nov 6th</t>
    <phoneticPr fontId="22" type="noConversion"/>
  </si>
  <si>
    <t>FB.58412</t>
  </si>
  <si>
    <t>KR Gen 2.0</t>
  </si>
  <si>
    <t>19 to 12 layers, size smaller(from 70mm to 55mm?)
Formula change to soft foam
2.49 to 4.6g perfume dose for 2 times
Paper sachet
Bar shape auto carton</t>
  </si>
  <si>
    <t>*New die cutter demolding module (150M)
*Belt conveying extention and layout retrofit(50M)
*Auto carton changeover or new forming and closing machine.(100M)
*Undefined, ENG, Risks (60M)</t>
  </si>
  <si>
    <t>decision hold until OND'20</t>
  </si>
  <si>
    <t>on-hold, decision in JFM'21</t>
  </si>
  <si>
    <t>Will double check on Dec FF</t>
    <phoneticPr fontId="22" type="noConversion"/>
  </si>
  <si>
    <t>FB.58413</t>
  </si>
  <si>
    <t>JPN/GC Degerm</t>
  </si>
  <si>
    <t>Bleach addition
inner hole process on sheet?
Edge seal with NI?</t>
  </si>
  <si>
    <t>*Bleach premix system (200M)
*Dosing system (100M)
*Undefined, ENG, Risks (50M)</t>
  </si>
  <si>
    <t>project scope TBD, ENG leadtime 6-9mons after production design locked</t>
  </si>
  <si>
    <t>decision in OND'20 after product design completion</t>
  </si>
  <si>
    <t>next check gate Oct end'20</t>
  </si>
  <si>
    <t xml:space="preserve">still in FEI phase </t>
  </si>
  <si>
    <t>FB.58414</t>
  </si>
  <si>
    <t>HW &amp; MW Hueying Dye</t>
  </si>
  <si>
    <t>Foam formulation tuning?</t>
  </si>
  <si>
    <t xml:space="preserve">deprioritized </t>
  </si>
  <si>
    <t>FB.58415</t>
  </si>
  <si>
    <t>GC dish</t>
  </si>
  <si>
    <t>Similar formula as detergent foam
GMP requirement?</t>
  </si>
  <si>
    <t>Muffin</t>
  </si>
  <si>
    <t>TC</t>
  </si>
  <si>
    <t>A.03132</t>
  </si>
  <si>
    <t>AGV</t>
  </si>
  <si>
    <t>project on-hold due to affordability issue</t>
  </si>
  <si>
    <t>Project will close out in Feb'21</t>
    <phoneticPr fontId="22" type="noConversion"/>
  </si>
  <si>
    <t>A.03577</t>
  </si>
  <si>
    <t>GC shorter bottle</t>
  </si>
  <si>
    <t xml:space="preserve">SOS: JFM' 21 
Concept: To fit for Dosie 125 cap, shorter current Goldie 2$3L bottle
Product:: All GC and HKTW HDL Brands including Tide, Airel, Downy, Fab 
Package: 2kg/3kg bottle
Conversion: soft conversion </t>
  </si>
  <si>
    <t>Jun'19</t>
  </si>
  <si>
    <t>project on-hold</t>
  </si>
  <si>
    <t>project on-hold, need PCA</t>
  </si>
  <si>
    <t>A.03839</t>
  </si>
  <si>
    <t>SUD Temple</t>
  </si>
  <si>
    <t xml:space="preserve">BULC &amp; Construction Lean IPD, waste water scope in </t>
  </si>
  <si>
    <t>Partial funding with Ariel scope</t>
    <phoneticPr fontId="22" type="noConversion"/>
  </si>
  <si>
    <t>B.06799</t>
  </si>
  <si>
    <t>TAICANG 1920 03 NON-SAVING</t>
  </si>
  <si>
    <t>B.06800</t>
  </si>
  <si>
    <t xml:space="preserve">TAICANG 1920 HDL ePLCM </t>
  </si>
  <si>
    <t>eTAMU</t>
  </si>
  <si>
    <t>ETAMU refunded in FY2021 WBS</t>
    <phoneticPr fontId="22" type="noConversion"/>
  </si>
  <si>
    <t>B.06802</t>
  </si>
  <si>
    <t>TAICANG FC 1920 Saving AE (sulfate replace NaF)</t>
  </si>
  <si>
    <t>B.06804</t>
  </si>
  <si>
    <t>TAICANG FC 1920 01-INITIATIVES AE (Rainbow)</t>
  </si>
  <si>
    <t>$60M speed-up; $185M Color 3</t>
  </si>
  <si>
    <t>speed-up stopped and release budget</t>
    <phoneticPr fontId="22" type="noConversion"/>
  </si>
  <si>
    <t>Rainbow budget allocation</t>
    <phoneticPr fontId="22" type="noConversion"/>
  </si>
  <si>
    <t>B.07173</t>
  </si>
  <si>
    <t>A new perfume storage WH for JP BCP</t>
    <phoneticPr fontId="22" type="noConversion"/>
  </si>
  <si>
    <t>B.07174</t>
  </si>
  <si>
    <t>Place Holder</t>
  </si>
  <si>
    <t>B.07176</t>
  </si>
  <si>
    <t>incl. on-line customization (自动码垛机)</t>
  </si>
  <si>
    <t xml:space="preserve">on-line customization increase $15M </t>
  </si>
  <si>
    <t>B.07212</t>
  </si>
  <si>
    <t>TAICANG FC 2021 01-INITIATIVES AE (Rainbow)</t>
  </si>
  <si>
    <t>ETC reduced</t>
  </si>
  <si>
    <t>Ariel Proxima +Rainbow</t>
    <phoneticPr fontId="22" type="noConversion"/>
  </si>
  <si>
    <t>1 new WB</t>
  </si>
  <si>
    <t>FB.24923</t>
  </si>
  <si>
    <t>4kg bottle</t>
  </si>
  <si>
    <t>Produce 4kg bottle in GGL for TDC saving</t>
  </si>
  <si>
    <t>under discussion, decision in Aug'20, funding in Sep'20</t>
  </si>
  <si>
    <t>FB.54069</t>
  </si>
  <si>
    <t>Customization</t>
  </si>
  <si>
    <t xml:space="preserve">what’s the affordability limit? </t>
  </si>
  <si>
    <t>Site developed low cost solution &lt; $70M to deliver capacity needs. No needs for full automation further more</t>
  </si>
  <si>
    <t>Cancelled</t>
  </si>
  <si>
    <t>SUD Tide localization</t>
    <phoneticPr fontId="22" type="noConversion"/>
  </si>
  <si>
    <t>Feb'20 go/no go decision and when</t>
  </si>
  <si>
    <t>side by side roll-out and super impose</t>
  </si>
  <si>
    <t>FB.58695</t>
  </si>
  <si>
    <t>SUD Ariel promixa</t>
    <phoneticPr fontId="22" type="noConversion"/>
  </si>
  <si>
    <t>new request in Sep FF</t>
    <phoneticPr fontId="22" type="noConversion"/>
  </si>
  <si>
    <t>move to SUD localization</t>
  </si>
  <si>
    <t>FB.58698</t>
  </si>
  <si>
    <t>HDL restage A&amp;T</t>
  </si>
  <si>
    <t>FY2021 restage
SOS: JFM'21</t>
  </si>
  <si>
    <t>1 new RM </t>
  </si>
  <si>
    <t>FB.58700</t>
  </si>
  <si>
    <t>KR low PH</t>
  </si>
  <si>
    <t>1 new WB tank</t>
    <phoneticPr fontId="22" type="noConversion"/>
  </si>
  <si>
    <t>new project in Nov FF</t>
  </si>
  <si>
    <t>FB.58703</t>
  </si>
  <si>
    <t>Flexible Warehouse</t>
  </si>
  <si>
    <t>No need for FY2021</t>
    <phoneticPr fontId="22" type="noConversion"/>
  </si>
  <si>
    <t>Donwy Frette</t>
  </si>
  <si>
    <t>1 new PMC</t>
  </si>
  <si>
    <t xml:space="preserve">8816$M funded GTM (incl. SPDS) </t>
  </si>
  <si>
    <t>Synergy</t>
  </si>
  <si>
    <t xml:space="preserve">Line 17 </t>
  </si>
  <si>
    <t>$3.6MM</t>
  </si>
  <si>
    <t>$2.2MM</t>
  </si>
  <si>
    <t>$1MM</t>
  </si>
  <si>
    <t>$2.6MM</t>
  </si>
  <si>
    <t>$2.9MM</t>
  </si>
  <si>
    <t>FM</t>
  </si>
  <si>
    <t>47-49</t>
  </si>
  <si>
    <t>EM</t>
  </si>
  <si>
    <t>28-29</t>
  </si>
  <si>
    <t>75-78</t>
  </si>
  <si>
    <t>Project Number</t>
  </si>
  <si>
    <t xml:space="preserve">WBS </t>
  </si>
  <si>
    <t>Project Name</t>
    <phoneticPr fontId="22" type="noConversion"/>
  </si>
  <si>
    <t>Category</t>
    <phoneticPr fontId="22" type="noConversion"/>
  </si>
  <si>
    <t>Jul-Feb (Actuals)</t>
  </si>
  <si>
    <t>FY2122 carry over</t>
    <phoneticPr fontId="22" type="noConversion"/>
  </si>
  <si>
    <t>Spend % in this FY</t>
    <phoneticPr fontId="22" type="noConversion"/>
  </si>
  <si>
    <t>New</t>
  </si>
  <si>
    <t>Capital Spare: DL ABE Rubber Chain</t>
  </si>
  <si>
    <t>03</t>
    <phoneticPr fontId="22" type="noConversion"/>
  </si>
  <si>
    <t>Funded</t>
  </si>
  <si>
    <t>Capital Spare: DL ACM Screwfeeder</t>
  </si>
  <si>
    <t>03</t>
  </si>
  <si>
    <t>Making  Uprade of Obsolete Parts (Cat 03. $200M)</t>
  </si>
  <si>
    <t>Chilled Water Capacity Increase (Unfunded, Cat03, $600M)</t>
  </si>
  <si>
    <t>Unfunded (Should be Appro), confirm if applicable to Cat 01</t>
  </si>
  <si>
    <t>UVA Auto Splicing Pilot (Unfunded, Cat03, $160M)</t>
  </si>
  <si>
    <t>Elimination of Bucket Elevator Scrap (Cat 04, $100M, Savings = $61M)</t>
  </si>
  <si>
    <t>04</t>
  </si>
  <si>
    <t>Funded (replaced to GDC2)</t>
  </si>
  <si>
    <t>Fines Recycling Pilot (Packing DCS to Packing Bin) (Cat 04, $20M)</t>
  </si>
  <si>
    <t>DL Main Elevator refurbishment: $100M</t>
    <phoneticPr fontId="22" type="noConversion"/>
  </si>
  <si>
    <t>Total</t>
    <phoneticPr fontId="22" type="noConversion"/>
  </si>
  <si>
    <t>Covered in pull-forwad request, not captured in FY2122 AE list:</t>
    <phoneticPr fontId="22" type="noConversion"/>
  </si>
  <si>
    <t>Pull forward from FY2122 AE list:</t>
    <phoneticPr fontId="22" type="noConversion"/>
  </si>
  <si>
    <t>New request</t>
    <phoneticPr fontId="22" type="noConversion"/>
  </si>
  <si>
    <t>Platform</t>
    <phoneticPr fontId="22" type="noConversion"/>
  </si>
  <si>
    <t>Bup($M)</t>
    <phoneticPr fontId="22" type="noConversion"/>
  </si>
  <si>
    <t>% Prob</t>
  </si>
  <si>
    <t>PABU($M)</t>
    <phoneticPr fontId="22" type="noConversion"/>
  </si>
  <si>
    <t>Carry-over from FY2021</t>
    <phoneticPr fontId="22" type="noConversion"/>
  </si>
  <si>
    <t>Captured  in Pull-forward list?(N/Y)</t>
    <phoneticPr fontId="22" type="noConversion"/>
  </si>
  <si>
    <t>A3M</t>
    <phoneticPr fontId="22" type="noConversion"/>
  </si>
  <si>
    <t>A3M - Bags Primary Checkweigher - Pilot (Unfunded, Cat03, $200M)</t>
  </si>
  <si>
    <t>A3M - Bags Primary Codedate Camera or Laser Codedater - Study Item (Unfunded, Cat03, $100M)</t>
  </si>
  <si>
    <t>A3M - DL BMS (Unfunded, Cat03, $200M)</t>
  </si>
  <si>
    <t>A3M - DL Secondary PW Package Scanning - Pilot (Unfunded, Cat03, $20M)</t>
  </si>
  <si>
    <t>A3M - DL Secondary PW Package Scanning - Roll-Out (Unfunded, Cat03, $200M)</t>
  </si>
  <si>
    <t>A3M - Making MUVS Upgrade (Unfunded, Cat03, $100M)</t>
  </si>
  <si>
    <t>A3M - PW Secondary Codedate Camera or Laser Codedater - Study Item (Unfunded, Cat03, $100M)</t>
  </si>
  <si>
    <t>A3M - Sachet Primary Codedate Camera or Laser Codedater - Study Item (Unfunded, Cat03, $100M)</t>
  </si>
  <si>
    <t>A3M - Sachet PW Auto Checkweigher Roll-Out To L2 (Unfunded, Cat03, $200M)</t>
  </si>
  <si>
    <t>QA A3M - Making (spending this FY)</t>
  </si>
  <si>
    <t xml:space="preserve">QA A3M - Packing (Primary) </t>
  </si>
  <si>
    <t>BCP for Liquids Dosimat</t>
  </si>
  <si>
    <t>Digital Platform (Placeholder)</t>
  </si>
  <si>
    <t>DL Building Refurbishment (Walls, Lighting, AHU) (Unfunded, Cat03, $200M)</t>
  </si>
  <si>
    <t>DL Packing AHU (Unfunded,Cat03, $100M)</t>
  </si>
  <si>
    <t>DL Pkg Bin Segregation Pilot  (Unfunded, Cat03, $200M)</t>
  </si>
  <si>
    <t>Facilities improvement</t>
  </si>
  <si>
    <t>FE QA equipment</t>
  </si>
  <si>
    <t>HVAC</t>
  </si>
  <si>
    <t>HW loop piping replacement</t>
  </si>
  <si>
    <t>Installation of supply exhaust in Major storage room</t>
  </si>
  <si>
    <t>Liquids Common</t>
  </si>
  <si>
    <t>Microgap correction</t>
  </si>
  <si>
    <t>Packing Controls and Obsolescence Upgrade (Unfunded, Cat03. $200M)</t>
  </si>
  <si>
    <t>Packing Product Conveyor Refurbishment (Unfunded, Cat03, $100M)</t>
  </si>
  <si>
    <t>Roof upgrade ph3</t>
  </si>
  <si>
    <t>Storeroom MMR</t>
  </si>
  <si>
    <t>UVA Auto Splicing Roll-Out (Unfunded, Cat03, $190M)</t>
  </si>
  <si>
    <t>GPO</t>
    <phoneticPr fontId="22" type="noConversion"/>
  </si>
  <si>
    <t>Carry-over</t>
    <phoneticPr fontId="22" type="noConversion"/>
  </si>
  <si>
    <t>Capital Spare - Bin M Matcon Assembly (Unfunded, Cat03, $65M)</t>
  </si>
  <si>
    <t>Capital Spare - QA Equipment (Unfunded, Cat03, $50M)</t>
  </si>
  <si>
    <t>Capital Spare - Rubber Chain WOBE (Unfunded, Cat03, $65M)</t>
  </si>
  <si>
    <t>Capital Spare - Storeroom (Unfunded, Cat03, $100M)</t>
  </si>
  <si>
    <t>Capital Spares</t>
  </si>
  <si>
    <t>Carry Over</t>
    <phoneticPr fontId="22" type="noConversion"/>
  </si>
  <si>
    <t>FB.56504</t>
  </si>
  <si>
    <t>HPNS Fall'21 Restage/Chaumet 2.0 high side plan</t>
  </si>
  <si>
    <t>FB.57238</t>
  </si>
  <si>
    <t>JP - CDX/CDB in Japan all FE formula</t>
  </si>
  <si>
    <t>A.03349</t>
  </si>
  <si>
    <t>FB.57263</t>
  </si>
  <si>
    <t>4th Sachet</t>
  </si>
  <si>
    <t>EOL Capacity Ph3</t>
  </si>
  <si>
    <t>FB.55973</t>
  </si>
  <si>
    <t>FB.57260</t>
  </si>
  <si>
    <t>FB.57262</t>
  </si>
  <si>
    <t>FB.24909</t>
  </si>
  <si>
    <t>SUD localization</t>
  </si>
  <si>
    <t>Firm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</si>
  <si>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</si>
  <si>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</si>
  <si>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</si>
  <si>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</si>
  <si>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</si>
  <si>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</si>
  <si>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</si>
  <si>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</si>
  <si>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</si>
  <si>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</si>
  <si>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</si>
  <si>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</si>
  <si>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Market E</t>
  </si>
  <si>
    <t>Market F</t>
  </si>
  <si>
    <t>Plant A</t>
  </si>
  <si>
    <t>Plant B</t>
  </si>
  <si>
    <t>Plant D</t>
  </si>
  <si>
    <t>Plant E</t>
  </si>
  <si>
    <t>Plant F</t>
  </si>
  <si>
    <t>Category A</t>
  </si>
  <si>
    <t>Category B</t>
  </si>
  <si>
    <t>Category C</t>
  </si>
  <si>
    <t>Category D</t>
  </si>
  <si>
    <t>Category E</t>
  </si>
  <si>
    <t>Category F</t>
  </si>
  <si>
    <t>02</t>
  </si>
  <si>
    <t>01</t>
  </si>
  <si>
    <t>Last Seen Month</t>
  </si>
  <si>
    <t>2019-07</t>
  </si>
  <si>
    <t>2019-09</t>
  </si>
  <si>
    <t>2019-08</t>
  </si>
  <si>
    <t>2020-02</t>
  </si>
  <si>
    <t>2020-03</t>
  </si>
  <si>
    <t>2020-04</t>
  </si>
  <si>
    <t>2020-05</t>
  </si>
  <si>
    <t>2020-01</t>
  </si>
  <si>
    <t>2019-12</t>
  </si>
  <si>
    <t>2019-10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</si>
</sst>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(* #,##0_);_(* \(#,##0\);_(* &quot;-&quot;_);_(@_)"/>
    <numFmt numFmtId="177" formatCode="_(* #,##0.00_);_(* \(#,##0.00\);_(* &quot;-&quot;??_);_(@_)"/>
    <numFmt numFmtId="178" formatCode="_(* #,##0_);_(* \(#,##0\);_(* &quot;-&quot;??_);_(@_)"/>
    <numFmt numFmtId="179" formatCode="_(* #,##0.0_);_(* \(#,##0.0\);_(* &quot;-&quot;??_);_(@_)"/>
    <numFmt numFmtId="180" formatCode="[$-F800]dddd\,\ mmmm\ dd\,\ yyyy"/>
    <numFmt numFmtId="181" formatCode="0.0"/>
    <numFmt numFmtId="182" formatCode="#,###"/>
    <numFmt numFmtId="183" formatCode="_(* #,##0.0000_);_(* \(#,##0.0000\);_(* &quot;-&quot;??_);_(@_)"/>
    <numFmt numFmtId="184" formatCode="0.0%"/>
  </numFmts>
  <fonts count="2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charset val="128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trike/>
      <sz val="10"/>
      <name val="Arial"/>
      <family val="2"/>
    </font>
    <font>
      <strike/>
      <sz val="10"/>
      <color rgb="FFFF0000"/>
      <name val="Arial"/>
      <family val="2"/>
    </font>
    <font>
      <u/>
      <sz val="10"/>
      <name val="Arial"/>
      <family val="2"/>
    </font>
    <font>
      <b/>
      <sz val="11"/>
      <color theme="1"/>
      <name val="Arial"/>
      <family val="2"/>
    </font>
    <font>
      <strike/>
      <sz val="10"/>
      <color theme="1"/>
      <name val="Arial"/>
      <family val="2"/>
    </font>
    <font>
      <sz val="14"/>
      <color rgb="FF000000"/>
      <name val="Calibri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0"/>
      <color rgb="FFFF0000"/>
      <name val="Arial"/>
      <family val="2"/>
    </font>
    <font>
      <sz val="9"/>
      <name val="等线"/>
      <family val="3"/>
      <charset val="134"/>
      <scheme val="minor"/>
    </font>
    <font>
      <b/>
      <sz val="9"/>
      <name val="Arial"/>
      <family val="2"/>
    </font>
    <font>
      <sz val="8"/>
      <color theme="1"/>
      <name val="Arial"/>
      <family val="2"/>
    </font>
    <font>
      <sz val="10"/>
      <name val="Arial Nova"/>
      <family val="2"/>
    </font>
    <font>
      <sz val="11"/>
      <name val="等线"/>
      <family val="2"/>
      <scheme val="minor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180" fontId="2" fillId="0" borderId="0"/>
    <xf numFmtId="9" fontId="2" fillId="0" borderId="0" applyFont="0" applyFill="0" applyBorder="0" applyAlignment="0" applyProtection="0"/>
  </cellStyleXfs>
  <cellXfs count="2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4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7" fillId="0" borderId="0" xfId="0" applyFont="1"/>
    <xf numFmtId="0" fontId="7" fillId="0" borderId="0" xfId="0" applyFont="1" applyAlignment="1">
      <alignment horizontal="center" vertical="center"/>
    </xf>
    <xf numFmtId="178" fontId="7" fillId="0" borderId="0" xfId="1" applyNumberFormat="1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178" fontId="9" fillId="3" borderId="0" xfId="1" applyNumberFormat="1" applyFont="1" applyFill="1" applyBorder="1" applyAlignment="1" applyProtection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176" fontId="9" fillId="4" borderId="0" xfId="1" applyNumberFormat="1" applyFont="1" applyFill="1" applyBorder="1" applyAlignment="1" applyProtection="1">
      <alignment horizontal="center" vertical="center" wrapText="1"/>
      <protection locked="0"/>
    </xf>
    <xf numFmtId="9" fontId="9" fillId="4" borderId="0" xfId="2" applyFont="1" applyFill="1" applyBorder="1" applyAlignment="1" applyProtection="1">
      <alignment horizontal="center" vertical="center" wrapText="1"/>
      <protection locked="0"/>
    </xf>
    <xf numFmtId="176" fontId="9" fillId="3" borderId="0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176" fontId="7" fillId="0" borderId="0" xfId="0" applyNumberFormat="1" applyFont="1"/>
    <xf numFmtId="9" fontId="7" fillId="0" borderId="0" xfId="2" applyFont="1"/>
    <xf numFmtId="176" fontId="11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/>
    </xf>
    <xf numFmtId="178" fontId="4" fillId="0" borderId="0" xfId="1" applyNumberFormat="1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178" fontId="4" fillId="0" borderId="0" xfId="1" applyNumberFormat="1" applyFont="1" applyFill="1" applyAlignment="1">
      <alignment horizontal="left" vertical="top"/>
    </xf>
    <xf numFmtId="9" fontId="4" fillId="0" borderId="0" xfId="2" applyFont="1" applyFill="1" applyAlignment="1">
      <alignment horizontal="center" vertical="top"/>
    </xf>
    <xf numFmtId="178" fontId="4" fillId="0" borderId="0" xfId="1" applyNumberFormat="1" applyFont="1" applyFill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0" borderId="0" xfId="0" quotePrefix="1" applyFont="1" applyAlignment="1">
      <alignment horizontal="left" vertical="top" wrapText="1"/>
    </xf>
    <xf numFmtId="178" fontId="4" fillId="0" borderId="0" xfId="1" applyNumberFormat="1" applyFont="1" applyFill="1" applyAlignment="1">
      <alignment horizontal="center" vertical="top"/>
    </xf>
    <xf numFmtId="178" fontId="4" fillId="0" borderId="0" xfId="1" applyNumberFormat="1" applyFont="1" applyFill="1" applyBorder="1" applyAlignment="1">
      <alignment horizontal="left" vertical="top"/>
    </xf>
    <xf numFmtId="9" fontId="4" fillId="0" borderId="0" xfId="2" applyFont="1" applyFill="1" applyBorder="1" applyAlignment="1">
      <alignment horizontal="center" vertical="top"/>
    </xf>
    <xf numFmtId="176" fontId="4" fillId="0" borderId="0" xfId="0" applyNumberFormat="1" applyFont="1" applyAlignment="1">
      <alignment horizontal="left" vertical="top"/>
    </xf>
    <xf numFmtId="176" fontId="2" fillId="0" borderId="0" xfId="0" applyNumberFormat="1" applyFont="1" applyAlignment="1">
      <alignment vertical="top"/>
    </xf>
    <xf numFmtId="176" fontId="4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 applyProtection="1">
      <alignment horizontal="center" vertical="top"/>
      <protection locked="0"/>
    </xf>
    <xf numFmtId="9" fontId="4" fillId="0" borderId="0" xfId="2" applyFont="1" applyFill="1" applyBorder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center" vertical="top"/>
      <protection locked="0"/>
    </xf>
    <xf numFmtId="178" fontId="4" fillId="0" borderId="0" xfId="1" applyNumberFormat="1" applyFont="1" applyFill="1" applyBorder="1" applyAlignment="1">
      <alignment vertical="top"/>
    </xf>
    <xf numFmtId="0" fontId="4" fillId="0" borderId="0" xfId="0" quotePrefix="1" applyFont="1" applyAlignment="1">
      <alignment horizontal="center" vertical="top"/>
    </xf>
    <xf numFmtId="0" fontId="13" fillId="0" borderId="0" xfId="0" applyFont="1" applyAlignment="1">
      <alignment vertical="top"/>
    </xf>
    <xf numFmtId="178" fontId="2" fillId="0" borderId="0" xfId="1" applyNumberFormat="1" applyFont="1" applyFill="1" applyBorder="1" applyAlignment="1" applyProtection="1">
      <alignment horizontal="center" vertical="center"/>
    </xf>
    <xf numFmtId="178" fontId="2" fillId="0" borderId="0" xfId="1" applyNumberFormat="1" applyFont="1" applyFill="1" applyAlignment="1" applyProtection="1">
      <alignment horizontal="center" vertical="center"/>
      <protection locked="0"/>
    </xf>
    <xf numFmtId="0" fontId="12" fillId="0" borderId="0" xfId="0" applyFont="1" applyAlignment="1">
      <alignment vertical="top"/>
    </xf>
    <xf numFmtId="176" fontId="12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178" fontId="11" fillId="0" borderId="0" xfId="1" applyNumberFormat="1" applyFont="1" applyFill="1" applyAlignment="1">
      <alignment vertical="top"/>
    </xf>
    <xf numFmtId="178" fontId="11" fillId="0" borderId="0" xfId="1" applyNumberFormat="1" applyFont="1" applyFill="1" applyBorder="1" applyAlignment="1">
      <alignment horizontal="left" vertical="top"/>
    </xf>
    <xf numFmtId="9" fontId="11" fillId="0" borderId="0" xfId="2" applyFont="1" applyFill="1" applyBorder="1" applyAlignment="1" applyProtection="1">
      <alignment horizontal="center" vertical="top"/>
      <protection locked="0"/>
    </xf>
    <xf numFmtId="176" fontId="7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176" fontId="2" fillId="0" borderId="0" xfId="0" applyNumberFormat="1" applyFont="1" applyAlignment="1">
      <alignment vertical="top" wrapText="1"/>
    </xf>
    <xf numFmtId="178" fontId="4" fillId="3" borderId="0" xfId="1" applyNumberFormat="1" applyFont="1" applyFill="1" applyBorder="1" applyAlignment="1">
      <alignment horizontal="center" vertical="top"/>
    </xf>
    <xf numFmtId="178" fontId="12" fillId="0" borderId="0" xfId="1" applyNumberFormat="1" applyFont="1" applyFill="1" applyBorder="1" applyAlignment="1">
      <alignment horizontal="center" vertical="top"/>
    </xf>
    <xf numFmtId="9" fontId="12" fillId="0" borderId="0" xfId="2" applyFont="1" applyFill="1" applyBorder="1" applyAlignment="1">
      <alignment horizontal="center" vertical="top"/>
    </xf>
    <xf numFmtId="178" fontId="12" fillId="0" borderId="0" xfId="1" applyNumberFormat="1" applyFont="1" applyFill="1" applyBorder="1" applyAlignment="1">
      <alignment horizontal="left" vertical="top"/>
    </xf>
    <xf numFmtId="178" fontId="12" fillId="3" borderId="0" xfId="1" applyNumberFormat="1" applyFont="1" applyFill="1" applyBorder="1" applyAlignment="1">
      <alignment horizontal="center" vertical="top"/>
    </xf>
    <xf numFmtId="178" fontId="4" fillId="3" borderId="0" xfId="1" applyNumberFormat="1" applyFont="1" applyFill="1" applyAlignment="1">
      <alignment horizontal="left" vertical="top"/>
    </xf>
    <xf numFmtId="178" fontId="4" fillId="3" borderId="0" xfId="1" applyNumberFormat="1" applyFont="1" applyFill="1" applyBorder="1" applyAlignment="1">
      <alignment horizontal="left" vertical="top"/>
    </xf>
    <xf numFmtId="9" fontId="4" fillId="3" borderId="0" xfId="2" applyFont="1" applyFill="1" applyBorder="1" applyAlignment="1">
      <alignment horizontal="center"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vertical="top"/>
    </xf>
    <xf numFmtId="9" fontId="0" fillId="0" borderId="0" xfId="2" applyFont="1"/>
    <xf numFmtId="178" fontId="12" fillId="0" borderId="0" xfId="1" applyNumberFormat="1" applyFont="1" applyFill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/>
    </xf>
    <xf numFmtId="9" fontId="12" fillId="0" borderId="0" xfId="2" applyFont="1" applyFill="1" applyAlignment="1">
      <alignment horizontal="center" vertical="top"/>
    </xf>
    <xf numFmtId="176" fontId="4" fillId="3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176" fontId="12" fillId="0" borderId="0" xfId="0" applyNumberFormat="1" applyFont="1" applyAlignment="1">
      <alignment horizontal="left" vertical="top"/>
    </xf>
    <xf numFmtId="178" fontId="4" fillId="3" borderId="0" xfId="1" quotePrefix="1" applyNumberFormat="1" applyFont="1" applyFill="1" applyBorder="1" applyAlignment="1">
      <alignment horizontal="right" vertical="top"/>
    </xf>
    <xf numFmtId="0" fontId="2" fillId="0" borderId="0" xfId="0" applyFont="1" applyAlignment="1">
      <alignment vertical="center"/>
    </xf>
    <xf numFmtId="178" fontId="12" fillId="0" borderId="0" xfId="0" applyNumberFormat="1" applyFont="1" applyAlignment="1">
      <alignment vertical="top"/>
    </xf>
    <xf numFmtId="9" fontId="4" fillId="3" borderId="0" xfId="2" applyFont="1" applyFill="1" applyBorder="1" applyAlignment="1" applyProtection="1">
      <alignment horizontal="center" vertical="top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9" fontId="4" fillId="0" borderId="0" xfId="2" applyFont="1" applyFill="1" applyAlignment="1">
      <alignment horizontal="left" vertical="top"/>
    </xf>
    <xf numFmtId="9" fontId="4" fillId="3" borderId="0" xfId="2" applyFont="1" applyFill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178" fontId="4" fillId="0" borderId="0" xfId="1" applyNumberFormat="1" applyFont="1" applyAlignment="1">
      <alignment horizontal="left" vertical="top"/>
    </xf>
    <xf numFmtId="9" fontId="4" fillId="0" borderId="0" xfId="2" applyFont="1" applyAlignment="1">
      <alignment horizontal="center" vertical="top"/>
    </xf>
    <xf numFmtId="178" fontId="4" fillId="0" borderId="0" xfId="1" applyNumberFormat="1" applyFont="1" applyAlignment="1">
      <alignment horizontal="center" vertical="top"/>
    </xf>
    <xf numFmtId="0" fontId="12" fillId="0" borderId="0" xfId="0" applyFont="1" applyAlignment="1" applyProtection="1">
      <alignment horizontal="center" vertical="center"/>
      <protection locked="0"/>
    </xf>
    <xf numFmtId="179" fontId="4" fillId="0" borderId="0" xfId="1" applyNumberFormat="1" applyFont="1" applyFill="1" applyBorder="1" applyAlignment="1">
      <alignment horizontal="center" vertical="top"/>
    </xf>
    <xf numFmtId="0" fontId="0" fillId="3" borderId="1" xfId="0" applyFill="1" applyBorder="1"/>
    <xf numFmtId="182" fontId="0" fillId="0" borderId="1" xfId="0" applyNumberFormat="1" applyBorder="1"/>
    <xf numFmtId="0" fontId="18" fillId="5" borderId="6" xfId="0" applyFont="1" applyFill="1" applyBorder="1" applyAlignment="1">
      <alignment horizontal="center" vertical="center" wrapText="1" readingOrder="1"/>
    </xf>
    <xf numFmtId="0" fontId="18" fillId="0" borderId="6" xfId="0" applyFont="1" applyBorder="1" applyAlignment="1">
      <alignment horizontal="center" vertical="center" wrapText="1" readingOrder="1"/>
    </xf>
    <xf numFmtId="178" fontId="4" fillId="6" borderId="0" xfId="1" applyNumberFormat="1" applyFont="1" applyFill="1" applyBorder="1" applyAlignment="1">
      <alignment horizontal="center" vertical="top"/>
    </xf>
    <xf numFmtId="176" fontId="9" fillId="0" borderId="0" xfId="1" applyNumberFormat="1" applyFont="1" applyFill="1" applyBorder="1" applyAlignment="1" applyProtection="1">
      <alignment horizontal="center" vertical="center" wrapText="1"/>
      <protection locked="0"/>
    </xf>
    <xf numFmtId="178" fontId="2" fillId="0" borderId="0" xfId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83" fontId="2" fillId="0" borderId="0" xfId="1" applyNumberFormat="1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top"/>
    </xf>
    <xf numFmtId="178" fontId="4" fillId="0" borderId="0" xfId="0" applyNumberFormat="1" applyFont="1" applyAlignment="1">
      <alignment vertical="top"/>
    </xf>
    <xf numFmtId="178" fontId="19" fillId="3" borderId="0" xfId="1" applyNumberFormat="1" applyFont="1" applyFill="1"/>
    <xf numFmtId="9" fontId="4" fillId="0" borderId="0" xfId="2" applyFont="1" applyAlignment="1" applyProtection="1">
      <alignment horizontal="center" vertical="top"/>
      <protection locked="0"/>
    </xf>
    <xf numFmtId="178" fontId="7" fillId="0" borderId="0" xfId="0" applyNumberFormat="1" applyFont="1"/>
    <xf numFmtId="178" fontId="11" fillId="0" borderId="0" xfId="0" applyNumberFormat="1" applyFont="1"/>
    <xf numFmtId="177" fontId="11" fillId="0" borderId="0" xfId="0" applyNumberFormat="1" applyFo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178" fontId="2" fillId="0" borderId="0" xfId="1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78" fontId="4" fillId="0" borderId="0" xfId="0" applyNumberFormat="1" applyFont="1" applyAlignment="1">
      <alignment horizontal="center" vertical="top"/>
    </xf>
    <xf numFmtId="179" fontId="2" fillId="0" borderId="0" xfId="0" applyNumberFormat="1" applyFont="1" applyAlignment="1">
      <alignment horizontal="center" vertical="center"/>
    </xf>
    <xf numFmtId="9" fontId="2" fillId="0" borderId="0" xfId="2" applyFont="1" applyAlignment="1">
      <alignment horizontal="left" vertical="center"/>
    </xf>
    <xf numFmtId="177" fontId="2" fillId="0" borderId="0" xfId="1" applyFont="1" applyAlignment="1">
      <alignment horizontal="left" vertical="center"/>
    </xf>
    <xf numFmtId="178" fontId="4" fillId="3" borderId="0" xfId="0" applyNumberFormat="1" applyFont="1" applyFill="1" applyAlignment="1">
      <alignment vertical="top"/>
    </xf>
    <xf numFmtId="178" fontId="7" fillId="0" borderId="0" xfId="1" applyNumberFormat="1" applyFont="1"/>
    <xf numFmtId="178" fontId="4" fillId="0" borderId="0" xfId="1" applyNumberFormat="1" applyFont="1" applyFill="1" applyBorder="1" applyAlignment="1">
      <alignment horizontal="right" vertical="top"/>
    </xf>
    <xf numFmtId="9" fontId="4" fillId="0" borderId="0" xfId="2" applyFont="1" applyFill="1" applyAlignment="1" applyProtection="1">
      <alignment horizontal="center" vertical="top"/>
      <protection locked="0"/>
    </xf>
    <xf numFmtId="178" fontId="7" fillId="0" borderId="0" xfId="0" applyNumberFormat="1" applyFont="1" applyAlignment="1">
      <alignment horizontal="center" vertical="center"/>
    </xf>
    <xf numFmtId="17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79" fontId="7" fillId="0" borderId="0" xfId="0" applyNumberFormat="1" applyFont="1"/>
    <xf numFmtId="0" fontId="4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9" fontId="4" fillId="3" borderId="0" xfId="2" applyFont="1" applyFill="1" applyAlignment="1">
      <alignment horizontal="center" vertical="top"/>
    </xf>
    <xf numFmtId="16" fontId="4" fillId="0" borderId="0" xfId="0" applyNumberFormat="1" applyFont="1" applyAlignment="1">
      <alignment horizontal="center" vertical="top"/>
    </xf>
    <xf numFmtId="178" fontId="12" fillId="3" borderId="0" xfId="0" applyNumberFormat="1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12" fillId="0" borderId="0" xfId="0" quotePrefix="1" applyFont="1" applyAlignment="1">
      <alignment vertical="top" wrapText="1"/>
    </xf>
    <xf numFmtId="176" fontId="23" fillId="4" borderId="0" xfId="1" applyNumberFormat="1" applyFont="1" applyFill="1" applyAlignment="1" applyProtection="1">
      <alignment horizontal="center" vertical="center" wrapText="1"/>
      <protection locked="0"/>
    </xf>
    <xf numFmtId="178" fontId="2" fillId="0" borderId="0" xfId="1" applyNumberFormat="1" applyFont="1" applyAlignment="1">
      <alignment vertical="top"/>
    </xf>
    <xf numFmtId="178" fontId="2" fillId="0" borderId="0" xfId="1" applyNumberFormat="1" applyFont="1" applyFill="1" applyAlignment="1">
      <alignment vertical="top"/>
    </xf>
    <xf numFmtId="9" fontId="2" fillId="0" borderId="0" xfId="2" applyFont="1" applyAlignment="1">
      <alignment horizontal="center"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8" fontId="4" fillId="0" borderId="0" xfId="1" applyNumberFormat="1" applyFont="1" applyFill="1" applyAlignment="1">
      <alignment horizontal="left" vertical="center"/>
    </xf>
    <xf numFmtId="178" fontId="4" fillId="0" borderId="0" xfId="1" applyNumberFormat="1" applyFont="1" applyFill="1" applyBorder="1" applyAlignment="1">
      <alignment horizontal="left" vertical="center"/>
    </xf>
    <xf numFmtId="178" fontId="4" fillId="0" borderId="0" xfId="1" applyNumberFormat="1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178" fontId="4" fillId="0" borderId="0" xfId="1" applyNumberFormat="1" applyFont="1" applyFill="1" applyBorder="1" applyAlignment="1">
      <alignment horizontal="center" vertical="center"/>
    </xf>
    <xf numFmtId="9" fontId="4" fillId="0" borderId="0" xfId="2" applyFont="1" applyFill="1" applyBorder="1" applyAlignment="1">
      <alignment horizontal="center" vertical="center"/>
    </xf>
    <xf numFmtId="178" fontId="4" fillId="0" borderId="0" xfId="0" applyNumberFormat="1" applyFont="1" applyAlignment="1">
      <alignment vertical="center"/>
    </xf>
    <xf numFmtId="9" fontId="4" fillId="0" borderId="0" xfId="2" applyFont="1" applyFill="1" applyAlignment="1">
      <alignment horizontal="center" vertical="center"/>
    </xf>
    <xf numFmtId="9" fontId="4" fillId="0" borderId="0" xfId="2" applyFont="1" applyFill="1" applyBorder="1" applyAlignment="1" applyProtection="1">
      <alignment horizontal="center" vertical="center"/>
      <protection locked="0"/>
    </xf>
    <xf numFmtId="178" fontId="12" fillId="0" borderId="0" xfId="0" applyNumberFormat="1" applyFont="1" applyAlignment="1">
      <alignment vertical="center"/>
    </xf>
    <xf numFmtId="9" fontId="4" fillId="0" borderId="0" xfId="2" applyFont="1" applyFill="1" applyAlignment="1" applyProtection="1">
      <alignment horizontal="center" vertical="center"/>
      <protection locked="0"/>
    </xf>
    <xf numFmtId="9" fontId="4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vertical="center"/>
    </xf>
    <xf numFmtId="178" fontId="4" fillId="3" borderId="0" xfId="0" applyNumberFormat="1" applyFont="1" applyFill="1" applyAlignment="1">
      <alignment vertical="center"/>
    </xf>
    <xf numFmtId="178" fontId="11" fillId="0" borderId="0" xfId="1" applyNumberFormat="1" applyFont="1" applyFill="1" applyAlignment="1">
      <alignment vertical="center"/>
    </xf>
    <xf numFmtId="177" fontId="2" fillId="0" borderId="0" xfId="0" applyNumberFormat="1" applyFont="1" applyAlignment="1">
      <alignment vertical="center"/>
    </xf>
    <xf numFmtId="178" fontId="19" fillId="3" borderId="0" xfId="1" applyNumberFormat="1" applyFont="1" applyFill="1" applyAlignment="1">
      <alignment vertical="center"/>
    </xf>
    <xf numFmtId="178" fontId="7" fillId="0" borderId="0" xfId="0" applyNumberFormat="1" applyFont="1" applyAlignment="1">
      <alignment vertical="center"/>
    </xf>
    <xf numFmtId="178" fontId="7" fillId="0" borderId="0" xfId="2" applyNumberFormat="1" applyFont="1" applyAlignment="1">
      <alignment vertical="center"/>
    </xf>
    <xf numFmtId="179" fontId="7" fillId="0" borderId="0" xfId="0" applyNumberFormat="1" applyFont="1" applyAlignment="1">
      <alignment vertical="center"/>
    </xf>
    <xf numFmtId="178" fontId="19" fillId="0" borderId="0" xfId="1" applyNumberFormat="1" applyFont="1" applyFill="1" applyAlignment="1">
      <alignment vertical="center"/>
    </xf>
    <xf numFmtId="178" fontId="19" fillId="6" borderId="0" xfId="1" applyNumberFormat="1" applyFont="1" applyFill="1" applyAlignment="1">
      <alignment vertical="center"/>
    </xf>
    <xf numFmtId="0" fontId="7" fillId="0" borderId="0" xfId="0" applyFont="1" applyAlignment="1">
      <alignment horizontal="left" vertical="top"/>
    </xf>
    <xf numFmtId="178" fontId="2" fillId="0" borderId="0" xfId="0" applyNumberFormat="1" applyFont="1" applyAlignment="1">
      <alignment horizontal="center" vertical="top"/>
    </xf>
    <xf numFmtId="0" fontId="2" fillId="0" borderId="0" xfId="0" applyFont="1" applyAlignment="1" applyProtection="1">
      <alignment horizontal="left" vertical="top"/>
      <protection locked="0"/>
    </xf>
    <xf numFmtId="178" fontId="7" fillId="0" borderId="0" xfId="1" applyNumberFormat="1" applyFont="1" applyAlignment="1">
      <alignment horizontal="left" vertical="top"/>
    </xf>
    <xf numFmtId="178" fontId="12" fillId="3" borderId="0" xfId="0" applyNumberFormat="1" applyFont="1" applyFill="1" applyAlignment="1">
      <alignment vertical="center"/>
    </xf>
    <xf numFmtId="181" fontId="7" fillId="0" borderId="0" xfId="0" quotePrefix="1" applyNumberFormat="1" applyFont="1" applyAlignment="1">
      <alignment vertical="center"/>
    </xf>
    <xf numFmtId="181" fontId="7" fillId="0" borderId="0" xfId="0" applyNumberFormat="1" applyFont="1" applyAlignment="1">
      <alignment vertical="center"/>
    </xf>
    <xf numFmtId="9" fontId="7" fillId="0" borderId="0" xfId="2" applyFont="1" applyAlignment="1">
      <alignment vertical="center"/>
    </xf>
    <xf numFmtId="184" fontId="7" fillId="0" borderId="0" xfId="2" applyNumberFormat="1" applyFont="1" applyAlignment="1">
      <alignment vertical="center"/>
    </xf>
    <xf numFmtId="178" fontId="4" fillId="8" borderId="0" xfId="1" applyNumberFormat="1" applyFont="1" applyFill="1" applyAlignment="1">
      <alignment horizontal="left" vertical="top"/>
    </xf>
    <xf numFmtId="0" fontId="2" fillId="0" borderId="0" xfId="0" applyFont="1"/>
    <xf numFmtId="9" fontId="2" fillId="0" borderId="0" xfId="2" applyFont="1" applyAlignment="1">
      <alignment vertical="top"/>
    </xf>
    <xf numFmtId="176" fontId="9" fillId="7" borderId="0" xfId="1" applyNumberFormat="1" applyFont="1" applyFill="1" applyBorder="1" applyAlignment="1" applyProtection="1">
      <alignment horizontal="center" vertical="center" wrapText="1"/>
      <protection locked="0"/>
    </xf>
    <xf numFmtId="9" fontId="9" fillId="7" borderId="0" xfId="2" applyFont="1" applyFill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vertical="center"/>
    </xf>
    <xf numFmtId="0" fontId="7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78" fontId="2" fillId="0" borderId="0" xfId="0" applyNumberFormat="1" applyFont="1" applyAlignment="1">
      <alignment vertical="center"/>
    </xf>
    <xf numFmtId="9" fontId="7" fillId="0" borderId="0" xfId="2" applyFont="1" applyFill="1" applyAlignment="1">
      <alignment vertical="center"/>
    </xf>
    <xf numFmtId="178" fontId="4" fillId="3" borderId="0" xfId="1" applyNumberFormat="1" applyFont="1" applyFill="1" applyBorder="1" applyAlignment="1">
      <alignment horizontal="left" vertical="center"/>
    </xf>
    <xf numFmtId="9" fontId="4" fillId="3" borderId="0" xfId="2" applyFont="1" applyFill="1" applyBorder="1" applyAlignment="1" applyProtection="1">
      <alignment horizontal="center" vertical="center"/>
      <protection locked="0"/>
    </xf>
    <xf numFmtId="178" fontId="7" fillId="0" borderId="0" xfId="2" applyNumberFormat="1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/>
    </xf>
    <xf numFmtId="177" fontId="7" fillId="0" borderId="0" xfId="0" applyNumberFormat="1" applyFont="1" applyAlignment="1">
      <alignment vertical="center"/>
    </xf>
    <xf numFmtId="178" fontId="11" fillId="0" borderId="0" xfId="0" applyNumberFormat="1" applyFont="1" applyAlignment="1">
      <alignment vertical="center"/>
    </xf>
    <xf numFmtId="9" fontId="4" fillId="0" borderId="0" xfId="2" applyFont="1" applyAlignment="1" applyProtection="1">
      <alignment horizontal="center" vertical="center"/>
      <protection locked="0"/>
    </xf>
    <xf numFmtId="178" fontId="4" fillId="0" borderId="0" xfId="1" applyNumberFormat="1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1" fontId="2" fillId="0" borderId="1" xfId="0" applyNumberFormat="1" applyFont="1" applyBorder="1" applyAlignment="1" applyProtection="1">
      <alignment horizontal="left" vertical="center" wrapText="1"/>
      <protection locked="0"/>
    </xf>
    <xf numFmtId="0" fontId="25" fillId="7" borderId="1" xfId="0" applyFont="1" applyFill="1" applyBorder="1" applyAlignment="1">
      <alignment horizontal="left" vertical="center" wrapText="1"/>
    </xf>
    <xf numFmtId="0" fontId="2" fillId="0" borderId="0" xfId="0" applyFont="1" applyAlignment="1" applyProtection="1">
      <alignment horizontal="left" vertical="center" wrapText="1"/>
      <protection locked="0"/>
    </xf>
    <xf numFmtId="0" fontId="26" fillId="7" borderId="1" xfId="0" applyFont="1" applyFill="1" applyBorder="1" applyAlignment="1">
      <alignment horizontal="left" vertical="center" wrapText="1"/>
    </xf>
    <xf numFmtId="9" fontId="25" fillId="0" borderId="0" xfId="2" applyFont="1" applyAlignment="1">
      <alignment horizontal="left" vertical="center" wrapText="1"/>
    </xf>
    <xf numFmtId="9" fontId="2" fillId="0" borderId="0" xfId="2" applyFont="1" applyFill="1" applyAlignment="1" applyProtection="1">
      <alignment horizontal="left" vertical="center" wrapText="1"/>
      <protection locked="0"/>
    </xf>
    <xf numFmtId="1" fontId="2" fillId="0" borderId="0" xfId="0" applyNumberFormat="1" applyFont="1" applyAlignment="1" applyProtection="1">
      <alignment horizontal="left" vertical="center" wrapText="1"/>
      <protection locked="0"/>
    </xf>
    <xf numFmtId="0" fontId="0" fillId="10" borderId="0" xfId="0" applyFill="1" applyAlignment="1">
      <alignment horizontal="left" vertical="center" wrapText="1"/>
    </xf>
    <xf numFmtId="0" fontId="2" fillId="10" borderId="1" xfId="0" applyFont="1" applyFill="1" applyBorder="1" applyAlignment="1" applyProtection="1">
      <alignment horizontal="left" vertical="center" wrapText="1"/>
      <protection locked="0"/>
    </xf>
    <xf numFmtId="0" fontId="0" fillId="11" borderId="0" xfId="0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6" fontId="4" fillId="2" borderId="1" xfId="0" applyNumberFormat="1" applyFont="1" applyFill="1" applyBorder="1" applyAlignment="1">
      <alignment horizontal="left" vertical="center" wrapText="1"/>
    </xf>
    <xf numFmtId="16" fontId="4" fillId="9" borderId="1" xfId="0" applyNumberFormat="1" applyFont="1" applyFill="1" applyBorder="1" applyAlignment="1">
      <alignment horizontal="left" vertical="center" wrapText="1"/>
    </xf>
    <xf numFmtId="16" fontId="4" fillId="0" borderId="0" xfId="0" applyNumberFormat="1" applyFont="1" applyAlignment="1">
      <alignment horizontal="left" vertical="center" wrapText="1"/>
    </xf>
    <xf numFmtId="1" fontId="25" fillId="7" borderId="1" xfId="0" applyNumberFormat="1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2" fillId="6" borderId="1" xfId="0" applyFont="1" applyFill="1" applyBorder="1" applyAlignment="1" applyProtection="1">
      <alignment horizontal="left" vertical="center" wrapText="1"/>
      <protection locked="0"/>
    </xf>
    <xf numFmtId="9" fontId="2" fillId="0" borderId="0" xfId="2" applyFont="1" applyAlignment="1">
      <alignment vertical="center"/>
    </xf>
    <xf numFmtId="0" fontId="20" fillId="0" borderId="0" xfId="0" applyFont="1" applyAlignment="1">
      <alignment vertical="center"/>
    </xf>
    <xf numFmtId="178" fontId="20" fillId="0" borderId="0" xfId="0" applyNumberFormat="1" applyFont="1" applyAlignment="1">
      <alignment vertical="center"/>
    </xf>
    <xf numFmtId="9" fontId="27" fillId="0" borderId="0" xfId="2" applyFont="1" applyFill="1" applyAlignment="1">
      <alignment vertical="center"/>
    </xf>
    <xf numFmtId="0" fontId="19" fillId="0" borderId="0" xfId="0" applyFont="1" applyAlignment="1">
      <alignment horizontal="right" vertical="center"/>
    </xf>
    <xf numFmtId="178" fontId="4" fillId="3" borderId="0" xfId="1" applyNumberFormat="1" applyFont="1" applyFill="1" applyAlignment="1">
      <alignment horizontal="center" vertical="top"/>
    </xf>
    <xf numFmtId="0" fontId="2" fillId="11" borderId="1" xfId="0" applyFont="1" applyFill="1" applyBorder="1" applyAlignment="1" applyProtection="1">
      <alignment horizontal="left" vertical="center" wrapText="1"/>
      <protection locked="0"/>
    </xf>
    <xf numFmtId="9" fontId="2" fillId="0" borderId="1" xfId="2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top"/>
    </xf>
    <xf numFmtId="179" fontId="4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82" fontId="26" fillId="0" borderId="0" xfId="0" applyNumberFormat="1" applyFont="1"/>
    <xf numFmtId="0" fontId="0" fillId="0" borderId="3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</cellXfs>
  <cellStyles count="6">
    <cellStyle name="Normal 2" xfId="4" xr:uid="{9E9B3D3B-34F7-40D3-B4F7-9CD0B70553B2}"/>
    <cellStyle name="Percent 2" xfId="3" xr:uid="{50FDE572-F860-45A4-B491-AC5FDD57764F}"/>
    <cellStyle name="Percent 2 2" xfId="5" xr:uid="{05452950-8EDA-4D01-857E-24F4F0A0622C}"/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009900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10/relationships/person" Target="persons/person.xml"/><Relationship Id="rId10" Type="http://schemas.openxmlformats.org/officeDocument/2006/relationships/externalLink" Target="externalLinks/externalLink5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'Project List'!$Q$290:$AB$290</c:f>
            </c:multiLvlStrRef>
          </c:cat>
          <c:val>
            <c:numRef>
              <c:f>'Project List'!$Q$293:$AB$293</c:f>
            </c:numRef>
          </c:val>
          <c:extLst>
            <c:ext xmlns:c16="http://schemas.microsoft.com/office/drawing/2014/chart" uri="{C3380CC4-5D6E-409C-BE32-E72D297353CC}">
              <c16:uniqueId val="{00000000-3B3B-4821-AB85-16CF17CF6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4228344"/>
        <c:axId val="814228672"/>
      </c:barChart>
      <c:catAx>
        <c:axId val="81422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228672"/>
        <c:crosses val="autoZero"/>
        <c:auto val="1"/>
        <c:lblAlgn val="ctr"/>
        <c:lblOffset val="100"/>
        <c:noMultiLvlLbl val="0"/>
      </c:catAx>
      <c:valAx>
        <c:axId val="81422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228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'Project List'!$DO$2:$DZ$2</c:f>
              <c:strCache>
                <c:ptCount val="12"/>
                <c:pt idx="0">
                  <c:v>J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N</c:v>
                </c:pt>
                <c:pt idx="5">
                  <c:v>D</c:v>
                </c:pt>
                <c:pt idx="6">
                  <c:v>J</c:v>
                </c:pt>
                <c:pt idx="7">
                  <c:v>F</c:v>
                </c:pt>
                <c:pt idx="8">
                  <c:v>M</c:v>
                </c:pt>
                <c:pt idx="9">
                  <c:v>A</c:v>
                </c:pt>
                <c:pt idx="10">
                  <c:v>M</c:v>
                </c:pt>
                <c:pt idx="11">
                  <c:v>J</c:v>
                </c:pt>
              </c:strCache>
            </c:strRef>
          </c:cat>
          <c:val>
            <c:numRef>
              <c:f>'Project List'!$DO$290:$DZ$290</c:f>
              <c:numCache>
                <c:formatCode>_(* #,##0.0_);_(* \(#,##0.0\);_(* "-"??_);_(@_)</c:formatCode>
                <c:ptCount val="12"/>
                <c:pt idx="0">
                  <c:v>5.6479999999999959E-3</c:v>
                </c:pt>
                <c:pt idx="1">
                  <c:v>0.26105200000000001</c:v>
                </c:pt>
                <c:pt idx="2">
                  <c:v>0.57137700000000002</c:v>
                </c:pt>
                <c:pt idx="3">
                  <c:v>0.64552399999999999</c:v>
                </c:pt>
                <c:pt idx="4">
                  <c:v>0.99443899999999996</c:v>
                </c:pt>
                <c:pt idx="5">
                  <c:v>2.081871</c:v>
                </c:pt>
                <c:pt idx="6">
                  <c:v>4.1255050000000004</c:v>
                </c:pt>
                <c:pt idx="7">
                  <c:v>4.5167460000000004</c:v>
                </c:pt>
                <c:pt idx="8">
                  <c:v>5.5676140000000007</c:v>
                </c:pt>
                <c:pt idx="9">
                  <c:v>6.4815890000000005</c:v>
                </c:pt>
                <c:pt idx="10">
                  <c:v>6.8877540000000002</c:v>
                </c:pt>
                <c:pt idx="11">
                  <c:v>8.0307735000000005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A-4227-92F9-19702113F67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'Project List'!$DO$2:$DZ$2</c:f>
              <c:strCache>
                <c:ptCount val="12"/>
                <c:pt idx="0">
                  <c:v>J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N</c:v>
                </c:pt>
                <c:pt idx="5">
                  <c:v>D</c:v>
                </c:pt>
                <c:pt idx="6">
                  <c:v>J</c:v>
                </c:pt>
                <c:pt idx="7">
                  <c:v>F</c:v>
                </c:pt>
                <c:pt idx="8">
                  <c:v>M</c:v>
                </c:pt>
                <c:pt idx="9">
                  <c:v>A</c:v>
                </c:pt>
                <c:pt idx="10">
                  <c:v>M</c:v>
                </c:pt>
                <c:pt idx="11">
                  <c:v>J</c:v>
                </c:pt>
              </c:strCache>
            </c:strRef>
          </c:cat>
          <c:val>
            <c:numRef>
              <c:f>'Project List'!$DO$296:$DZ$296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  <c:pt idx="10">
                  <c:v>0.7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9A-4227-92F9-19702113F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309488"/>
        <c:axId val="1258305880"/>
      </c:areaChart>
      <c:catAx>
        <c:axId val="1258309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05880"/>
        <c:crosses val="autoZero"/>
        <c:auto val="1"/>
        <c:lblAlgn val="ctr"/>
        <c:lblOffset val="100"/>
        <c:noMultiLvlLbl val="0"/>
      </c:catAx>
      <c:valAx>
        <c:axId val="125830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0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1016560</xdr:colOff>
      <xdr:row>294</xdr:row>
      <xdr:rowOff>163604</xdr:rowOff>
    </xdr:from>
    <xdr:to>
      <xdr:col>28</xdr:col>
      <xdr:colOff>56028</xdr:colOff>
      <xdr:row>313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DB5DE885-A003-4DA7-A826-8581CD798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118</xdr:col>
      <xdr:colOff>9525</xdr:colOff>
      <xdr:row>300</xdr:row>
      <xdr:rowOff>66676</xdr:rowOff>
    </xdr:from>
    <xdr:to>
      <xdr:col>130</xdr:col>
      <xdr:colOff>231321</xdr:colOff>
      <xdr:row>316</xdr:row>
      <xdr:rowOff>95251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77CD5E-8CE0-48E9-A90A-0D0C9AE5E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gone.sharepoint.com/Users/shen.y.3/OneDrive%20-%20Procter%20and%20Gamble/Desktop/ForecastDetail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gone.sharepoint.com/personal/yang_ya_5_pg_com/Documents/Asia%20FHC%20CSM%20FY2021/05_Monthly%20FF%20and%20spenidng%20track/03_Sep%20FF/WIP/ForecastDetails-091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.ya.5/OneDrive%20-%20Procter%20and%20Gamble/Asia%20F&amp;HC%20CSM%20FY1920/06_3yr%20capital%20outlook/Dec-20%20submission%20to%20Laura/Asia%20FC%203yr%20Capital%20Outlook%20(FY2021-FY2223)_submission%20to%20Laur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gone.sharepoint.com/sites/ASIAFHCCSM/Shared%20Documents/General/Asia%20FHC%20CSM%20FY2021/05_Monthly%20FF%20and%20spending%20track/11_May%20FF/APAC/Asia%20FC%203yr%20Capital%20Outlook%20(FY2021-FY2223)_HDL%20AA+GC%20need%20to%20add%20numb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.ya.5/OneDrive%20-%20Procter%20and%20Gamble/Desktop/FE%20Asia%20FC%203yr%20Capital%20Outlook%20(FY2021-FY2223)_20191210%20inpu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.ch.19/Procter%20and%20Gamble/Shen,%20Nami%20-%20Asia%20LFE%20Capacity%20Ladder/3%20Years%20Capital%20Outlook/Copy%20of%20AA%20FC%203yr%20Capital%20Outlook%20(FY2021-FY2223)_Templ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.ya.5/OneDrive%20-%20Procter%20and%20Gamble/Desktop/HDL%20Copy%20of%20Asia%20FC%203yr%20Capital%20Outlook%20(FY2021-FY2223)_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gone-my.sharepoint.com/personal/yang_ya_5_pg_com/Documents/Asia%20F&amp;HC%20CSM%20FY1920/11_Firm%202021/FE%20firm%20FY2021%20FF%200107_BD%20Workshop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ang.y.21/Procter%20and%20Gamble/Hamao,%20Masahiro%20-%20Asia%20FE%20Engineering/02%20Firm/LFE%20FY2021%20Firm/Asia%20FC%20FY2021%20Firm%20Submission_1st%20cut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cast Details"/>
      <sheetName val="WorkbookSettings_Fabric Care"/>
      <sheetName val="Test"/>
      <sheetName val="Master Data"/>
      <sheetName val="Help"/>
      <sheetName val="wsWorkBookName"/>
      <sheetName val="Macros"/>
      <sheetName val="ForecastDetai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cast Details"/>
      <sheetName val="Sheet1"/>
      <sheetName val="Sheet2"/>
      <sheetName val="Sheet3"/>
      <sheetName val="WorkbookSettings_Fabric Care"/>
      <sheetName val="Test"/>
      <sheetName val="Master Data"/>
      <sheetName val="Help"/>
      <sheetName val="wsWorkBookName"/>
      <sheetName val="Macros"/>
    </sheetNames>
    <sheetDataSet>
      <sheetData sheetId="0"/>
      <sheetData sheetId="1"/>
      <sheetData sheetId="2"/>
      <sheetData sheetId="3">
        <row r="1">
          <cell r="G1" t="str">
            <v>Jul'20</v>
          </cell>
          <cell r="H1" t="str">
            <v>Aug'20</v>
          </cell>
          <cell r="I1" t="str">
            <v>Sep'20</v>
          </cell>
          <cell r="J1" t="str">
            <v>oct'20</v>
          </cell>
          <cell r="K1" t="str">
            <v>Nov'20</v>
          </cell>
          <cell r="L1" t="str">
            <v>Dec'20</v>
          </cell>
          <cell r="M1" t="str">
            <v>Jan'21</v>
          </cell>
          <cell r="N1" t="str">
            <v>Feb'21</v>
          </cell>
          <cell r="O1" t="str">
            <v>Mar'21</v>
          </cell>
          <cell r="P1" t="str">
            <v>Apr'21</v>
          </cell>
          <cell r="Q1" t="str">
            <v>May'21</v>
          </cell>
          <cell r="R1" t="str">
            <v>Jun'21</v>
          </cell>
        </row>
        <row r="2">
          <cell r="A2" t="str">
            <v>Project Number</v>
          </cell>
          <cell r="B2" t="str">
            <v>Project Name*</v>
          </cell>
          <cell r="C2" t="str">
            <v>Plant*</v>
          </cell>
          <cell r="D2" t="str">
            <v>Funding Status*</v>
          </cell>
          <cell r="E2" t="str">
            <v>CAP Bottoms up Total</v>
          </cell>
          <cell r="F2" t="str">
            <v>CAP Prob. Adj. Total</v>
          </cell>
          <cell r="G2" t="str">
            <v>P.A. CAP Forecast</v>
          </cell>
          <cell r="H2" t="str">
            <v>P.A. CAP Forecast</v>
          </cell>
          <cell r="I2" t="str">
            <v>P.A. CAP Forecast</v>
          </cell>
          <cell r="J2" t="str">
            <v>P.A. CAP Forecast</v>
          </cell>
          <cell r="K2" t="str">
            <v>P.A. CAP Forecast</v>
          </cell>
          <cell r="L2" t="str">
            <v>P.A. CAP Forecast</v>
          </cell>
          <cell r="M2" t="str">
            <v>P.A. CAP Forecast</v>
          </cell>
          <cell r="N2" t="str">
            <v>P.A. CAP Forecast</v>
          </cell>
          <cell r="O2" t="str">
            <v>P.A. CAP Forecast</v>
          </cell>
          <cell r="P2" t="str">
            <v>P.A. CAP Forecast</v>
          </cell>
          <cell r="Q2" t="str">
            <v>P.A. CAP Forecast</v>
          </cell>
          <cell r="R2" t="str">
            <v>P.A. CAP Forecast</v>
          </cell>
        </row>
        <row r="3">
          <cell r="A3" t="str">
            <v>FB.57261</v>
          </cell>
          <cell r="B3" t="str">
            <v>NSS placeholder</v>
          </cell>
          <cell r="C3" t="str">
            <v>BINH DUONG-PLT-MS-PG INDOCHINA, 9797</v>
          </cell>
          <cell r="D3" t="str">
            <v>Unfunded</v>
          </cell>
          <cell r="E3">
            <v>300</v>
          </cell>
          <cell r="F3">
            <v>150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150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</row>
        <row r="4">
          <cell r="A4" t="str">
            <v>FB.60715</v>
          </cell>
          <cell r="B4" t="str">
            <v>FE Automation Project</v>
          </cell>
          <cell r="C4" t="str">
            <v>CABUYAO PLANT - TOLL MFG, PH01</v>
          </cell>
          <cell r="D4" t="str">
            <v>Unfunded</v>
          </cell>
          <cell r="E4">
            <v>1000</v>
          </cell>
          <cell r="F4">
            <v>500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300</v>
          </cell>
          <cell r="R4">
            <v>200</v>
          </cell>
        </row>
        <row r="5">
          <cell r="A5" t="str">
            <v>B.06829</v>
          </cell>
          <cell r="B5" t="str">
            <v>CABUYAO FABRIC 1920 04-SAVINGS AE</v>
          </cell>
          <cell r="C5" t="str">
            <v>CABUYAO PLANT - TOLL MFG, PH01</v>
          </cell>
          <cell r="D5" t="str">
            <v>AE Budget Funded</v>
          </cell>
          <cell r="E5">
            <v>50.872</v>
          </cell>
          <cell r="F5">
            <v>50.872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30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</row>
        <row r="6">
          <cell r="A6" t="str">
            <v>B.07215</v>
          </cell>
          <cell r="B6" t="str">
            <v>FY2021 CABUYAO FABRIC 04-LFE SAVINGS AE</v>
          </cell>
          <cell r="C6" t="str">
            <v>CABUYAO PLANT - TOLL MFG, PH01</v>
          </cell>
          <cell r="D6" t="str">
            <v>AE Budget Funded</v>
          </cell>
          <cell r="E6">
            <v>240</v>
          </cell>
          <cell r="F6">
            <v>240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30</v>
          </cell>
          <cell r="O6">
            <v>180</v>
          </cell>
          <cell r="P6">
            <v>30</v>
          </cell>
          <cell r="Q6">
            <v>0</v>
          </cell>
          <cell r="R6">
            <v>0</v>
          </cell>
        </row>
        <row r="7">
          <cell r="A7" t="str">
            <v>FB.58408</v>
          </cell>
          <cell r="B7" t="str">
            <v>NSS placeholder</v>
          </cell>
          <cell r="C7" t="str">
            <v>CHENGDU PLANT - MFG, 0381</v>
          </cell>
          <cell r="D7" t="str">
            <v>Unfunded</v>
          </cell>
          <cell r="E7">
            <v>320</v>
          </cell>
          <cell r="F7">
            <v>160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160</v>
          </cell>
        </row>
        <row r="8">
          <cell r="A8" t="str">
            <v>FB.58409</v>
          </cell>
          <cell r="B8" t="str">
            <v>Softness</v>
          </cell>
          <cell r="C8" t="str">
            <v>CHENGDU PLANT - MFG, 0381</v>
          </cell>
          <cell r="D8" t="str">
            <v>Unfunded</v>
          </cell>
          <cell r="E8">
            <v>200</v>
          </cell>
          <cell r="F8">
            <v>100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100</v>
          </cell>
        </row>
        <row r="9">
          <cell r="A9" t="str">
            <v>B.07212</v>
          </cell>
          <cell r="B9" t="str">
            <v>FY2021 TAICANG 01-INITIATIVES</v>
          </cell>
          <cell r="C9" t="str">
            <v>TAICANG PLANT-PG JIANGSU LTD, A266</v>
          </cell>
          <cell r="D9" t="str">
            <v>AE Budget Funded</v>
          </cell>
          <cell r="E9">
            <v>180</v>
          </cell>
          <cell r="F9">
            <v>180</v>
          </cell>
          <cell r="G9">
            <v>0</v>
          </cell>
          <cell r="H9">
            <v>0</v>
          </cell>
          <cell r="I9">
            <v>10</v>
          </cell>
          <cell r="J9">
            <v>0</v>
          </cell>
          <cell r="K9">
            <v>0</v>
          </cell>
          <cell r="L9">
            <v>0</v>
          </cell>
          <cell r="M9">
            <v>86</v>
          </cell>
          <cell r="N9">
            <v>0</v>
          </cell>
          <cell r="O9">
            <v>30</v>
          </cell>
          <cell r="P9">
            <v>0</v>
          </cell>
          <cell r="Q9">
            <v>54</v>
          </cell>
          <cell r="R9">
            <v>0</v>
          </cell>
        </row>
        <row r="10">
          <cell r="A10" t="str">
            <v>FB.58700</v>
          </cell>
          <cell r="B10" t="str">
            <v>HDL PLE</v>
          </cell>
          <cell r="C10" t="str">
            <v>TAICANG PLANT-PG JIANGSU LTD, A266</v>
          </cell>
          <cell r="D10" t="str">
            <v>Unfunded</v>
          </cell>
          <cell r="E10">
            <v>400</v>
          </cell>
          <cell r="F10">
            <v>200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200</v>
          </cell>
          <cell r="Q10">
            <v>0</v>
          </cell>
          <cell r="R10">
            <v>0</v>
          </cell>
        </row>
        <row r="11">
          <cell r="A11" t="str">
            <v>FB.64702</v>
          </cell>
          <cell r="B11" t="str">
            <v>Double Needle Valve</v>
          </cell>
          <cell r="C11" t="str">
            <v>TAKASAKI PLANT-TOLL, 4769</v>
          </cell>
          <cell r="D11" t="str">
            <v>AE Budget Unfunded</v>
          </cell>
          <cell r="E11">
            <v>120</v>
          </cell>
          <cell r="F11">
            <v>108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108</v>
          </cell>
        </row>
        <row r="12">
          <cell r="A12" t="str">
            <v>A.03580</v>
          </cell>
          <cell r="B12" t="str">
            <v>JPN Mass Premium Project</v>
          </cell>
          <cell r="C12" t="str">
            <v>TAKASAKI PLANT-TOLL, 4769</v>
          </cell>
          <cell r="D12" t="str">
            <v>Partial</v>
          </cell>
          <cell r="E12">
            <v>147.44300000000001</v>
          </cell>
          <cell r="F12">
            <v>147.44300000000001</v>
          </cell>
          <cell r="G12">
            <v>16.689</v>
          </cell>
          <cell r="H12">
            <v>0</v>
          </cell>
          <cell r="I12">
            <v>109.52800000000001</v>
          </cell>
          <cell r="J12">
            <v>0</v>
          </cell>
          <cell r="K12">
            <v>0</v>
          </cell>
          <cell r="L12">
            <v>21.225000000000001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A13" t="str">
            <v>FB.55125</v>
          </cell>
          <cell r="B13" t="str">
            <v>Tranquility - #7 PMC in TAK</v>
          </cell>
          <cell r="C13" t="str">
            <v>TAKASAKI PLANT-TOLL, 4769</v>
          </cell>
          <cell r="D13" t="str">
            <v>Unfunded</v>
          </cell>
          <cell r="E13">
            <v>2000</v>
          </cell>
          <cell r="F13">
            <v>1000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1000</v>
          </cell>
        </row>
        <row r="14">
          <cell r="A14" t="str">
            <v>FB.58293</v>
          </cell>
          <cell r="B14" t="str">
            <v>TAK FE Auto dose cap</v>
          </cell>
          <cell r="C14" t="str">
            <v>TAKASAKI PLANT-TOLL, 4769</v>
          </cell>
          <cell r="D14" t="str">
            <v>Unfunded</v>
          </cell>
          <cell r="E14">
            <v>3000</v>
          </cell>
          <cell r="F14">
            <v>750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750</v>
          </cell>
        </row>
        <row r="15">
          <cell r="A15" t="str">
            <v>B.07197</v>
          </cell>
          <cell r="B15" t="str">
            <v>FY2021 BINH DUONG 03-NON SAVINGS AE</v>
          </cell>
          <cell r="C15" t="str">
            <v>BINH DUONG-PLT-MS-PG INDOCHINA, 9797</v>
          </cell>
          <cell r="D15" t="str">
            <v>AE Budget Funded</v>
          </cell>
          <cell r="E15">
            <v>1044.8879999999999</v>
          </cell>
          <cell r="F15">
            <v>1044.8879999999999</v>
          </cell>
          <cell r="G15">
            <v>0</v>
          </cell>
          <cell r="H15">
            <v>0</v>
          </cell>
          <cell r="I15">
            <v>0</v>
          </cell>
          <cell r="J15">
            <v>10</v>
          </cell>
          <cell r="K15">
            <v>88.888000000000005</v>
          </cell>
          <cell r="L15">
            <v>170</v>
          </cell>
          <cell r="M15">
            <v>149</v>
          </cell>
          <cell r="N15">
            <v>115</v>
          </cell>
          <cell r="O15">
            <v>425</v>
          </cell>
          <cell r="P15">
            <v>32</v>
          </cell>
          <cell r="Q15">
            <v>0</v>
          </cell>
          <cell r="R15">
            <v>55</v>
          </cell>
        </row>
        <row r="16">
          <cell r="A16" t="str">
            <v>A.03817</v>
          </cell>
          <cell r="B16" t="str">
            <v>IWS 5.0 Journey - BD Admin Facility upgr</v>
          </cell>
          <cell r="C16" t="str">
            <v>BINH DUONG-PLT-MS-PG INDOCHINA, 9797</v>
          </cell>
          <cell r="D16" t="str">
            <v>Partial</v>
          </cell>
          <cell r="E16">
            <v>1154.133</v>
          </cell>
          <cell r="F16">
            <v>1154.133</v>
          </cell>
          <cell r="G16">
            <v>88</v>
          </cell>
          <cell r="H16">
            <v>151</v>
          </cell>
          <cell r="I16">
            <v>0</v>
          </cell>
          <cell r="J16">
            <v>0</v>
          </cell>
          <cell r="K16">
            <v>0</v>
          </cell>
          <cell r="L16">
            <v>677</v>
          </cell>
          <cell r="M16">
            <v>230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</row>
        <row r="17">
          <cell r="A17" t="str">
            <v>B.06835</v>
          </cell>
          <cell r="B17" t="str">
            <v>BINH DUONG 1920 03-NON SAVINGS AE</v>
          </cell>
          <cell r="C17" t="str">
            <v>BINH DUONG-PLT-MS-PG INDOCHINA, 9797</v>
          </cell>
          <cell r="D17" t="str">
            <v>AE Budget Funded</v>
          </cell>
          <cell r="E17">
            <v>104.86799999999999</v>
          </cell>
          <cell r="F17">
            <v>104.86799999999999</v>
          </cell>
          <cell r="G17">
            <v>5.9489999999999998</v>
          </cell>
          <cell r="H17">
            <v>-5.9489999999999998</v>
          </cell>
          <cell r="I17">
            <v>32.094000000000001</v>
          </cell>
          <cell r="J17">
            <v>14.041</v>
          </cell>
          <cell r="K17">
            <v>0</v>
          </cell>
          <cell r="L17">
            <v>30.088000000000001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A18" t="str">
            <v>FB.58410</v>
          </cell>
          <cell r="B18" t="str">
            <v>Tide BiP</v>
          </cell>
          <cell r="C18" t="str">
            <v>CHENGDU PLANT - MFG, 0381</v>
          </cell>
          <cell r="D18" t="str">
            <v>Unfunded</v>
          </cell>
          <cell r="E18">
            <v>80</v>
          </cell>
          <cell r="F18">
            <v>40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40</v>
          </cell>
        </row>
        <row r="19">
          <cell r="A19" t="str">
            <v>B.07172</v>
          </cell>
          <cell r="B19" t="str">
            <v>FY2021 CHENGDU 03-NON SAVINGS AE</v>
          </cell>
          <cell r="C19" t="str">
            <v>CHENGDU PLANT - MFG, 0381</v>
          </cell>
          <cell r="D19" t="str">
            <v>AE Budget Funded</v>
          </cell>
          <cell r="E19">
            <v>610.22400000000005</v>
          </cell>
          <cell r="F19">
            <v>610.22400000000005</v>
          </cell>
          <cell r="G19">
            <v>0</v>
          </cell>
          <cell r="H19">
            <v>0</v>
          </cell>
          <cell r="I19">
            <v>1.98</v>
          </cell>
          <cell r="J19">
            <v>0</v>
          </cell>
          <cell r="K19">
            <v>0</v>
          </cell>
          <cell r="L19">
            <v>157.33699999999999</v>
          </cell>
          <cell r="M19">
            <v>440.31700000000001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A20" t="str">
            <v>B.06798</v>
          </cell>
          <cell r="B20" t="str">
            <v>CHENGDU 1920 03-NON SAVINGS AE</v>
          </cell>
          <cell r="C20" t="str">
            <v>CHENGDU PLANT - MFG, 0381</v>
          </cell>
          <cell r="D20" t="str">
            <v>AE Budget Funded</v>
          </cell>
          <cell r="E20">
            <v>83.09</v>
          </cell>
          <cell r="F20">
            <v>83.09</v>
          </cell>
          <cell r="G20">
            <v>2.2749999999999999</v>
          </cell>
          <cell r="H20">
            <v>0.16300000000000001</v>
          </cell>
          <cell r="I20">
            <v>1.5009999999999999</v>
          </cell>
          <cell r="J20">
            <v>0</v>
          </cell>
          <cell r="K20">
            <v>0</v>
          </cell>
          <cell r="L20">
            <v>73.433000000000007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A21" t="str">
            <v>B.07175</v>
          </cell>
          <cell r="B21" t="str">
            <v>FY2021 CHENGDU 04-SAVINGS AE</v>
          </cell>
          <cell r="C21" t="str">
            <v>CHENGDU PLANT - MFG, 0381</v>
          </cell>
          <cell r="D21" t="str">
            <v>AE Budget Funded</v>
          </cell>
          <cell r="E21">
            <v>81.385999999999996</v>
          </cell>
          <cell r="F21">
            <v>81.385999999999996</v>
          </cell>
          <cell r="G21">
            <v>0</v>
          </cell>
          <cell r="H21">
            <v>0</v>
          </cell>
          <cell r="I21">
            <v>2.1520000000000001</v>
          </cell>
          <cell r="J21">
            <v>0</v>
          </cell>
          <cell r="K21">
            <v>0</v>
          </cell>
          <cell r="L21">
            <v>22.638000000000002</v>
          </cell>
          <cell r="M21">
            <v>56.595999999999997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</row>
        <row r="22">
          <cell r="A22" t="str">
            <v>B.06804</v>
          </cell>
          <cell r="B22" t="str">
            <v>TAICANG 1920 01-INITIATIVES AE</v>
          </cell>
          <cell r="C22" t="str">
            <v>TAICANG PLANT-PG JIANGSU LTD, A266</v>
          </cell>
          <cell r="D22" t="str">
            <v>AE Budget Funded</v>
          </cell>
          <cell r="E22">
            <v>188.083</v>
          </cell>
          <cell r="F22">
            <v>188.083</v>
          </cell>
          <cell r="G22">
            <v>0</v>
          </cell>
          <cell r="H22">
            <v>0</v>
          </cell>
          <cell r="I22">
            <v>23</v>
          </cell>
          <cell r="J22">
            <v>0</v>
          </cell>
          <cell r="K22">
            <v>14</v>
          </cell>
          <cell r="L22">
            <v>86</v>
          </cell>
          <cell r="M22">
            <v>7</v>
          </cell>
          <cell r="N22">
            <v>0</v>
          </cell>
          <cell r="O22">
            <v>10</v>
          </cell>
          <cell r="P22">
            <v>0</v>
          </cell>
          <cell r="Q22">
            <v>48</v>
          </cell>
          <cell r="R22">
            <v>0</v>
          </cell>
        </row>
        <row r="23">
          <cell r="A23" t="str">
            <v>B.07174</v>
          </cell>
          <cell r="B23" t="str">
            <v>FY2021 TAICANG HDL ePLCM 03-NON SAVINGS</v>
          </cell>
          <cell r="C23" t="str">
            <v>TAICANG PLANT-PG JIANGSU LTD, A266</v>
          </cell>
          <cell r="D23" t="str">
            <v>AE Budget Funded</v>
          </cell>
          <cell r="E23">
            <v>200</v>
          </cell>
          <cell r="F23">
            <v>100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100</v>
          </cell>
          <cell r="P23">
            <v>0</v>
          </cell>
          <cell r="Q23">
            <v>0</v>
          </cell>
          <cell r="R23">
            <v>0</v>
          </cell>
        </row>
        <row r="24">
          <cell r="A24" t="str">
            <v>B.06800</v>
          </cell>
          <cell r="B24" t="str">
            <v>TAICANG1920 HDL ePLCM 03-NON SAVINGS AE</v>
          </cell>
          <cell r="C24" t="str">
            <v>TAICANG PLANT-PG JIANGSU LTD, A266</v>
          </cell>
          <cell r="D24" t="str">
            <v>AE Budget Funded</v>
          </cell>
          <cell r="E24">
            <v>140</v>
          </cell>
          <cell r="F24">
            <v>140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20</v>
          </cell>
          <cell r="M24">
            <v>60</v>
          </cell>
          <cell r="N24">
            <v>0</v>
          </cell>
          <cell r="O24">
            <v>20</v>
          </cell>
          <cell r="P24">
            <v>10</v>
          </cell>
          <cell r="Q24">
            <v>30</v>
          </cell>
          <cell r="R24">
            <v>0</v>
          </cell>
        </row>
        <row r="25">
          <cell r="A25" t="str">
            <v>B.06799</v>
          </cell>
          <cell r="B25" t="str">
            <v>TAICANG 1920 03-NON SAVINGS AE</v>
          </cell>
          <cell r="C25" t="str">
            <v>TAICANG PLANT-PG JIANGSU LTD, A266</v>
          </cell>
          <cell r="D25" t="str">
            <v>AE Budget Funded</v>
          </cell>
          <cell r="E25">
            <v>12.776999999999999</v>
          </cell>
          <cell r="F25">
            <v>12.776999999999999</v>
          </cell>
          <cell r="G25">
            <v>12.734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A26" t="str">
            <v>B.07173</v>
          </cell>
          <cell r="B26" t="str">
            <v>FY2021 TAICANG 03-NON SAVINGS AE</v>
          </cell>
          <cell r="C26" t="str">
            <v>TAICANG PLANT-PG JIANGSU LTD, A266</v>
          </cell>
          <cell r="D26" t="str">
            <v>AE Budget Funded</v>
          </cell>
          <cell r="E26">
            <v>369</v>
          </cell>
          <cell r="F26">
            <v>369</v>
          </cell>
          <cell r="G26">
            <v>0</v>
          </cell>
          <cell r="H26">
            <v>0</v>
          </cell>
          <cell r="I26">
            <v>20</v>
          </cell>
          <cell r="J26">
            <v>10</v>
          </cell>
          <cell r="K26">
            <v>20</v>
          </cell>
          <cell r="L26">
            <v>50</v>
          </cell>
          <cell r="M26">
            <v>0</v>
          </cell>
          <cell r="N26">
            <v>20</v>
          </cell>
          <cell r="O26">
            <v>90</v>
          </cell>
          <cell r="P26">
            <v>40</v>
          </cell>
          <cell r="Q26">
            <v>44</v>
          </cell>
          <cell r="R26">
            <v>75</v>
          </cell>
        </row>
        <row r="27">
          <cell r="A27" t="str">
            <v>FB.60686</v>
          </cell>
          <cell r="B27" t="str">
            <v>Martini 2.0/Base Restage</v>
          </cell>
          <cell r="C27" t="str">
            <v>TAKASAKI PLANT-TOLL, 4769</v>
          </cell>
          <cell r="D27" t="str">
            <v>Unfunded</v>
          </cell>
          <cell r="E27">
            <v>600</v>
          </cell>
          <cell r="F27">
            <v>300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300</v>
          </cell>
        </row>
        <row r="28">
          <cell r="A28" t="str">
            <v>FB.57260</v>
          </cell>
          <cell r="B28" t="str">
            <v>SWT localization</v>
          </cell>
          <cell r="C28" t="str">
            <v>BINH DUONG-PLT-MS-PG INDOCHINA, 9797</v>
          </cell>
          <cell r="D28" t="str">
            <v>Unfunded</v>
          </cell>
          <cell r="E28">
            <v>2000</v>
          </cell>
          <cell r="F28">
            <v>1000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1000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A29" t="str">
            <v>A.03349</v>
          </cell>
          <cell r="B29" t="str">
            <v>Binh Duong Plant - Ha Long Project</v>
          </cell>
          <cell r="C29" t="str">
            <v>BINH DUONG-PLT-MS-PG INDOCHINA, 9797</v>
          </cell>
          <cell r="D29" t="str">
            <v>Final</v>
          </cell>
          <cell r="E29">
            <v>303.834</v>
          </cell>
          <cell r="F29">
            <v>303.834</v>
          </cell>
          <cell r="G29">
            <v>2.7639999999999998</v>
          </cell>
          <cell r="H29">
            <v>115.8</v>
          </cell>
          <cell r="I29">
            <v>7.02</v>
          </cell>
          <cell r="J29">
            <v>0</v>
          </cell>
          <cell r="K29">
            <v>0</v>
          </cell>
          <cell r="L29">
            <v>96.281000000000006</v>
          </cell>
          <cell r="M29">
            <v>0</v>
          </cell>
          <cell r="N29">
            <v>0</v>
          </cell>
          <cell r="O29">
            <v>81.236999999999995</v>
          </cell>
          <cell r="P29">
            <v>0</v>
          </cell>
          <cell r="Q29">
            <v>0</v>
          </cell>
          <cell r="R29">
            <v>0</v>
          </cell>
        </row>
        <row r="30">
          <cell r="A30" t="str">
            <v>FB.45770</v>
          </cell>
          <cell r="B30" t="str">
            <v>BD FE NSS place holder</v>
          </cell>
          <cell r="C30" t="str">
            <v>BINH DUONG-PLT-MS-PG INDOCHINA, 9797</v>
          </cell>
          <cell r="D30" t="str">
            <v>Unfunded</v>
          </cell>
          <cell r="E30">
            <v>400</v>
          </cell>
          <cell r="F30">
            <v>200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200</v>
          </cell>
          <cell r="P30">
            <v>0</v>
          </cell>
          <cell r="Q30">
            <v>0</v>
          </cell>
          <cell r="R30">
            <v>0</v>
          </cell>
        </row>
        <row r="31">
          <cell r="A31" t="str">
            <v>FB.56581</v>
          </cell>
          <cell r="B31" t="str">
            <v>BINH DUONG FY2021 04-SAVINGS AE</v>
          </cell>
          <cell r="C31" t="str">
            <v>BINH DUONG-PLT-MS-PG INDOCHINA, 9797</v>
          </cell>
          <cell r="D31" t="str">
            <v>AE Budget Unfunded</v>
          </cell>
          <cell r="E31">
            <v>250</v>
          </cell>
          <cell r="F31">
            <v>250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250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A32" t="str">
            <v>B.07199</v>
          </cell>
          <cell r="B32" t="str">
            <v>FY2021 BINH DUONG 04-SAVINGS AE</v>
          </cell>
          <cell r="C32" t="str">
            <v>BINH DUONG-PLT-MS-PG INDOCHINA, 9797</v>
          </cell>
          <cell r="D32" t="str">
            <v>AE Budget Funded</v>
          </cell>
          <cell r="E32">
            <v>827</v>
          </cell>
          <cell r="F32">
            <v>827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17</v>
          </cell>
          <cell r="L32">
            <v>200</v>
          </cell>
          <cell r="M32">
            <v>223</v>
          </cell>
          <cell r="N32">
            <v>97</v>
          </cell>
          <cell r="O32">
            <v>214</v>
          </cell>
          <cell r="P32">
            <v>0</v>
          </cell>
          <cell r="Q32">
            <v>76</v>
          </cell>
          <cell r="R32">
            <v>0</v>
          </cell>
        </row>
        <row r="33">
          <cell r="A33" t="str">
            <v>A.03361.B587</v>
          </cell>
          <cell r="B33" t="str">
            <v>KR LGF SOLID FOAM</v>
          </cell>
          <cell r="C33" t="str">
            <v>CREMER-WUXI-PG GUANGZHOU LTD, B587</v>
          </cell>
          <cell r="D33" t="str">
            <v>Partial</v>
          </cell>
          <cell r="E33">
            <v>-62.625999999999998</v>
          </cell>
          <cell r="F33">
            <v>-62.625999999999998</v>
          </cell>
          <cell r="G33">
            <v>-62.625999999999998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A34" t="str">
            <v>FB.58703</v>
          </cell>
          <cell r="B34" t="str">
            <v>FY2021 HDL NSS Placeholder</v>
          </cell>
          <cell r="C34" t="str">
            <v>TAICANG PLANT-PG JIANGSU LTD, A266</v>
          </cell>
          <cell r="D34" t="str">
            <v>Unfunded</v>
          </cell>
          <cell r="E34">
            <v>200</v>
          </cell>
          <cell r="F34">
            <v>100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100</v>
          </cell>
          <cell r="P34">
            <v>0</v>
          </cell>
          <cell r="Q34">
            <v>0</v>
          </cell>
          <cell r="R34">
            <v>0</v>
          </cell>
        </row>
        <row r="35">
          <cell r="A35" t="str">
            <v>B.06802</v>
          </cell>
          <cell r="B35" t="str">
            <v>TAICANG 1920 04-SAVINGS AE</v>
          </cell>
          <cell r="C35" t="str">
            <v>TAICANG PLANT-PG JIANGSU LTD, A266</v>
          </cell>
          <cell r="D35" t="str">
            <v>AE Budget Funded</v>
          </cell>
          <cell r="E35">
            <v>103.657</v>
          </cell>
          <cell r="F35">
            <v>103.657</v>
          </cell>
          <cell r="G35">
            <v>57</v>
          </cell>
          <cell r="H35">
            <v>0</v>
          </cell>
          <cell r="I35">
            <v>52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</row>
        <row r="36">
          <cell r="A36" t="str">
            <v>A.03132</v>
          </cell>
          <cell r="B36" t="str">
            <v>Taicang HDL Compact AGV Project</v>
          </cell>
          <cell r="C36" t="str">
            <v>TAICANG PLANT-PG JIANGSU LTD, A266</v>
          </cell>
          <cell r="D36" t="str">
            <v>Preliminary</v>
          </cell>
          <cell r="E36">
            <v>561.53200000000004</v>
          </cell>
          <cell r="F36">
            <v>141.83725000000001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139.89824999999999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</row>
        <row r="37">
          <cell r="A37" t="str">
            <v>B.07176</v>
          </cell>
          <cell r="B37" t="str">
            <v>FY2021 TAICANG 04-SAVINGS AE</v>
          </cell>
          <cell r="C37" t="str">
            <v>TAICANG PLANT-PG JIANGSU LTD, A266</v>
          </cell>
          <cell r="D37" t="str">
            <v>AE Budget Funded</v>
          </cell>
          <cell r="E37">
            <v>276</v>
          </cell>
          <cell r="F37">
            <v>276</v>
          </cell>
          <cell r="G37">
            <v>0</v>
          </cell>
          <cell r="H37">
            <v>0</v>
          </cell>
          <cell r="I37">
            <v>8</v>
          </cell>
          <cell r="J37">
            <v>0</v>
          </cell>
          <cell r="K37">
            <v>0</v>
          </cell>
          <cell r="L37">
            <v>35</v>
          </cell>
          <cell r="M37">
            <v>0</v>
          </cell>
          <cell r="N37">
            <v>0</v>
          </cell>
          <cell r="O37">
            <v>86</v>
          </cell>
          <cell r="P37">
            <v>18</v>
          </cell>
          <cell r="Q37">
            <v>64</v>
          </cell>
          <cell r="R37">
            <v>65</v>
          </cell>
        </row>
        <row r="38">
          <cell r="A38" t="str">
            <v>B.06822</v>
          </cell>
          <cell r="B38" t="str">
            <v>TAKASAKI 1920 SUD 01-INITIATIVES AE</v>
          </cell>
          <cell r="C38" t="str">
            <v>TAKASAKI PLANT-TOLL, 4769</v>
          </cell>
          <cell r="D38" t="str">
            <v>AE Budget Funded</v>
          </cell>
          <cell r="E38">
            <v>381.36399999999998</v>
          </cell>
          <cell r="F38">
            <v>381.36399999999998</v>
          </cell>
          <cell r="G38">
            <v>17.628</v>
          </cell>
          <cell r="H38">
            <v>43.918999999999997</v>
          </cell>
          <cell r="I38">
            <v>174.81100000000001</v>
          </cell>
          <cell r="J38">
            <v>12.422000000000001</v>
          </cell>
          <cell r="K38">
            <v>0</v>
          </cell>
          <cell r="L38">
            <v>96.998999999999995</v>
          </cell>
          <cell r="M38">
            <v>34.128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</row>
        <row r="39">
          <cell r="A39" t="str">
            <v>A.03571</v>
          </cell>
          <cell r="B39" t="str">
            <v>Asia SUD Mercury Project</v>
          </cell>
          <cell r="C39" t="str">
            <v>TAKASAKI PLANT-TOLL, 4769</v>
          </cell>
          <cell r="D39" t="str">
            <v>Partial</v>
          </cell>
          <cell r="E39">
            <v>275.03199999999998</v>
          </cell>
          <cell r="F39">
            <v>275.03199999999998</v>
          </cell>
          <cell r="G39">
            <v>-7.5170000000000003</v>
          </cell>
          <cell r="H39">
            <v>-1E-3</v>
          </cell>
          <cell r="I39">
            <v>75.555000000000007</v>
          </cell>
          <cell r="J39">
            <v>46.41</v>
          </cell>
          <cell r="K39">
            <v>0</v>
          </cell>
          <cell r="L39">
            <v>160.66999999999999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</row>
        <row r="40">
          <cell r="A40" t="str">
            <v>A.03680.4769</v>
          </cell>
          <cell r="B40" t="str">
            <v>Japan SUD Infinity Project</v>
          </cell>
          <cell r="C40" t="str">
            <v>TAKASAKI PLANT-TOLL, 4769</v>
          </cell>
          <cell r="D40" t="str">
            <v>Partial</v>
          </cell>
          <cell r="E40">
            <v>248.327</v>
          </cell>
          <cell r="F40">
            <v>248.327</v>
          </cell>
          <cell r="G40">
            <v>100.532</v>
          </cell>
          <cell r="H40">
            <v>0.112</v>
          </cell>
          <cell r="I40">
            <v>29.459</v>
          </cell>
          <cell r="J40">
            <v>0</v>
          </cell>
          <cell r="K40">
            <v>46.41</v>
          </cell>
          <cell r="L40">
            <v>0</v>
          </cell>
          <cell r="M40">
            <v>40.145000000000003</v>
          </cell>
          <cell r="N40">
            <v>0</v>
          </cell>
          <cell r="O40">
            <v>31.658999999999999</v>
          </cell>
          <cell r="P40">
            <v>0</v>
          </cell>
          <cell r="Q40">
            <v>0</v>
          </cell>
          <cell r="R40">
            <v>0</v>
          </cell>
        </row>
        <row r="41">
          <cell r="A41" t="str">
            <v>A.03339</v>
          </cell>
          <cell r="B41" t="str">
            <v>SUD Asia Capacity Increase x.11 &amp; x.12</v>
          </cell>
          <cell r="C41" t="str">
            <v>TAKASAKI PLANT-TOLL, 4769</v>
          </cell>
          <cell r="D41" t="str">
            <v>Partial</v>
          </cell>
          <cell r="E41">
            <v>0.50900000000000001</v>
          </cell>
          <cell r="F41">
            <v>0.50900000000000001</v>
          </cell>
          <cell r="G41">
            <v>0.50900000000000001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</row>
        <row r="42">
          <cell r="A42" t="str">
            <v>A.02460</v>
          </cell>
          <cell r="B42" t="str">
            <v>TAKASAKI SUD ASIA A3M</v>
          </cell>
          <cell r="C42" t="str">
            <v>TAKASAKI PLANT-TOLL, 4769</v>
          </cell>
          <cell r="D42" t="str">
            <v>Partial</v>
          </cell>
          <cell r="E42">
            <v>142.32300000000001</v>
          </cell>
          <cell r="F42">
            <v>142.32300000000001</v>
          </cell>
          <cell r="G42">
            <v>0</v>
          </cell>
          <cell r="H42">
            <v>14.906000000000001</v>
          </cell>
          <cell r="I42">
            <v>9.8179999999999996</v>
          </cell>
          <cell r="J42">
            <v>0</v>
          </cell>
          <cell r="K42">
            <v>32.061999999999998</v>
          </cell>
          <cell r="L42">
            <v>44.237000000000002</v>
          </cell>
          <cell r="M42">
            <v>28.530999999999999</v>
          </cell>
          <cell r="N42">
            <v>0</v>
          </cell>
          <cell r="O42">
            <v>12.275</v>
          </cell>
          <cell r="P42">
            <v>0</v>
          </cell>
          <cell r="Q42">
            <v>0</v>
          </cell>
          <cell r="R42">
            <v>0</v>
          </cell>
        </row>
        <row r="43">
          <cell r="A43" t="str">
            <v>FB.16775</v>
          </cell>
          <cell r="B43" t="str">
            <v>ePLCM for SUD</v>
          </cell>
          <cell r="C43" t="str">
            <v>TAKASAKI PLANT-TOLL, 4769</v>
          </cell>
          <cell r="D43" t="str">
            <v>Unfunded</v>
          </cell>
          <cell r="E43">
            <v>840</v>
          </cell>
          <cell r="F43">
            <v>420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420</v>
          </cell>
        </row>
        <row r="44">
          <cell r="A44" t="str">
            <v>FB.24930</v>
          </cell>
          <cell r="B44" t="str">
            <v>EPLCM - Takasaki</v>
          </cell>
          <cell r="C44" t="str">
            <v>TAKASAKI PLANT-TOLL, 4769</v>
          </cell>
          <cell r="D44" t="str">
            <v>AE Budget Unfunded</v>
          </cell>
          <cell r="E44">
            <v>250</v>
          </cell>
          <cell r="F44">
            <v>125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125</v>
          </cell>
        </row>
        <row r="45">
          <cell r="A45" t="str">
            <v>B.06816</v>
          </cell>
          <cell r="B45" t="str">
            <v>TAKASAKI 1920 HDL ePLCM 03-NON SAVINGS A</v>
          </cell>
          <cell r="C45" t="str">
            <v>TAKASAKI PLANT-TOLL, 4769</v>
          </cell>
          <cell r="D45" t="str">
            <v>AE Budget Funded</v>
          </cell>
          <cell r="E45">
            <v>7.0000000000000001E-3</v>
          </cell>
          <cell r="F45">
            <v>7.0000000000000001E-3</v>
          </cell>
          <cell r="G45">
            <v>6.3E-3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A46" t="str">
            <v>FB.58683</v>
          </cell>
          <cell r="B46" t="str">
            <v>ePLCM - Packing</v>
          </cell>
          <cell r="C46" t="str">
            <v>TAKASAKI PLANT-TOLL, 4769</v>
          </cell>
          <cell r="D46" t="str">
            <v>AE Budget Unfunded</v>
          </cell>
          <cell r="E46">
            <v>70</v>
          </cell>
          <cell r="F46">
            <v>35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35</v>
          </cell>
        </row>
        <row r="47">
          <cell r="A47" t="str">
            <v>FB.16667</v>
          </cell>
          <cell r="B47" t="str">
            <v>ePLCM - Making</v>
          </cell>
          <cell r="C47" t="str">
            <v>TAKASAKI PLANT-TOLL, 4769</v>
          </cell>
          <cell r="D47" t="str">
            <v>Unfunded</v>
          </cell>
          <cell r="E47">
            <v>100</v>
          </cell>
          <cell r="F47">
            <v>90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90</v>
          </cell>
        </row>
        <row r="48">
          <cell r="A48" t="str">
            <v>A.03725</v>
          </cell>
          <cell r="B48" t="str">
            <v>Takasaki Power Master Plan Phase 4</v>
          </cell>
          <cell r="C48" t="str">
            <v>TAKASAKI PLANT-TOLL, 4769</v>
          </cell>
          <cell r="D48" t="str">
            <v>Partial</v>
          </cell>
          <cell r="E48">
            <v>188.97</v>
          </cell>
          <cell r="F48">
            <v>188.97</v>
          </cell>
          <cell r="G48">
            <v>0</v>
          </cell>
          <cell r="H48">
            <v>109.384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25.32</v>
          </cell>
          <cell r="O48">
            <v>50.640999999999998</v>
          </cell>
          <cell r="P48">
            <v>0</v>
          </cell>
          <cell r="Q48">
            <v>0</v>
          </cell>
          <cell r="R48">
            <v>0</v>
          </cell>
        </row>
        <row r="49">
          <cell r="A49" t="str">
            <v>FB.59543</v>
          </cell>
          <cell r="B49" t="str">
            <v>Beads Small Scale Prototyping Unit</v>
          </cell>
          <cell r="C49" t="str">
            <v>BEIJING TECHNICAL CTR-PG TECH, 2803</v>
          </cell>
          <cell r="D49" t="str">
            <v>Unfunded</v>
          </cell>
          <cell r="E49">
            <v>100.291</v>
          </cell>
          <cell r="F49">
            <v>50.145499999999998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50.145499999999998</v>
          </cell>
        </row>
        <row r="50">
          <cell r="A50" t="str">
            <v>B.07057</v>
          </cell>
          <cell r="B50" t="str">
            <v>FY2021 R&amp;D PRLO AE BUDGET-BJTC</v>
          </cell>
          <cell r="C50" t="str">
            <v>BEIJING TECHNICAL CTR-PG TECH, 2803</v>
          </cell>
          <cell r="D50" t="str">
            <v>AE Budget Funded</v>
          </cell>
          <cell r="E50">
            <v>173.952</v>
          </cell>
          <cell r="F50">
            <v>156.55680000000001</v>
          </cell>
          <cell r="G50">
            <v>0</v>
          </cell>
          <cell r="H50">
            <v>0</v>
          </cell>
          <cell r="I50">
            <v>3.6882000000000001</v>
          </cell>
          <cell r="J50">
            <v>0</v>
          </cell>
          <cell r="K50">
            <v>0</v>
          </cell>
          <cell r="L50">
            <v>50.956200000000003</v>
          </cell>
          <cell r="M50">
            <v>0</v>
          </cell>
          <cell r="N50">
            <v>0</v>
          </cell>
          <cell r="O50">
            <v>50.956200000000003</v>
          </cell>
          <cell r="P50">
            <v>0</v>
          </cell>
          <cell r="Q50">
            <v>0</v>
          </cell>
          <cell r="R50">
            <v>50.956200000000003</v>
          </cell>
        </row>
        <row r="51">
          <cell r="A51" t="str">
            <v>B.06774</v>
          </cell>
          <cell r="B51" t="str">
            <v>FY19/20 R&amp;D PRLO AE BUDGET-BJTC</v>
          </cell>
          <cell r="C51" t="str">
            <v>BEIJING TECHNICAL CTR-PG TECH, 2803</v>
          </cell>
          <cell r="D51" t="str">
            <v>AE Budget Funded</v>
          </cell>
          <cell r="E51">
            <v>8.4260000000000002</v>
          </cell>
          <cell r="F51">
            <v>8.4260000000000002</v>
          </cell>
          <cell r="G51">
            <v>0</v>
          </cell>
          <cell r="H51">
            <v>0</v>
          </cell>
          <cell r="I51">
            <v>8.4260000000000002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A52" t="str">
            <v>B.06773</v>
          </cell>
          <cell r="B52" t="str">
            <v>FY19/20 FC R&amp;D AE BUDGET -BJTC</v>
          </cell>
          <cell r="C52" t="str">
            <v>BEIJING TECHNICAL CTR-PG TECH, 2803</v>
          </cell>
          <cell r="D52" t="str">
            <v>AE Budget Funded</v>
          </cell>
          <cell r="E52">
            <v>11.372</v>
          </cell>
          <cell r="F52">
            <v>11.372</v>
          </cell>
          <cell r="G52">
            <v>0</v>
          </cell>
          <cell r="H52">
            <v>0</v>
          </cell>
          <cell r="I52">
            <v>11.372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A53" t="str">
            <v>FB.62683</v>
          </cell>
          <cell r="B53" t="str">
            <v>Pilot Scale Foam Belt Drier</v>
          </cell>
          <cell r="C53" t="str">
            <v>BEIJING TECHNICAL CTR-PG TECH, 2803</v>
          </cell>
          <cell r="D53" t="str">
            <v>Unfunded</v>
          </cell>
          <cell r="E53">
            <v>500</v>
          </cell>
          <cell r="F53">
            <v>250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250</v>
          </cell>
        </row>
        <row r="54">
          <cell r="A54" t="str">
            <v>B.07056</v>
          </cell>
          <cell r="B54" t="str">
            <v>FY2021 FC R&amp;D AE BUDGET -BJTC</v>
          </cell>
          <cell r="C54" t="str">
            <v>BEIJING TECHNICAL CTR-PG TECH, 2803</v>
          </cell>
          <cell r="D54" t="str">
            <v>AE Budget Funded</v>
          </cell>
          <cell r="E54">
            <v>362.94299999999998</v>
          </cell>
          <cell r="F54">
            <v>327.33810000000005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109.6956</v>
          </cell>
          <cell r="L54">
            <v>87.279300000000006</v>
          </cell>
          <cell r="M54">
            <v>65.930400000000006</v>
          </cell>
          <cell r="N54">
            <v>43.996499999999997</v>
          </cell>
          <cell r="O54">
            <v>0</v>
          </cell>
          <cell r="P54">
            <v>0</v>
          </cell>
          <cell r="Q54">
            <v>13.542300000000001</v>
          </cell>
          <cell r="R54">
            <v>0</v>
          </cell>
        </row>
        <row r="55">
          <cell r="A55" t="str">
            <v>FB.62684</v>
          </cell>
          <cell r="B55" t="str">
            <v>Pilot Scale Foam Roller Converter</v>
          </cell>
          <cell r="C55" t="str">
            <v>BEIJING TECHNICAL CTR-PG TECH, 2803</v>
          </cell>
          <cell r="D55" t="str">
            <v>Unfunded</v>
          </cell>
          <cell r="E55">
            <v>160</v>
          </cell>
          <cell r="F55">
            <v>144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144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6">
          <cell r="A56" t="str">
            <v>A.03648</v>
          </cell>
          <cell r="B56" t="str">
            <v>CBY Bags CIP and EOL Improvement Project</v>
          </cell>
          <cell r="C56" t="str">
            <v>CABUYAO PLANT - TOLL MFG, PH01</v>
          </cell>
          <cell r="D56" t="str">
            <v>Partial</v>
          </cell>
          <cell r="E56">
            <v>508.31400000000002</v>
          </cell>
          <cell r="F56">
            <v>508.31400000000002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100</v>
          </cell>
          <cell r="L56">
            <v>155</v>
          </cell>
          <cell r="M56">
            <v>200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</row>
        <row r="57">
          <cell r="A57" t="str">
            <v>B.06831</v>
          </cell>
          <cell r="B57" t="str">
            <v>CABUYAO 1920 DL 01-INITIATIVES AE</v>
          </cell>
          <cell r="C57" t="str">
            <v>CABUYAO PLANT - TOLL MFG, PH01</v>
          </cell>
          <cell r="D57" t="str">
            <v>AE Budget Funded</v>
          </cell>
          <cell r="E57">
            <v>256.08199999999999</v>
          </cell>
          <cell r="F57">
            <v>256.08199999999999</v>
          </cell>
          <cell r="G57">
            <v>0</v>
          </cell>
          <cell r="H57">
            <v>0</v>
          </cell>
          <cell r="I57">
            <v>23</v>
          </cell>
          <cell r="J57">
            <v>30</v>
          </cell>
          <cell r="K57">
            <v>20</v>
          </cell>
          <cell r="L57">
            <v>10</v>
          </cell>
          <cell r="M57">
            <v>18</v>
          </cell>
          <cell r="N57">
            <v>89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</row>
        <row r="58">
          <cell r="A58" t="str">
            <v>A.03712</v>
          </cell>
          <cell r="B58" t="str">
            <v>CBY DL Making CIP28</v>
          </cell>
          <cell r="C58" t="str">
            <v>CABUYAO PLANT - TOLL MFG, PH01</v>
          </cell>
          <cell r="D58" t="str">
            <v>Partial</v>
          </cell>
          <cell r="E58">
            <v>1905.8140000000001</v>
          </cell>
          <cell r="F58">
            <v>1905.8140000000001</v>
          </cell>
          <cell r="G58">
            <v>50</v>
          </cell>
          <cell r="H58">
            <v>26</v>
          </cell>
          <cell r="I58">
            <v>0</v>
          </cell>
          <cell r="J58">
            <v>150</v>
          </cell>
          <cell r="K58">
            <v>185</v>
          </cell>
          <cell r="L58">
            <v>275</v>
          </cell>
          <cell r="M58">
            <v>500</v>
          </cell>
          <cell r="N58">
            <v>0</v>
          </cell>
          <cell r="O58">
            <v>185</v>
          </cell>
          <cell r="P58">
            <v>482</v>
          </cell>
          <cell r="Q58">
            <v>0</v>
          </cell>
          <cell r="R58">
            <v>0</v>
          </cell>
        </row>
        <row r="59">
          <cell r="A59" t="str">
            <v>A.03379</v>
          </cell>
          <cell r="B59" t="str">
            <v>PH Downy Lagerfeld_Beads in Powder Proje</v>
          </cell>
          <cell r="C59" t="str">
            <v>CABUYAO PLANT - TOLL MFG, PH01</v>
          </cell>
          <cell r="D59" t="str">
            <v>Partial</v>
          </cell>
          <cell r="E59">
            <v>250.18199999999999</v>
          </cell>
          <cell r="F59">
            <v>250.18199999999999</v>
          </cell>
          <cell r="G59">
            <v>0</v>
          </cell>
          <cell r="H59">
            <v>0</v>
          </cell>
          <cell r="I59">
            <v>21</v>
          </cell>
          <cell r="J59">
            <v>0</v>
          </cell>
          <cell r="K59">
            <v>217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A60" t="str">
            <v>B.07209</v>
          </cell>
          <cell r="B60" t="str">
            <v>FY2021 CABUYAO DL 01-INITIATIVES</v>
          </cell>
          <cell r="C60" t="str">
            <v>CABUYAO PLANT - TOLL MFG, PH01</v>
          </cell>
          <cell r="D60" t="str">
            <v>AE Budget Funded</v>
          </cell>
          <cell r="E60">
            <v>65</v>
          </cell>
          <cell r="F60">
            <v>65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30</v>
          </cell>
          <cell r="M60">
            <v>0</v>
          </cell>
          <cell r="N60">
            <v>0</v>
          </cell>
          <cell r="O60">
            <v>35</v>
          </cell>
          <cell r="P60">
            <v>0</v>
          </cell>
          <cell r="Q60">
            <v>0</v>
          </cell>
          <cell r="R60">
            <v>0</v>
          </cell>
        </row>
        <row r="61">
          <cell r="A61" t="str">
            <v>A.03325</v>
          </cell>
          <cell r="B61" t="str">
            <v>Ariel Platinum_Beads in Powder Project</v>
          </cell>
          <cell r="C61" t="str">
            <v>CABUYAO PLANT - TOLL MFG, PH01</v>
          </cell>
          <cell r="D61" t="str">
            <v>Partial</v>
          </cell>
          <cell r="E61">
            <v>-0.33700000000000002</v>
          </cell>
          <cell r="F61">
            <v>-0.33700000000000002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A62" t="str">
            <v>FB.60737</v>
          </cell>
          <cell r="B62" t="str">
            <v>Shubham Packing Capacity Increase(6-8 Lanes) )</v>
          </cell>
          <cell r="C62" t="str">
            <v>CABUYAO PLANT - TOLL MFG, PH01</v>
          </cell>
          <cell r="D62" t="str">
            <v>Unfunded</v>
          </cell>
          <cell r="E62">
            <v>300</v>
          </cell>
          <cell r="F62">
            <v>150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150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A63" t="str">
            <v>FB.58411</v>
          </cell>
          <cell r="B63" t="str">
            <v>HW FE</v>
          </cell>
          <cell r="C63" t="str">
            <v>F&amp;HC CONTRACT MANUFACTURING, 0484</v>
          </cell>
          <cell r="D63" t="str">
            <v>Unfunded</v>
          </cell>
          <cell r="E63">
            <v>550</v>
          </cell>
          <cell r="F63">
            <v>495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495</v>
          </cell>
        </row>
        <row r="64">
          <cell r="A64" t="str">
            <v>FB.58412</v>
          </cell>
          <cell r="B64" t="str">
            <v>Gen 2.0</v>
          </cell>
          <cell r="C64" t="str">
            <v>F&amp;HC CONTRACT MANUFACTURING, 0484</v>
          </cell>
          <cell r="D64" t="str">
            <v>Unfunded</v>
          </cell>
          <cell r="E64">
            <v>360</v>
          </cell>
          <cell r="F64">
            <v>180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180</v>
          </cell>
        </row>
        <row r="65">
          <cell r="A65" t="str">
            <v>FB.58413</v>
          </cell>
          <cell r="B65" t="str">
            <v>LDD Degerm</v>
          </cell>
          <cell r="C65" t="str">
            <v>F&amp;HC CONTRACT MANUFACTURING, 0484</v>
          </cell>
          <cell r="D65" t="str">
            <v>Unfunded</v>
          </cell>
          <cell r="E65">
            <v>850</v>
          </cell>
          <cell r="F65">
            <v>425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425</v>
          </cell>
        </row>
        <row r="66">
          <cell r="A66" t="str">
            <v>B.07211</v>
          </cell>
          <cell r="B66" t="str">
            <v>FY2021 JAKARTA 01-INITIATIVES</v>
          </cell>
          <cell r="C66" t="str">
            <v>JAKARTA PLANT TOLL - PGOI, A409</v>
          </cell>
          <cell r="D66" t="str">
            <v>AE Budget Funded</v>
          </cell>
          <cell r="E66">
            <v>45</v>
          </cell>
          <cell r="F66">
            <v>45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45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A67" t="str">
            <v>A.03446</v>
          </cell>
          <cell r="B67" t="str">
            <v>JAKARTA SACHET CIP WAVE 3</v>
          </cell>
          <cell r="C67" t="str">
            <v>JAKARTA PLANT TOLL - PGOI, A409</v>
          </cell>
          <cell r="D67" t="str">
            <v>Partial</v>
          </cell>
          <cell r="E67">
            <v>2.73</v>
          </cell>
          <cell r="F67">
            <v>2.73</v>
          </cell>
          <cell r="G67">
            <v>2.4569999999999999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A68" t="str">
            <v>B.06808</v>
          </cell>
          <cell r="B68" t="str">
            <v>JAKARTA 1920 01-INITIATIVES AE</v>
          </cell>
          <cell r="C68" t="str">
            <v>JAKARTA PLANT TOLL - PGOI, A409</v>
          </cell>
          <cell r="D68" t="str">
            <v>AE Budget Funded</v>
          </cell>
          <cell r="E68">
            <v>56.423000000000002</v>
          </cell>
          <cell r="F68">
            <v>56.423000000000002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25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</row>
        <row r="69">
          <cell r="A69" t="str">
            <v>A.03537</v>
          </cell>
          <cell r="B69" t="str">
            <v>Jakarta AAA Audrey Wave II</v>
          </cell>
          <cell r="C69" t="str">
            <v>JAKARTA PLANT TOLL - PGOI, A409</v>
          </cell>
          <cell r="D69" t="str">
            <v>Partial</v>
          </cell>
          <cell r="E69">
            <v>9.7010000000000005</v>
          </cell>
          <cell r="F69">
            <v>8.8960000000000008</v>
          </cell>
          <cell r="G69">
            <v>1.4859</v>
          </cell>
          <cell r="H69">
            <v>-7.740000000000001E-2</v>
          </cell>
          <cell r="I69">
            <v>0</v>
          </cell>
          <cell r="J69">
            <v>0</v>
          </cell>
          <cell r="K69">
            <v>1.575</v>
          </cell>
          <cell r="L69">
            <v>0</v>
          </cell>
          <cell r="M69">
            <v>5.67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</row>
        <row r="70">
          <cell r="A70" t="str">
            <v>A.03676</v>
          </cell>
          <cell r="B70" t="str">
            <v>JAPAN SHAMROCK PROJECT</v>
          </cell>
          <cell r="C70" t="str">
            <v>TAKASAKI PLANT-TOLL, 4769</v>
          </cell>
          <cell r="D70" t="str">
            <v>Preliminary</v>
          </cell>
          <cell r="E70">
            <v>6352.8429999999998</v>
          </cell>
          <cell r="F70">
            <v>5750.1769999999997</v>
          </cell>
          <cell r="G70">
            <v>89.8857</v>
          </cell>
          <cell r="H70">
            <v>199.31670000000003</v>
          </cell>
          <cell r="I70">
            <v>208.22220000000002</v>
          </cell>
          <cell r="J70">
            <v>18.744299999999999</v>
          </cell>
          <cell r="K70">
            <v>246.6234</v>
          </cell>
          <cell r="L70">
            <v>916.38720000000012</v>
          </cell>
          <cell r="M70">
            <v>0</v>
          </cell>
          <cell r="N70">
            <v>0</v>
          </cell>
          <cell r="O70">
            <v>2105.8173000000002</v>
          </cell>
          <cell r="P70">
            <v>0</v>
          </cell>
          <cell r="Q70">
            <v>0</v>
          </cell>
          <cell r="R70">
            <v>1928.1996000000001</v>
          </cell>
        </row>
        <row r="71">
          <cell r="A71" t="str">
            <v>FB.58387</v>
          </cell>
          <cell r="B71" t="str">
            <v>SUD Infinity 2.0</v>
          </cell>
          <cell r="C71" t="str">
            <v>TAKASAKI PLANT-TOLL, 4769</v>
          </cell>
          <cell r="D71" t="str">
            <v>AE Budget Unfunded</v>
          </cell>
          <cell r="E71">
            <v>200</v>
          </cell>
          <cell r="F71">
            <v>100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100</v>
          </cell>
        </row>
        <row r="72">
          <cell r="A72" t="str">
            <v>B.07184</v>
          </cell>
          <cell r="B72" t="str">
            <v>FY2021 TAKASAKI SHARED 03-NON SAVINGS AE</v>
          </cell>
          <cell r="C72" t="str">
            <v>TAKASAKI PLANT-TOLL, 4769</v>
          </cell>
          <cell r="D72" t="str">
            <v>AE Budget Funded</v>
          </cell>
          <cell r="E72">
            <v>509.52199999999999</v>
          </cell>
          <cell r="F72">
            <v>458.56980000000004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87.748199999999997</v>
          </cell>
          <cell r="M72">
            <v>286.86960000000005</v>
          </cell>
          <cell r="N72">
            <v>0</v>
          </cell>
          <cell r="O72">
            <v>54.421200000000006</v>
          </cell>
          <cell r="P72">
            <v>0</v>
          </cell>
          <cell r="Q72">
            <v>0</v>
          </cell>
          <cell r="R72">
            <v>29.530799999999999</v>
          </cell>
        </row>
        <row r="73">
          <cell r="A73" t="str">
            <v>A.03578</v>
          </cell>
          <cell r="B73" t="str">
            <v>BD Plant - HDL 2nd Mespack 570</v>
          </cell>
          <cell r="C73" t="str">
            <v>BINH DUONG-PLT-MS-PG INDOCHINA, 9797</v>
          </cell>
          <cell r="D73" t="str">
            <v>Final</v>
          </cell>
          <cell r="E73">
            <v>304.93599999999998</v>
          </cell>
          <cell r="F73">
            <v>304.93599999999998</v>
          </cell>
          <cell r="G73">
            <v>2.7280000000000002</v>
          </cell>
          <cell r="H73">
            <v>-2.7280000000000002</v>
          </cell>
          <cell r="I73">
            <v>0</v>
          </cell>
          <cell r="J73">
            <v>0</v>
          </cell>
          <cell r="K73">
            <v>0</v>
          </cell>
          <cell r="L73">
            <v>265.77600000000001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</row>
        <row r="74">
          <cell r="A74" t="str">
            <v>A.03688</v>
          </cell>
          <cell r="B74" t="str">
            <v>BD Plant - HDL 3rd Sachet Filler Project</v>
          </cell>
          <cell r="C74" t="str">
            <v>BINH DUONG-PLT-MS-PG INDOCHINA, 9797</v>
          </cell>
          <cell r="D74" t="str">
            <v>Partial</v>
          </cell>
          <cell r="E74">
            <v>479.90499999999997</v>
          </cell>
          <cell r="F74">
            <v>479.90499999999997</v>
          </cell>
          <cell r="G74">
            <v>2.31</v>
          </cell>
          <cell r="H74">
            <v>-2.31</v>
          </cell>
          <cell r="I74">
            <v>23.364000000000001</v>
          </cell>
          <cell r="J74">
            <v>0</v>
          </cell>
          <cell r="K74">
            <v>0</v>
          </cell>
          <cell r="L74">
            <v>195.119</v>
          </cell>
          <cell r="M74">
            <v>0</v>
          </cell>
          <cell r="N74">
            <v>0</v>
          </cell>
          <cell r="O74">
            <v>97.572999999999993</v>
          </cell>
          <cell r="P74">
            <v>0</v>
          </cell>
          <cell r="Q74">
            <v>0</v>
          </cell>
          <cell r="R74">
            <v>0</v>
          </cell>
        </row>
        <row r="75">
          <cell r="A75" t="str">
            <v>A.03592</v>
          </cell>
          <cell r="B75" t="str">
            <v>BD Plant - AA -Dynamite</v>
          </cell>
          <cell r="C75" t="str">
            <v>BINH DUONG-PLT-MS-PG INDOCHINA, 9797</v>
          </cell>
          <cell r="D75" t="str">
            <v>Partial</v>
          </cell>
          <cell r="E75">
            <v>70.570999999999998</v>
          </cell>
          <cell r="F75">
            <v>70.570999999999998</v>
          </cell>
          <cell r="G75">
            <v>12.262</v>
          </cell>
          <cell r="H75">
            <v>-12.262</v>
          </cell>
          <cell r="I75">
            <v>16.047000000000001</v>
          </cell>
          <cell r="J75">
            <v>0</v>
          </cell>
          <cell r="K75">
            <v>0</v>
          </cell>
          <cell r="L75">
            <v>24.38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</row>
        <row r="76">
          <cell r="A76" t="str">
            <v>A.03478</v>
          </cell>
          <cell r="B76" t="str">
            <v>BD Plant - HDL New Shubham Project</v>
          </cell>
          <cell r="C76" t="str">
            <v>BINH DUONG-PLT-MS-PG INDOCHINA, 9797</v>
          </cell>
          <cell r="D76" t="str">
            <v>Partial</v>
          </cell>
          <cell r="E76">
            <v>2.96</v>
          </cell>
          <cell r="F76">
            <v>2.96</v>
          </cell>
          <cell r="G76">
            <v>2.9980000000000002</v>
          </cell>
          <cell r="H76">
            <v>-2.9980000000000002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</row>
        <row r="77">
          <cell r="A77" t="str">
            <v>A.03718</v>
          </cell>
          <cell r="B77" t="str">
            <v>BD Plant - HDL Thang Long</v>
          </cell>
          <cell r="C77" t="str">
            <v>BINH DUONG-PLT-MS-PG INDOCHINA, 9797</v>
          </cell>
          <cell r="D77" t="str">
            <v>Partial</v>
          </cell>
          <cell r="E77">
            <v>3786.1950000000002</v>
          </cell>
          <cell r="F77">
            <v>3786.1950000000002</v>
          </cell>
          <cell r="G77">
            <v>17.006</v>
          </cell>
          <cell r="H77">
            <v>-17.006</v>
          </cell>
          <cell r="I77">
            <v>1770.1669999999999</v>
          </cell>
          <cell r="J77">
            <v>0</v>
          </cell>
          <cell r="K77">
            <v>0</v>
          </cell>
          <cell r="L77">
            <v>1409.1130000000001</v>
          </cell>
          <cell r="M77">
            <v>0</v>
          </cell>
          <cell r="N77">
            <v>0</v>
          </cell>
          <cell r="O77">
            <v>575.67999999999995</v>
          </cell>
          <cell r="P77">
            <v>0</v>
          </cell>
          <cell r="Q77">
            <v>0</v>
          </cell>
          <cell r="R77">
            <v>0</v>
          </cell>
        </row>
        <row r="78">
          <cell r="A78" t="str">
            <v>FB.57254</v>
          </cell>
          <cell r="B78" t="str">
            <v>VN W2 Ariel Collar &amp; Cuff</v>
          </cell>
          <cell r="C78" t="str">
            <v>BINH DUONG-PLT-MS-PG INDOCHINA, 9797</v>
          </cell>
          <cell r="D78" t="str">
            <v>Unfunded</v>
          </cell>
          <cell r="E78">
            <v>2000</v>
          </cell>
          <cell r="F78">
            <v>1000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</row>
        <row r="79">
          <cell r="A79" t="str">
            <v>FB.58395</v>
          </cell>
          <cell r="B79" t="str">
            <v>PH Tide Olympus</v>
          </cell>
          <cell r="C79" t="str">
            <v>CABUYAO PLANT - TOLL MFG, PH01</v>
          </cell>
          <cell r="D79" t="str">
            <v>Unfunded</v>
          </cell>
          <cell r="E79">
            <v>540</v>
          </cell>
          <cell r="F79">
            <v>270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170</v>
          </cell>
          <cell r="Q79">
            <v>0</v>
          </cell>
          <cell r="R79">
            <v>100</v>
          </cell>
        </row>
        <row r="80">
          <cell r="A80" t="str">
            <v>FB.58397</v>
          </cell>
          <cell r="B80" t="str">
            <v>Shubham Gen2 machine speed up</v>
          </cell>
          <cell r="C80" t="str">
            <v>CABUYAO PLANT - TOLL MFG, PH01</v>
          </cell>
          <cell r="D80" t="str">
            <v>Unfunded</v>
          </cell>
          <cell r="E80">
            <v>144.44399999999999</v>
          </cell>
          <cell r="F80">
            <v>129.99960000000002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29.999700000000001</v>
          </cell>
          <cell r="P80">
            <v>0</v>
          </cell>
          <cell r="Q80">
            <v>99.999900000000011</v>
          </cell>
          <cell r="R80">
            <v>0</v>
          </cell>
        </row>
        <row r="81">
          <cell r="A81" t="str">
            <v>B.06387</v>
          </cell>
          <cell r="B81" t="str">
            <v>CABUYAO FC 1819 01-DL INITIATIVES AE</v>
          </cell>
          <cell r="C81" t="str">
            <v>CABUYAO PLANT - TOLL MFG, PH01</v>
          </cell>
          <cell r="D81" t="str">
            <v>AE Budget Funded</v>
          </cell>
          <cell r="E81">
            <v>15.84</v>
          </cell>
          <cell r="F81">
            <v>15.84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A82" t="str">
            <v>FB.61071</v>
          </cell>
          <cell r="B82" t="str">
            <v>Packing EOL Capacity Ph3-Bags speed up ph3</v>
          </cell>
          <cell r="C82" t="str">
            <v>CABUYAO PLANT - TOLL MFG, PH01</v>
          </cell>
          <cell r="D82" t="str">
            <v>Unfunded</v>
          </cell>
          <cell r="E82">
            <v>233.34</v>
          </cell>
          <cell r="F82">
            <v>175.005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35.002499999999998</v>
          </cell>
          <cell r="M82">
            <v>0</v>
          </cell>
          <cell r="N82">
            <v>0</v>
          </cell>
          <cell r="O82">
            <v>60</v>
          </cell>
          <cell r="P82">
            <v>0</v>
          </cell>
          <cell r="Q82">
            <v>80.002499999999998</v>
          </cell>
          <cell r="R82">
            <v>0</v>
          </cell>
        </row>
        <row r="83">
          <cell r="A83" t="str">
            <v>A.03471</v>
          </cell>
          <cell r="B83" t="str">
            <v>Cabuyao LFE CIP Cluster 7</v>
          </cell>
          <cell r="C83" t="str">
            <v>CABUYAO PLANT - TOLL MFG, PH01</v>
          </cell>
          <cell r="D83" t="str">
            <v>Partial</v>
          </cell>
          <cell r="E83">
            <v>147.13999999999999</v>
          </cell>
          <cell r="F83">
            <v>147.13999999999999</v>
          </cell>
          <cell r="G83">
            <v>30</v>
          </cell>
          <cell r="H83">
            <v>0</v>
          </cell>
          <cell r="I83">
            <v>0</v>
          </cell>
          <cell r="J83">
            <v>39</v>
          </cell>
          <cell r="K83">
            <v>0</v>
          </cell>
          <cell r="L83">
            <v>23</v>
          </cell>
          <cell r="M83">
            <v>30</v>
          </cell>
          <cell r="N83">
            <v>27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</row>
        <row r="84">
          <cell r="A84" t="str">
            <v>A.03390</v>
          </cell>
          <cell r="B84" t="str">
            <v>AUDREY_RIMOWA (PAC PMC in SEA)</v>
          </cell>
          <cell r="C84" t="str">
            <v>CABUYAO PLANT - TOLL MFG, PH01</v>
          </cell>
          <cell r="D84" t="str">
            <v>Preliminary</v>
          </cell>
          <cell r="E84">
            <v>-1.9E-2</v>
          </cell>
          <cell r="F84">
            <v>-1.9E-2</v>
          </cell>
          <cell r="G84">
            <v>0</v>
          </cell>
          <cell r="H84">
            <v>-1.9E-2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A85" t="str">
            <v>FB.35045</v>
          </cell>
          <cell r="B85" t="str">
            <v>CBY XL pouch qualification</v>
          </cell>
          <cell r="C85" t="str">
            <v>CABUYAO PLANT - TOLL MFG, PH01</v>
          </cell>
          <cell r="D85" t="str">
            <v>Unfunded</v>
          </cell>
          <cell r="E85">
            <v>150</v>
          </cell>
          <cell r="F85">
            <v>112.5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112.5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A86" t="str">
            <v>A.03568</v>
          </cell>
          <cell r="B86" t="str">
            <v>Jakarta 4th Arjunior</v>
          </cell>
          <cell r="C86" t="str">
            <v>JAKARTA PLANT TOLL - PGOI, A409</v>
          </cell>
          <cell r="D86" t="str">
            <v>Final</v>
          </cell>
          <cell r="E86">
            <v>179.65700000000001</v>
          </cell>
          <cell r="F86">
            <v>179.65700000000001</v>
          </cell>
          <cell r="G86">
            <v>4.0469999999999997</v>
          </cell>
          <cell r="H86">
            <v>2.0739999999999998</v>
          </cell>
          <cell r="I86">
            <v>12.313000000000001</v>
          </cell>
          <cell r="J86">
            <v>16.042999999999999</v>
          </cell>
          <cell r="K86">
            <v>0</v>
          </cell>
          <cell r="L86">
            <v>18.939</v>
          </cell>
          <cell r="M86">
            <v>16.042999999999999</v>
          </cell>
          <cell r="N86">
            <v>0</v>
          </cell>
          <cell r="O86">
            <v>38.5</v>
          </cell>
          <cell r="P86">
            <v>15.68</v>
          </cell>
          <cell r="Q86">
            <v>0</v>
          </cell>
          <cell r="R86">
            <v>56</v>
          </cell>
        </row>
        <row r="87">
          <cell r="A87" t="str">
            <v>FB.56212</v>
          </cell>
          <cell r="B87" t="str">
            <v>Bvlgari Project</v>
          </cell>
          <cell r="C87" t="str">
            <v>JAKARTA PLANT TOLL - PGOI, A409</v>
          </cell>
          <cell r="D87" t="str">
            <v>Unfunded</v>
          </cell>
          <cell r="E87">
            <v>400</v>
          </cell>
          <cell r="F87">
            <v>360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360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A88" t="str">
            <v>A.03699</v>
          </cell>
          <cell r="B88" t="str">
            <v>JAKARTA CLP SPEED UP</v>
          </cell>
          <cell r="C88" t="str">
            <v>JAKARTA PLANT TOLL - PGOI, A409</v>
          </cell>
          <cell r="D88" t="str">
            <v>Partial</v>
          </cell>
          <cell r="E88">
            <v>307.90300000000002</v>
          </cell>
          <cell r="F88">
            <v>307.90300000000002</v>
          </cell>
          <cell r="G88">
            <v>4.2880000000000003</v>
          </cell>
          <cell r="H88">
            <v>163.78299999999999</v>
          </cell>
          <cell r="I88">
            <v>82.436999999999998</v>
          </cell>
          <cell r="J88">
            <v>16.321000000000002</v>
          </cell>
          <cell r="K88">
            <v>0</v>
          </cell>
          <cell r="L88">
            <v>12.052</v>
          </cell>
          <cell r="M88">
            <v>4.016</v>
          </cell>
          <cell r="N88">
            <v>13.692</v>
          </cell>
          <cell r="O88">
            <v>10.5</v>
          </cell>
          <cell r="P88">
            <v>4.016</v>
          </cell>
          <cell r="Q88">
            <v>0</v>
          </cell>
          <cell r="R88">
            <v>0</v>
          </cell>
        </row>
        <row r="89">
          <cell r="A89" t="str">
            <v>FB.58389</v>
          </cell>
          <cell r="B89" t="str">
            <v>Hercules</v>
          </cell>
          <cell r="C89" t="str">
            <v>TAKASAKI PLANT-TOLL, 4769</v>
          </cell>
          <cell r="D89" t="str">
            <v>AE Budget Unfunded</v>
          </cell>
          <cell r="E89">
            <v>100</v>
          </cell>
          <cell r="F89">
            <v>50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50</v>
          </cell>
        </row>
        <row r="90">
          <cell r="A90" t="str">
            <v>FB.58390</v>
          </cell>
          <cell r="B90" t="str">
            <v>Serendipity</v>
          </cell>
          <cell r="C90" t="str">
            <v>TAKASAKI PLANT-TOLL, 4769</v>
          </cell>
          <cell r="D90" t="str">
            <v>Unfunded</v>
          </cell>
          <cell r="E90">
            <v>300</v>
          </cell>
          <cell r="F90">
            <v>150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150</v>
          </cell>
        </row>
        <row r="91">
          <cell r="A91" t="str">
            <v>FB.58392</v>
          </cell>
          <cell r="B91" t="str">
            <v>Infinity Leverage</v>
          </cell>
          <cell r="C91" t="str">
            <v>TAKASAKI PLANT-TOLL, 4769</v>
          </cell>
          <cell r="D91" t="str">
            <v>AE Budget Unfunded</v>
          </cell>
          <cell r="E91">
            <v>100</v>
          </cell>
          <cell r="F91">
            <v>50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50</v>
          </cell>
        </row>
        <row r="92">
          <cell r="A92" t="str">
            <v>A.02453</v>
          </cell>
          <cell r="B92" t="str">
            <v>ASIA SUD 3RD LINE</v>
          </cell>
          <cell r="C92" t="str">
            <v>TAKASAKI PLANT-TOLL, 4769</v>
          </cell>
          <cell r="D92" t="str">
            <v>Partial</v>
          </cell>
          <cell r="E92">
            <v>3448.7629999999999</v>
          </cell>
          <cell r="F92">
            <v>3448.7629999999999</v>
          </cell>
          <cell r="G92">
            <v>293.69400000000002</v>
          </cell>
          <cell r="H92">
            <v>825.05499999999995</v>
          </cell>
          <cell r="I92">
            <v>1306.6489999999999</v>
          </cell>
          <cell r="J92">
            <v>186.15700000000001</v>
          </cell>
          <cell r="K92">
            <v>212.09399999999999</v>
          </cell>
          <cell r="L92">
            <v>147.13499999999999</v>
          </cell>
          <cell r="M92">
            <v>240.78800000000001</v>
          </cell>
          <cell r="N92">
            <v>111.384</v>
          </cell>
          <cell r="O92">
            <v>111.384</v>
          </cell>
          <cell r="P92">
            <v>0</v>
          </cell>
          <cell r="Q92">
            <v>0</v>
          </cell>
          <cell r="R92">
            <v>0</v>
          </cell>
        </row>
        <row r="93">
          <cell r="A93" t="str">
            <v>A.03318</v>
          </cell>
          <cell r="B93" t="str">
            <v>Phoenix - TAK HDL Expansion Project Ph-1</v>
          </cell>
          <cell r="C93" t="str">
            <v>TAKASAKI PLANT-TOLL, 4769</v>
          </cell>
          <cell r="D93" t="str">
            <v>Partial</v>
          </cell>
          <cell r="E93">
            <v>2233.8989999999999</v>
          </cell>
          <cell r="F93">
            <v>2051.5832</v>
          </cell>
          <cell r="G93">
            <v>221.76</v>
          </cell>
          <cell r="H93">
            <v>142.77689999999998</v>
          </cell>
          <cell r="I93">
            <v>187.47989999999999</v>
          </cell>
          <cell r="J93">
            <v>42.676200000000001</v>
          </cell>
          <cell r="K93">
            <v>600.79770000000008</v>
          </cell>
          <cell r="L93">
            <v>163.94580000000002</v>
          </cell>
          <cell r="M93">
            <v>364.38479999999998</v>
          </cell>
          <cell r="N93">
            <v>185.25239999999999</v>
          </cell>
          <cell r="O93">
            <v>96.305400000000006</v>
          </cell>
          <cell r="P93">
            <v>0</v>
          </cell>
          <cell r="Q93">
            <v>0</v>
          </cell>
          <cell r="R93">
            <v>0</v>
          </cell>
        </row>
        <row r="94">
          <cell r="A94" t="str">
            <v>FB.50709</v>
          </cell>
          <cell r="B94" t="str">
            <v>IT Related Scope</v>
          </cell>
          <cell r="C94" t="str">
            <v>TAKASAKI PLANT-TOLL, 4769</v>
          </cell>
          <cell r="D94" t="str">
            <v>AE Budget Unfunded</v>
          </cell>
          <cell r="E94">
            <v>206.267</v>
          </cell>
          <cell r="F94">
            <v>185.64030000000002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185.64030000000002</v>
          </cell>
        </row>
        <row r="95">
          <cell r="A95" t="str">
            <v>B.07183</v>
          </cell>
          <cell r="B95" t="str">
            <v>FY2021 TAKASAKI 03-NON SAVINGS AE</v>
          </cell>
          <cell r="C95" t="str">
            <v>TAKASAKI PLANT-TOLL, 4769</v>
          </cell>
          <cell r="D95" t="str">
            <v>AE Budget Funded</v>
          </cell>
          <cell r="E95">
            <v>1397.5909999999999</v>
          </cell>
          <cell r="F95">
            <v>1259.8591000000001</v>
          </cell>
          <cell r="G95">
            <v>0</v>
          </cell>
          <cell r="H95">
            <v>19.6218</v>
          </cell>
          <cell r="I95">
            <v>3.7124999999999999</v>
          </cell>
          <cell r="J95">
            <v>0</v>
          </cell>
          <cell r="K95">
            <v>5.5691999999999995</v>
          </cell>
          <cell r="L95">
            <v>124.37910000000001</v>
          </cell>
          <cell r="M95">
            <v>506.66760000000005</v>
          </cell>
          <cell r="N95">
            <v>13.923</v>
          </cell>
          <cell r="O95">
            <v>0</v>
          </cell>
          <cell r="P95">
            <v>0</v>
          </cell>
          <cell r="Q95">
            <v>68.687100000000001</v>
          </cell>
          <cell r="R95">
            <v>516.64859999999999</v>
          </cell>
        </row>
        <row r="96">
          <cell r="A96" t="str">
            <v>A.03836</v>
          </cell>
          <cell r="B96" t="str">
            <v>Takasaki ESP#1 Renewal Project</v>
          </cell>
          <cell r="C96" t="str">
            <v>TAKASAKI PLANT-TOLL, 4769</v>
          </cell>
          <cell r="D96" t="str">
            <v>Partial</v>
          </cell>
          <cell r="E96">
            <v>897.26</v>
          </cell>
          <cell r="F96">
            <v>807.53399999999999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391.72500000000002</v>
          </cell>
          <cell r="P96">
            <v>0</v>
          </cell>
          <cell r="Q96">
            <v>415.80900000000003</v>
          </cell>
          <cell r="R96">
            <v>0</v>
          </cell>
        </row>
        <row r="97">
          <cell r="A97" t="str">
            <v>FB.64663</v>
          </cell>
          <cell r="B97" t="str">
            <v>MRA Follow-up</v>
          </cell>
          <cell r="C97" t="str">
            <v>TAKASAKI PLANT-TOLL, 4769</v>
          </cell>
          <cell r="D97" t="str">
            <v>Unfunded</v>
          </cell>
          <cell r="E97">
            <v>1200</v>
          </cell>
          <cell r="F97">
            <v>1080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1080</v>
          </cell>
        </row>
        <row r="98">
          <cell r="A98" t="str">
            <v>A.03579</v>
          </cell>
          <cell r="B98" t="str">
            <v>JP Mass Premium</v>
          </cell>
          <cell r="C98" t="str">
            <v>BINH DUONG-PLT-MS-PG INDOCHINA, 9797</v>
          </cell>
          <cell r="D98" t="str">
            <v>Partial</v>
          </cell>
          <cell r="E98">
            <v>19.757000000000001</v>
          </cell>
          <cell r="F98">
            <v>19.757000000000001</v>
          </cell>
          <cell r="G98">
            <v>-2E-3</v>
          </cell>
          <cell r="H98">
            <v>2E-3</v>
          </cell>
          <cell r="I98">
            <v>8.0229999999999997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A99" t="str">
            <v>A.03736</v>
          </cell>
          <cell r="B99" t="str">
            <v>FE SND Colossus</v>
          </cell>
          <cell r="C99" t="str">
            <v>BINH DUONG-PLT-MS-PG INDOCHINA, 9797</v>
          </cell>
          <cell r="D99" t="str">
            <v>Preliminary</v>
          </cell>
          <cell r="E99">
            <v>2000</v>
          </cell>
          <cell r="F99">
            <v>1000</v>
          </cell>
          <cell r="G99">
            <v>0</v>
          </cell>
          <cell r="H99">
            <v>0</v>
          </cell>
          <cell r="I99">
            <v>25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975</v>
          </cell>
          <cell r="P99">
            <v>0</v>
          </cell>
          <cell r="Q99">
            <v>0</v>
          </cell>
          <cell r="R99">
            <v>0</v>
          </cell>
        </row>
        <row r="100">
          <cell r="A100" t="str">
            <v>B.06838</v>
          </cell>
          <cell r="B100" t="str">
            <v>BINH DUONG 1920 01-INITIATIVES AE</v>
          </cell>
          <cell r="C100" t="str">
            <v>BINH DUONG-PLT-MS-PG INDOCHINA, 9797</v>
          </cell>
          <cell r="D100" t="str">
            <v>AE Budget Funded</v>
          </cell>
          <cell r="E100">
            <v>695.24099999999999</v>
          </cell>
          <cell r="F100">
            <v>695.24099999999999</v>
          </cell>
          <cell r="G100">
            <v>98.468999999999994</v>
          </cell>
          <cell r="H100">
            <v>90.474999999999994</v>
          </cell>
          <cell r="I100">
            <v>152.44499999999999</v>
          </cell>
          <cell r="J100">
            <v>0</v>
          </cell>
          <cell r="K100">
            <v>0</v>
          </cell>
          <cell r="L100">
            <v>140.41</v>
          </cell>
          <cell r="M100">
            <v>140.41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A101" t="str">
            <v>A.03476</v>
          </cell>
          <cell r="B101" t="str">
            <v>Binh Duong LFE KR Escobar 8.5L bottle</v>
          </cell>
          <cell r="C101" t="str">
            <v>BINH DUONG-PLT-MS-PG INDOCHINA, 9797</v>
          </cell>
          <cell r="D101" t="str">
            <v>Partial</v>
          </cell>
          <cell r="E101">
            <v>30.026</v>
          </cell>
          <cell r="F101">
            <v>30.026</v>
          </cell>
          <cell r="G101">
            <v>1.7000000000000001E-2</v>
          </cell>
          <cell r="H101">
            <v>-1.7000000000000001E-2</v>
          </cell>
          <cell r="I101">
            <v>0</v>
          </cell>
          <cell r="J101">
            <v>0</v>
          </cell>
          <cell r="K101">
            <v>6.0179999999999998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A102" t="str">
            <v>FB.57236</v>
          </cell>
          <cell r="B102" t="str">
            <v>Royce Summer/Marshmellow 2.0</v>
          </cell>
          <cell r="C102" t="str">
            <v>BINH DUONG-PLT-MS-PG INDOCHINA, 9797</v>
          </cell>
          <cell r="D102" t="str">
            <v>Unfunded</v>
          </cell>
          <cell r="E102">
            <v>800</v>
          </cell>
          <cell r="F102">
            <v>600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600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A103" t="str">
            <v>B.06830</v>
          </cell>
          <cell r="B103" t="str">
            <v>CABUYAO LFE 1920 01-INITIATIVES AE</v>
          </cell>
          <cell r="C103" t="str">
            <v>CABUYAO PLANT - TOLL MFG, PH01</v>
          </cell>
          <cell r="D103" t="str">
            <v>AE Budget Funded</v>
          </cell>
          <cell r="E103">
            <v>24.966999999999999</v>
          </cell>
          <cell r="F103">
            <v>24.966999999999999</v>
          </cell>
          <cell r="G103">
            <v>0</v>
          </cell>
          <cell r="H103">
            <v>9</v>
          </cell>
          <cell r="I103">
            <v>0</v>
          </cell>
          <cell r="J103">
            <v>0</v>
          </cell>
          <cell r="K103">
            <v>8</v>
          </cell>
          <cell r="L103">
            <v>0</v>
          </cell>
          <cell r="M103">
            <v>15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</row>
        <row r="104">
          <cell r="A104" t="str">
            <v>A.03541</v>
          </cell>
          <cell r="B104" t="str">
            <v>AA AUDREY Wave 2 -INITIATIVES -CABUYAO</v>
          </cell>
          <cell r="C104" t="str">
            <v>CABUYAO PLANT - TOLL MFG, PH01</v>
          </cell>
          <cell r="D104" t="str">
            <v>Partial</v>
          </cell>
          <cell r="E104">
            <v>451.83300000000003</v>
          </cell>
          <cell r="F104">
            <v>451.83300000000003</v>
          </cell>
          <cell r="G104">
            <v>55.555</v>
          </cell>
          <cell r="H104">
            <v>44.4</v>
          </cell>
          <cell r="I104">
            <v>40</v>
          </cell>
          <cell r="J104">
            <v>104</v>
          </cell>
          <cell r="K104">
            <v>0</v>
          </cell>
          <cell r="L104">
            <v>112</v>
          </cell>
          <cell r="M104">
            <v>30</v>
          </cell>
          <cell r="N104">
            <v>40</v>
          </cell>
          <cell r="O104">
            <v>41</v>
          </cell>
          <cell r="P104">
            <v>0</v>
          </cell>
          <cell r="Q104">
            <v>0</v>
          </cell>
          <cell r="R104">
            <v>0</v>
          </cell>
        </row>
        <row r="105">
          <cell r="A105" t="str">
            <v>B.07210</v>
          </cell>
          <cell r="B105" t="str">
            <v>FY2021 CABUYAO LFE 01-INITIATIVES</v>
          </cell>
          <cell r="C105" t="str">
            <v>CABUYAO PLANT - TOLL MFG, PH01</v>
          </cell>
          <cell r="D105" t="str">
            <v>AE Budget Funded</v>
          </cell>
          <cell r="E105">
            <v>400</v>
          </cell>
          <cell r="F105">
            <v>400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120</v>
          </cell>
          <cell r="M105">
            <v>50</v>
          </cell>
          <cell r="N105">
            <v>130</v>
          </cell>
          <cell r="O105">
            <v>0</v>
          </cell>
          <cell r="P105">
            <v>100</v>
          </cell>
          <cell r="Q105">
            <v>0</v>
          </cell>
          <cell r="R105">
            <v>0</v>
          </cell>
        </row>
        <row r="106">
          <cell r="A106" t="str">
            <v>B.06056</v>
          </cell>
          <cell r="B106" t="str">
            <v>CABUYAO LFE 1718 01-INITIATIVES AE</v>
          </cell>
          <cell r="C106" t="str">
            <v>CABUYAO PLANT - TOLL MFG, PH01</v>
          </cell>
          <cell r="D106" t="str">
            <v>AE Budget Funded</v>
          </cell>
          <cell r="E106">
            <v>1203.99</v>
          </cell>
          <cell r="F106">
            <v>1203.99</v>
          </cell>
          <cell r="G106">
            <v>0</v>
          </cell>
          <cell r="H106">
            <v>1203.99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</row>
        <row r="107">
          <cell r="A107" t="str">
            <v>FB.51080</v>
          </cell>
          <cell r="B107" t="str">
            <v>Royce Summer/Marshmellow 2.0</v>
          </cell>
          <cell r="C107" t="str">
            <v>CABUYAO PLANT - TOLL MFG, PH01</v>
          </cell>
          <cell r="D107" t="str">
            <v>Unfunded</v>
          </cell>
          <cell r="E107">
            <v>799</v>
          </cell>
          <cell r="F107">
            <v>599.25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120</v>
          </cell>
          <cell r="N107">
            <v>279.75</v>
          </cell>
          <cell r="O107">
            <v>99.75</v>
          </cell>
          <cell r="P107">
            <v>99.75</v>
          </cell>
          <cell r="Q107">
            <v>0</v>
          </cell>
          <cell r="R107">
            <v>0</v>
          </cell>
        </row>
        <row r="108">
          <cell r="A108" t="str">
            <v>FB.51086</v>
          </cell>
          <cell r="B108" t="str">
            <v>JKT Pluto 2.0</v>
          </cell>
          <cell r="C108" t="str">
            <v>JAKARTA PLANT TOLL - PGOI, A409</v>
          </cell>
          <cell r="D108" t="str">
            <v>Unfunded</v>
          </cell>
          <cell r="E108">
            <v>400</v>
          </cell>
          <cell r="F108">
            <v>300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300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</row>
        <row r="109">
          <cell r="A109" t="str">
            <v>FB.51087</v>
          </cell>
          <cell r="B109" t="str">
            <v>Royce Summer/Marshmellow 2.0</v>
          </cell>
          <cell r="C109" t="str">
            <v>JAKARTA PLANT TOLL - PGOI, A409</v>
          </cell>
          <cell r="D109" t="str">
            <v>Unfunded</v>
          </cell>
          <cell r="E109">
            <v>800</v>
          </cell>
          <cell r="F109">
            <v>600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600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</row>
        <row r="110">
          <cell r="A110" t="str">
            <v>B.07177</v>
          </cell>
          <cell r="B110" t="str">
            <v>FY2021 JAKARTA 03-NON SAVINGS AE</v>
          </cell>
          <cell r="C110" t="str">
            <v>JAKARTA PLANT TOLL - PGOI, A409</v>
          </cell>
          <cell r="D110" t="str">
            <v>AE Budget Funded</v>
          </cell>
          <cell r="E110">
            <v>375.601</v>
          </cell>
          <cell r="F110">
            <v>375.601</v>
          </cell>
          <cell r="G110">
            <v>0</v>
          </cell>
          <cell r="H110">
            <v>0</v>
          </cell>
          <cell r="I110">
            <v>0</v>
          </cell>
          <cell r="J110">
            <v>30</v>
          </cell>
          <cell r="K110">
            <v>90</v>
          </cell>
          <cell r="L110">
            <v>2</v>
          </cell>
          <cell r="M110">
            <v>76</v>
          </cell>
          <cell r="N110">
            <v>50</v>
          </cell>
          <cell r="O110">
            <v>50</v>
          </cell>
          <cell r="P110">
            <v>0</v>
          </cell>
          <cell r="Q110">
            <v>50</v>
          </cell>
          <cell r="R110">
            <v>0</v>
          </cell>
        </row>
        <row r="111">
          <cell r="A111" t="str">
            <v>B.06805</v>
          </cell>
          <cell r="B111" t="str">
            <v>JAKARTA 1920 03-NON SAVINGS AE</v>
          </cell>
          <cell r="C111" t="str">
            <v>JAKARTA PLANT TOLL - PGOI, A409</v>
          </cell>
          <cell r="D111" t="str">
            <v>AE Budget Funded</v>
          </cell>
          <cell r="E111">
            <v>16.940000000000001</v>
          </cell>
          <cell r="F111">
            <v>16.940000000000001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</row>
        <row r="112">
          <cell r="A112" t="str">
            <v>B.07179</v>
          </cell>
          <cell r="B112" t="str">
            <v>FY2021 JAKARTA 04-SAVINGS AE</v>
          </cell>
          <cell r="C112" t="str">
            <v>JAKARTA PLANT TOLL - PGOI, A409</v>
          </cell>
          <cell r="D112" t="str">
            <v>AE Budget Funded</v>
          </cell>
          <cell r="E112">
            <v>229.46799999999999</v>
          </cell>
          <cell r="F112">
            <v>229.46799999999999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50</v>
          </cell>
          <cell r="M112">
            <v>100</v>
          </cell>
          <cell r="N112">
            <v>57</v>
          </cell>
          <cell r="O112">
            <v>0</v>
          </cell>
          <cell r="P112">
            <v>22</v>
          </cell>
          <cell r="Q112">
            <v>0</v>
          </cell>
          <cell r="R112">
            <v>0</v>
          </cell>
        </row>
        <row r="113">
          <cell r="A113" t="str">
            <v>FB.25015</v>
          </cell>
          <cell r="B113" t="str">
            <v>JKT FE NSS placeholder</v>
          </cell>
          <cell r="C113" t="str">
            <v>JAKARTA PLANT TOLL - PGOI, A409</v>
          </cell>
          <cell r="D113" t="str">
            <v>AE Budget Unfunded</v>
          </cell>
          <cell r="E113">
            <v>400</v>
          </cell>
          <cell r="F113">
            <v>200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200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A114" t="str">
            <v>FB.38261</v>
          </cell>
          <cell r="B114" t="str">
            <v>JKT BF20 replacment</v>
          </cell>
          <cell r="C114" t="str">
            <v>JAKARTA PLANT TOLL - PGOI, A409</v>
          </cell>
          <cell r="D114" t="str">
            <v>AE Budget Unfunded</v>
          </cell>
          <cell r="E114">
            <v>100</v>
          </cell>
          <cell r="F114">
            <v>90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90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A115" t="str">
            <v>FB.65397</v>
          </cell>
          <cell r="B115" t="str">
            <v>Jokin</v>
          </cell>
          <cell r="C115" t="str">
            <v>TAKASAKI PLANT-TOLL, 4769</v>
          </cell>
          <cell r="D115" t="str">
            <v>Unfunded</v>
          </cell>
          <cell r="E115">
            <v>2222.223</v>
          </cell>
          <cell r="F115">
            <v>2000.0007000000001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200.00070000000002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1800</v>
          </cell>
        </row>
        <row r="116">
          <cell r="A116" t="str">
            <v>A.03710</v>
          </cell>
          <cell r="B116" t="str">
            <v>TAK HDL Miracle Project</v>
          </cell>
          <cell r="C116" t="str">
            <v>TAKASAKI PLANT-TOLL, 4769</v>
          </cell>
          <cell r="D116" t="str">
            <v>Partial</v>
          </cell>
          <cell r="E116">
            <v>2517.8620000000001</v>
          </cell>
          <cell r="F116">
            <v>2268.5884999999998</v>
          </cell>
          <cell r="G116">
            <v>9.2618999999999989</v>
          </cell>
          <cell r="H116">
            <v>12.8727</v>
          </cell>
          <cell r="I116">
            <v>539.20799999999997</v>
          </cell>
          <cell r="J116">
            <v>8.0586000000000002</v>
          </cell>
          <cell r="K116">
            <v>75.41640000000001</v>
          </cell>
          <cell r="L116">
            <v>371.51100000000002</v>
          </cell>
          <cell r="M116">
            <v>361.3014</v>
          </cell>
          <cell r="N116">
            <v>64.278000000000006</v>
          </cell>
          <cell r="O116">
            <v>785.28599999999994</v>
          </cell>
          <cell r="P116">
            <v>0</v>
          </cell>
          <cell r="Q116">
            <v>0</v>
          </cell>
          <cell r="R116">
            <v>38.402099999999997</v>
          </cell>
        </row>
        <row r="117">
          <cell r="A117" t="str">
            <v>FB.58371</v>
          </cell>
          <cell r="B117" t="str">
            <v>Airel - Infinity 2.0</v>
          </cell>
          <cell r="C117" t="str">
            <v>TAKASAKI PLANT-TOLL, 4769</v>
          </cell>
          <cell r="D117" t="str">
            <v>Unfunded</v>
          </cell>
          <cell r="E117">
            <v>1000</v>
          </cell>
          <cell r="F117">
            <v>500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500</v>
          </cell>
        </row>
        <row r="118">
          <cell r="A118" t="str">
            <v>A.03366</v>
          </cell>
          <cell r="B118" t="str">
            <v>Takasaki AKARI with SSL Project</v>
          </cell>
          <cell r="C118" t="str">
            <v>TAKASAKI PLANT-TOLL, 4769</v>
          </cell>
          <cell r="D118" t="str">
            <v>Partial</v>
          </cell>
          <cell r="E118">
            <v>23.99</v>
          </cell>
          <cell r="F118">
            <v>23.99</v>
          </cell>
          <cell r="G118">
            <v>24.134</v>
          </cell>
          <cell r="H118">
            <v>-0.14399999999999999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</row>
        <row r="119">
          <cell r="A119" t="str">
            <v>B.06814</v>
          </cell>
          <cell r="B119" t="str">
            <v>TAKASAKI SHARED 1920 03-NON SAVINGS AE</v>
          </cell>
          <cell r="C119" t="str">
            <v>TAKASAKI PLANT-TOLL, 4769</v>
          </cell>
          <cell r="D119" t="str">
            <v>AE Budget Funded</v>
          </cell>
          <cell r="E119">
            <v>227.351</v>
          </cell>
          <cell r="F119">
            <v>227.351</v>
          </cell>
          <cell r="G119">
            <v>16.297999999999998</v>
          </cell>
          <cell r="H119">
            <v>6.5789999999999997</v>
          </cell>
          <cell r="I119">
            <v>0</v>
          </cell>
          <cell r="J119">
            <v>0</v>
          </cell>
          <cell r="K119">
            <v>0</v>
          </cell>
          <cell r="L119">
            <v>105.502</v>
          </cell>
          <cell r="M119">
            <v>98.816000000000003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A120" t="str">
            <v>A.03866</v>
          </cell>
          <cell r="B120" t="str">
            <v>Takasaki FG Inspection Warehouse</v>
          </cell>
          <cell r="C120" t="str">
            <v>TAKASAKI PLANT-TOLL, 4769</v>
          </cell>
          <cell r="D120" t="str">
            <v>Preliminary</v>
          </cell>
          <cell r="E120">
            <v>1547</v>
          </cell>
          <cell r="F120">
            <v>1392.3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1392.3</v>
          </cell>
        </row>
        <row r="121">
          <cell r="A121" t="str">
            <v>B.06813</v>
          </cell>
          <cell r="B121" t="str">
            <v>TAKASAKI 1920 03-NON SAVINGS AE</v>
          </cell>
          <cell r="C121" t="str">
            <v>TAKASAKI PLANT-TOLL, 4769</v>
          </cell>
          <cell r="D121" t="str">
            <v>AE Budget Funded</v>
          </cell>
          <cell r="E121">
            <v>339.15199999999999</v>
          </cell>
          <cell r="F121">
            <v>339.15199999999999</v>
          </cell>
          <cell r="G121">
            <v>13.664</v>
          </cell>
          <cell r="H121">
            <v>48.460999999999999</v>
          </cell>
          <cell r="I121">
            <v>62.103999999999999</v>
          </cell>
          <cell r="J121">
            <v>33.137</v>
          </cell>
          <cell r="K121">
            <v>47.588999999999999</v>
          </cell>
          <cell r="L121">
            <v>16.683</v>
          </cell>
          <cell r="M121">
            <v>85.108000000000004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30.916</v>
          </cell>
        </row>
        <row r="122">
          <cell r="A122" t="str">
            <v>FB.30526</v>
          </cell>
          <cell r="B122" t="str">
            <v>Saving allowance</v>
          </cell>
          <cell r="C122" t="str">
            <v>TAKASAKI PLANT-TOLL, 4769</v>
          </cell>
          <cell r="D122" t="str">
            <v>AE Budget Unfunded</v>
          </cell>
          <cell r="E122">
            <v>1600</v>
          </cell>
          <cell r="F122">
            <v>800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800</v>
          </cell>
        </row>
        <row r="123">
          <cell r="A123" t="str">
            <v>A.02744</v>
          </cell>
          <cell r="B123" t="str">
            <v>Asia SUD Poseidon</v>
          </cell>
          <cell r="C123" t="str">
            <v>TAKASAKI PLANT-TOLL, 4769</v>
          </cell>
          <cell r="D123" t="str">
            <v>Partial</v>
          </cell>
          <cell r="E123">
            <v>30.725000000000001</v>
          </cell>
          <cell r="F123">
            <v>30.725000000000001</v>
          </cell>
          <cell r="G123">
            <v>30.722999999999999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A124" t="str">
            <v>FB.60684</v>
          </cell>
          <cell r="B124" t="str">
            <v>KR-Reapply JP MP formula/bottle</v>
          </cell>
          <cell r="C124" t="str">
            <v>BINH DUONG-PLT-MS-PG INDOCHINA, 9797</v>
          </cell>
          <cell r="D124" t="str">
            <v>Unfunded</v>
          </cell>
          <cell r="E124">
            <v>600</v>
          </cell>
          <cell r="F124">
            <v>300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300</v>
          </cell>
        </row>
        <row r="125">
          <cell r="A125" t="str">
            <v>A.03486</v>
          </cell>
          <cell r="B125" t="str">
            <v>BD M570 XXL Pouch</v>
          </cell>
          <cell r="C125" t="str">
            <v>BINH DUONG-PLT-MS-PG INDOCHINA, 9797</v>
          </cell>
          <cell r="D125" t="str">
            <v>Partial</v>
          </cell>
          <cell r="E125">
            <v>-2E-3</v>
          </cell>
          <cell r="F125">
            <v>-2E-3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</row>
        <row r="126">
          <cell r="A126" t="str">
            <v>FB.60685</v>
          </cell>
          <cell r="B126" t="str">
            <v>BD Pluto 2.0</v>
          </cell>
          <cell r="C126" t="str">
            <v>BINH DUONG-PLT-MS-PG INDOCHINA, 9797</v>
          </cell>
          <cell r="D126" t="str">
            <v>AE Budget Unfunded</v>
          </cell>
          <cell r="E126">
            <v>400</v>
          </cell>
          <cell r="F126">
            <v>200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200</v>
          </cell>
        </row>
        <row r="127">
          <cell r="A127" t="str">
            <v>A.03703</v>
          </cell>
          <cell r="B127" t="str">
            <v>Binh Duong LFE XL-XXL Pouch CIP</v>
          </cell>
          <cell r="C127" t="str">
            <v>BINH DUONG-PLT-MS-PG INDOCHINA, 9797</v>
          </cell>
          <cell r="D127" t="str">
            <v>Partial</v>
          </cell>
          <cell r="E127">
            <v>1702.17</v>
          </cell>
          <cell r="F127">
            <v>1702.17</v>
          </cell>
          <cell r="G127">
            <v>89.494</v>
          </cell>
          <cell r="H127">
            <v>555.75900000000001</v>
          </cell>
          <cell r="I127">
            <v>200.58600000000001</v>
          </cell>
          <cell r="J127">
            <v>376.09800000000001</v>
          </cell>
          <cell r="K127">
            <v>302.89800000000002</v>
          </cell>
          <cell r="L127">
            <v>39.113999999999997</v>
          </cell>
          <cell r="M127">
            <v>58.17</v>
          </cell>
          <cell r="N127">
            <v>31.091000000000001</v>
          </cell>
          <cell r="O127">
            <v>0</v>
          </cell>
          <cell r="P127">
            <v>0</v>
          </cell>
          <cell r="Q127">
            <v>399.88099999999997</v>
          </cell>
          <cell r="R127">
            <v>0</v>
          </cell>
        </row>
        <row r="128">
          <cell r="A128" t="str">
            <v>FB.57244</v>
          </cell>
          <cell r="B128" t="str">
            <v>JP - Martini 2.0</v>
          </cell>
          <cell r="C128" t="str">
            <v>BINH DUONG-PLT-MS-PG INDOCHINA, 9797</v>
          </cell>
          <cell r="D128" t="str">
            <v>Unfunded</v>
          </cell>
          <cell r="E128">
            <v>600</v>
          </cell>
          <cell r="F128">
            <v>300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300</v>
          </cell>
          <cell r="R128">
            <v>0</v>
          </cell>
        </row>
        <row r="129">
          <cell r="A129" t="str">
            <v>FB.57247</v>
          </cell>
          <cell r="B129" t="str">
            <v>JP - Sakura 4.0 (Mass premium)</v>
          </cell>
          <cell r="C129" t="str">
            <v>BINH DUONG-PLT-MS-PG INDOCHINA, 9797</v>
          </cell>
          <cell r="D129" t="str">
            <v>Unfunded</v>
          </cell>
          <cell r="E129">
            <v>500</v>
          </cell>
          <cell r="F129">
            <v>375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375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A130" t="str">
            <v>A.03761</v>
          </cell>
          <cell r="B130" t="str">
            <v>FE MAKING CAPACITY INCREASE</v>
          </cell>
          <cell r="C130" t="str">
            <v>CABUYAO PLANT - TOLL MFG, PH01</v>
          </cell>
          <cell r="D130" t="str">
            <v>Partial</v>
          </cell>
          <cell r="E130">
            <v>685</v>
          </cell>
          <cell r="F130">
            <v>685</v>
          </cell>
          <cell r="G130">
            <v>22.835999999999999</v>
          </cell>
          <cell r="H130">
            <v>23</v>
          </cell>
          <cell r="I130">
            <v>20</v>
          </cell>
          <cell r="J130">
            <v>188</v>
          </cell>
          <cell r="K130">
            <v>57</v>
          </cell>
          <cell r="L130">
            <v>80</v>
          </cell>
          <cell r="M130">
            <v>75</v>
          </cell>
          <cell r="N130">
            <v>90</v>
          </cell>
          <cell r="O130">
            <v>25</v>
          </cell>
          <cell r="P130">
            <v>0</v>
          </cell>
          <cell r="Q130">
            <v>150</v>
          </cell>
          <cell r="R130">
            <v>0</v>
          </cell>
        </row>
        <row r="131">
          <cell r="A131" t="str">
            <v>A.03813</v>
          </cell>
          <cell r="B131" t="str">
            <v>CBY FE Pouch Capacity Increase Project</v>
          </cell>
          <cell r="C131" t="str">
            <v>CABUYAO PLANT - TOLL MFG, PH01</v>
          </cell>
          <cell r="D131" t="str">
            <v>Preliminary</v>
          </cell>
          <cell r="E131">
            <v>1858.63</v>
          </cell>
          <cell r="F131">
            <v>1858.63</v>
          </cell>
          <cell r="G131">
            <v>0</v>
          </cell>
          <cell r="H131">
            <v>0</v>
          </cell>
          <cell r="I131">
            <v>0</v>
          </cell>
          <cell r="J131">
            <v>190</v>
          </cell>
          <cell r="K131">
            <v>284</v>
          </cell>
          <cell r="L131">
            <v>0</v>
          </cell>
          <cell r="M131">
            <v>280</v>
          </cell>
          <cell r="N131">
            <v>300</v>
          </cell>
          <cell r="O131">
            <v>350</v>
          </cell>
          <cell r="P131">
            <v>250</v>
          </cell>
          <cell r="Q131">
            <v>179</v>
          </cell>
          <cell r="R131">
            <v>0</v>
          </cell>
        </row>
        <row r="132">
          <cell r="A132" t="str">
            <v>B.06383</v>
          </cell>
          <cell r="B132" t="str">
            <v>CABUYAO FC 1819 03-NON SAVINGS AE</v>
          </cell>
          <cell r="C132" t="str">
            <v>CABUYAO PLANT - TOLL MFG, PH01</v>
          </cell>
          <cell r="D132" t="str">
            <v>AE Budget Funded</v>
          </cell>
          <cell r="E132">
            <v>24.829000000000001</v>
          </cell>
          <cell r="F132">
            <v>24.829000000000001</v>
          </cell>
          <cell r="G132">
            <v>0</v>
          </cell>
          <cell r="H132">
            <v>0</v>
          </cell>
          <cell r="I132">
            <v>4.1840000000000002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A133" t="str">
            <v>B.06827</v>
          </cell>
          <cell r="B133" t="str">
            <v>CABUYAO FABRIC 1920 03-NON SAVINGS AE</v>
          </cell>
          <cell r="C133" t="str">
            <v>CABUYAO PLANT - TOLL MFG, PH01</v>
          </cell>
          <cell r="D133" t="str">
            <v>AE Budget Funded</v>
          </cell>
          <cell r="E133">
            <v>548.33900000000006</v>
          </cell>
          <cell r="F133">
            <v>548.33900000000006</v>
          </cell>
          <cell r="G133">
            <v>23.981000000000002</v>
          </cell>
          <cell r="H133">
            <v>37.368000000000002</v>
          </cell>
          <cell r="I133">
            <v>25.343</v>
          </cell>
          <cell r="J133">
            <v>40.646999999999998</v>
          </cell>
          <cell r="K133">
            <v>112.06</v>
          </cell>
          <cell r="L133">
            <v>133.20599999999999</v>
          </cell>
          <cell r="M133">
            <v>20</v>
          </cell>
          <cell r="N133">
            <v>45</v>
          </cell>
          <cell r="O133">
            <v>57</v>
          </cell>
          <cell r="P133">
            <v>35</v>
          </cell>
          <cell r="Q133">
            <v>4</v>
          </cell>
          <cell r="R133">
            <v>0</v>
          </cell>
        </row>
        <row r="134">
          <cell r="A134" t="str">
            <v>B.06807</v>
          </cell>
          <cell r="B134" t="str">
            <v>JAKARTA 1920 04-SAVINGS AE</v>
          </cell>
          <cell r="C134" t="str">
            <v>JAKARTA PLANT TOLL - PGOI, A409</v>
          </cell>
          <cell r="D134" t="str">
            <v>AE Budget Funded</v>
          </cell>
          <cell r="E134">
            <v>-0.51300000000000001</v>
          </cell>
          <cell r="F134">
            <v>-0.51300000000000001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A135" t="str">
            <v>B.06850</v>
          </cell>
          <cell r="B135" t="str">
            <v>FY 19/20 FC R&amp;D AE BUDGET KIC</v>
          </cell>
          <cell r="C135" t="str">
            <v>KOBE OFFICE - PGIGK, 4489</v>
          </cell>
          <cell r="D135" t="str">
            <v>AE Budget Funded</v>
          </cell>
          <cell r="E135">
            <v>-8.532</v>
          </cell>
          <cell r="F135">
            <v>-8.532</v>
          </cell>
          <cell r="G135">
            <v>0</v>
          </cell>
          <cell r="H135">
            <v>0</v>
          </cell>
          <cell r="I135">
            <v>1.909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A136" t="str">
            <v>B.07059</v>
          </cell>
          <cell r="B136" t="str">
            <v>FY2021 FC R&amp;D AE BUDGET KIC</v>
          </cell>
          <cell r="C136" t="str">
            <v>KOBE OFFICE - PGIGK, 4489</v>
          </cell>
          <cell r="D136" t="str">
            <v>AE Budget Funded</v>
          </cell>
          <cell r="E136">
            <v>37.128</v>
          </cell>
          <cell r="F136">
            <v>33.415199999999999</v>
          </cell>
          <cell r="G136">
            <v>0</v>
          </cell>
          <cell r="H136">
            <v>0</v>
          </cell>
          <cell r="I136">
            <v>0</v>
          </cell>
          <cell r="J136">
            <v>19.559699999999999</v>
          </cell>
          <cell r="K136">
            <v>0</v>
          </cell>
          <cell r="L136">
            <v>0</v>
          </cell>
          <cell r="M136">
            <v>13.855499999999999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A137" t="str">
            <v>B.07217</v>
          </cell>
          <cell r="B137" t="str">
            <v>FY2021 TAKASAKI HDL 01-INITIATIVES AE</v>
          </cell>
          <cell r="C137" t="str">
            <v>TAKASAKI PLANT-TOLL, 4769</v>
          </cell>
          <cell r="D137" t="str">
            <v>AE Budget Funded</v>
          </cell>
          <cell r="E137">
            <v>111.11199999999999</v>
          </cell>
          <cell r="F137">
            <v>100.0008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50.000399999999999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50.000399999999999</v>
          </cell>
        </row>
        <row r="138">
          <cell r="A138" t="str">
            <v>FB.58373</v>
          </cell>
          <cell r="B138" t="str">
            <v>NSS Placeholder</v>
          </cell>
          <cell r="C138" t="str">
            <v>TAKASAKI PLANT-TOLL, 4769</v>
          </cell>
          <cell r="D138" t="str">
            <v>Unfunded</v>
          </cell>
          <cell r="E138">
            <v>1850</v>
          </cell>
          <cell r="F138">
            <v>925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925</v>
          </cell>
        </row>
        <row r="139">
          <cell r="A139" t="str">
            <v>FB.64707</v>
          </cell>
          <cell r="B139" t="str">
            <v>L14 connection with LFE LPD</v>
          </cell>
          <cell r="C139" t="str">
            <v>TAKASAKI PLANT-TOLL, 4769</v>
          </cell>
          <cell r="D139" t="str">
            <v>Unfunded</v>
          </cell>
          <cell r="E139">
            <v>500</v>
          </cell>
          <cell r="F139">
            <v>450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450</v>
          </cell>
        </row>
        <row r="140">
          <cell r="A140" t="str">
            <v>A.03868</v>
          </cell>
          <cell r="B140" t="str">
            <v>TAK Line 1 Online SSL Sticker</v>
          </cell>
          <cell r="C140" t="str">
            <v>TAKASAKI PLANT-TOLL, 4769</v>
          </cell>
          <cell r="D140" t="str">
            <v>Preliminary</v>
          </cell>
          <cell r="E140">
            <v>900.00099999999998</v>
          </cell>
          <cell r="F140">
            <v>810.0009</v>
          </cell>
          <cell r="G140">
            <v>0</v>
          </cell>
          <cell r="H140">
            <v>0</v>
          </cell>
          <cell r="I140">
            <v>0</v>
          </cell>
          <cell r="J140">
            <v>7.4259000000000004</v>
          </cell>
          <cell r="K140">
            <v>7.4259000000000004</v>
          </cell>
          <cell r="L140">
            <v>197.70660000000001</v>
          </cell>
          <cell r="M140">
            <v>75.184200000000004</v>
          </cell>
          <cell r="N140">
            <v>0</v>
          </cell>
          <cell r="O140">
            <v>185.64030000000002</v>
          </cell>
          <cell r="P140">
            <v>0</v>
          </cell>
          <cell r="Q140">
            <v>0</v>
          </cell>
          <cell r="R140">
            <v>336.61799999999999</v>
          </cell>
        </row>
        <row r="141">
          <cell r="A141" t="str">
            <v>FB.58295</v>
          </cell>
          <cell r="B141" t="str">
            <v>TAK FE FY2021 NSS placeholder</v>
          </cell>
          <cell r="C141" t="str">
            <v>TAKASAKI PLANT-TOLL, 4769</v>
          </cell>
          <cell r="D141" t="str">
            <v>Unfunded</v>
          </cell>
          <cell r="E141">
            <v>800</v>
          </cell>
          <cell r="F141">
            <v>400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400</v>
          </cell>
        </row>
        <row r="142">
          <cell r="A142" t="str">
            <v>FB.58299</v>
          </cell>
          <cell r="B142" t="str">
            <v>TAK BF20 Replacement</v>
          </cell>
          <cell r="C142" t="str">
            <v>TAKASAKI PLANT-TOLL, 4769</v>
          </cell>
          <cell r="D142" t="str">
            <v>AE Budget Unfunded</v>
          </cell>
          <cell r="E142">
            <v>100</v>
          </cell>
          <cell r="F142">
            <v>90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90</v>
          </cell>
        </row>
        <row r="143">
          <cell r="A143" t="str">
            <v>FB.58292</v>
          </cell>
          <cell r="B143" t="str">
            <v>TAK Synergy_CDX/CDB in JP FE</v>
          </cell>
          <cell r="C143" t="str">
            <v>TAKASAKI PLANT-TOLL, 4769</v>
          </cell>
          <cell r="D143" t="str">
            <v>Unfunded</v>
          </cell>
          <cell r="E143">
            <v>5000</v>
          </cell>
          <cell r="F143">
            <v>2500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2500</v>
          </cell>
        </row>
        <row r="144">
          <cell r="A144" t="str">
            <v>A.03273</v>
          </cell>
          <cell r="B144" t="str">
            <v>TENGU - Takasaki AE3S Inhouse Project</v>
          </cell>
          <cell r="C144" t="str">
            <v>TAKASAKI PLANT-TOLL, 4769</v>
          </cell>
          <cell r="D144" t="str">
            <v>Partial</v>
          </cell>
          <cell r="E144">
            <v>2868.991</v>
          </cell>
          <cell r="F144">
            <v>2175.2075</v>
          </cell>
          <cell r="G144">
            <v>47.771999999999998</v>
          </cell>
          <cell r="H144">
            <v>23.3385</v>
          </cell>
          <cell r="I144">
            <v>36</v>
          </cell>
          <cell r="J144">
            <v>124.8</v>
          </cell>
          <cell r="K144">
            <v>51.6</v>
          </cell>
          <cell r="L144">
            <v>278.39999999999998</v>
          </cell>
          <cell r="M144">
            <v>582.23699999999997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1008.3135</v>
          </cell>
        </row>
        <row r="145">
          <cell r="A145" t="str">
            <v>B.06818</v>
          </cell>
          <cell r="B145" t="str">
            <v>TAKASAKI 1920 04-SAVINGS AE</v>
          </cell>
          <cell r="C145" t="str">
            <v>TAKASAKI PLANT-TOLL, 4769</v>
          </cell>
          <cell r="D145" t="str">
            <v>AE Budget Funded</v>
          </cell>
          <cell r="E145">
            <v>290.15100000000001</v>
          </cell>
          <cell r="F145">
            <v>290.15100000000001</v>
          </cell>
          <cell r="G145">
            <v>0</v>
          </cell>
          <cell r="H145">
            <v>16.655999999999999</v>
          </cell>
          <cell r="I145">
            <v>28.779</v>
          </cell>
          <cell r="J145">
            <v>18.564</v>
          </cell>
          <cell r="K145">
            <v>0</v>
          </cell>
          <cell r="L145">
            <v>71.055000000000007</v>
          </cell>
          <cell r="M145">
            <v>80.289000000000001</v>
          </cell>
          <cell r="N145">
            <v>0</v>
          </cell>
          <cell r="O145">
            <v>74.256</v>
          </cell>
          <cell r="P145">
            <v>0</v>
          </cell>
          <cell r="Q145">
            <v>0</v>
          </cell>
          <cell r="R145">
            <v>0</v>
          </cell>
        </row>
        <row r="146">
          <cell r="A146" t="str">
            <v>B.06819</v>
          </cell>
          <cell r="B146" t="str">
            <v>TAKASAKI SHARED 1920 04-SAVINGS AE</v>
          </cell>
          <cell r="C146" t="str">
            <v>TAKASAKI PLANT-TOLL, 4769</v>
          </cell>
          <cell r="D146" t="str">
            <v>AE Budget Funded</v>
          </cell>
          <cell r="E146">
            <v>172.10300000000001</v>
          </cell>
          <cell r="F146">
            <v>172.10300000000001</v>
          </cell>
          <cell r="G146">
            <v>172.10300000000001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</row>
        <row r="147">
          <cell r="A147" t="str">
            <v>B.07188</v>
          </cell>
          <cell r="B147" t="str">
            <v>FY2021 TAKASAKI 04-SAVINGS AE</v>
          </cell>
          <cell r="C147" t="str">
            <v>TAKASAKI PLANT-TOLL, 4769</v>
          </cell>
          <cell r="D147" t="str">
            <v>AE Budget Funded</v>
          </cell>
          <cell r="E147">
            <v>444.44499999999999</v>
          </cell>
          <cell r="F147">
            <v>400.00049999999999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400.00049999999999</v>
          </cell>
        </row>
        <row r="148">
          <cell r="A148" t="str">
            <v>FB.57249</v>
          </cell>
          <cell r="B148" t="str">
            <v>KR - regulation relevant, perforation</v>
          </cell>
          <cell r="C148" t="str">
            <v>BINH DUONG-PLT-MS-PG INDOCHINA, 9797</v>
          </cell>
          <cell r="D148" t="str">
            <v>Unfunded</v>
          </cell>
          <cell r="E148">
            <v>300</v>
          </cell>
          <cell r="F148">
            <v>150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150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A149" t="str">
            <v>FB.57250</v>
          </cell>
          <cell r="B149" t="str">
            <v>KR - Package placeholder for Flower Cap</v>
          </cell>
          <cell r="C149" t="str">
            <v>BINH DUONG-PLT-MS-PG INDOCHINA, 9797</v>
          </cell>
          <cell r="D149" t="str">
            <v>Unfunded</v>
          </cell>
          <cell r="E149">
            <v>300</v>
          </cell>
          <cell r="F149">
            <v>150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150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</row>
        <row r="150">
          <cell r="A150" t="str">
            <v>B.07213</v>
          </cell>
          <cell r="B150" t="str">
            <v>FY2021 CABUYAO FABRIC 03-LFE NON SAVINGS</v>
          </cell>
          <cell r="C150" t="str">
            <v>CABUYAO PLANT - TOLL MFG, PH01</v>
          </cell>
          <cell r="D150" t="str">
            <v>AE Budget Funded</v>
          </cell>
          <cell r="E150">
            <v>634</v>
          </cell>
          <cell r="F150">
            <v>634</v>
          </cell>
          <cell r="G150">
            <v>0</v>
          </cell>
          <cell r="H150">
            <v>0</v>
          </cell>
          <cell r="I150">
            <v>19</v>
          </cell>
          <cell r="J150">
            <v>10</v>
          </cell>
          <cell r="K150">
            <v>65</v>
          </cell>
          <cell r="L150">
            <v>70</v>
          </cell>
          <cell r="M150">
            <v>235</v>
          </cell>
          <cell r="N150">
            <v>100</v>
          </cell>
          <cell r="O150">
            <v>55</v>
          </cell>
          <cell r="P150">
            <v>50</v>
          </cell>
          <cell r="Q150">
            <v>30</v>
          </cell>
          <cell r="R150">
            <v>0</v>
          </cell>
        </row>
        <row r="151">
          <cell r="A151" t="str">
            <v>B.07214</v>
          </cell>
          <cell r="B151" t="str">
            <v>FY2021 CABUYAO FABRIC 03-DL NON SAVINGS</v>
          </cell>
          <cell r="C151" t="str">
            <v>CABUYAO PLANT - TOLL MFG, PH01</v>
          </cell>
          <cell r="D151" t="str">
            <v>AE Budget Funded</v>
          </cell>
          <cell r="E151">
            <v>849</v>
          </cell>
          <cell r="F151">
            <v>849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142</v>
          </cell>
          <cell r="M151">
            <v>102</v>
          </cell>
          <cell r="N151">
            <v>100</v>
          </cell>
          <cell r="O151">
            <v>190</v>
          </cell>
          <cell r="P151">
            <v>295</v>
          </cell>
          <cell r="Q151">
            <v>20</v>
          </cell>
          <cell r="R151">
            <v>0</v>
          </cell>
        </row>
        <row r="152">
          <cell r="A152" t="str">
            <v>FB.58398</v>
          </cell>
          <cell r="B152" t="str">
            <v>Error creation of B.06056</v>
          </cell>
          <cell r="C152" t="str">
            <v>CABUYAO PLANT - TOLL MFG, PH01</v>
          </cell>
          <cell r="D152" t="str">
            <v>Unfunded</v>
          </cell>
          <cell r="E152">
            <v>-1203</v>
          </cell>
          <cell r="F152">
            <v>-1203</v>
          </cell>
          <cell r="G152">
            <v>0</v>
          </cell>
          <cell r="H152">
            <v>0</v>
          </cell>
          <cell r="I152">
            <v>-1203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A153" t="str">
            <v>FB.35552</v>
          </cell>
          <cell r="B153" t="str">
            <v>CBY NSS bundle</v>
          </cell>
          <cell r="C153" t="str">
            <v>CABUYAO PLANT - TOLL MFG, PH01</v>
          </cell>
          <cell r="D153" t="str">
            <v>AE Budget Unfunded</v>
          </cell>
          <cell r="E153">
            <v>400</v>
          </cell>
          <cell r="F153">
            <v>200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200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A154" t="str">
            <v>FB.50721</v>
          </cell>
          <cell r="B154" t="str">
            <v>CBY FE NSS placeholder</v>
          </cell>
          <cell r="C154" t="str">
            <v>CABUYAO PLANT - TOLL MFG, PH01</v>
          </cell>
          <cell r="D154" t="str">
            <v>AE Budget Unfunded</v>
          </cell>
          <cell r="E154">
            <v>500</v>
          </cell>
          <cell r="F154">
            <v>250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250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A155" t="str">
            <v>B.06385</v>
          </cell>
          <cell r="B155" t="str">
            <v>CABUYAO FC 1819 04-SAVINGS AE</v>
          </cell>
          <cell r="C155" t="str">
            <v>CABUYAO PLANT - TOLL MFG, PH01</v>
          </cell>
          <cell r="D155" t="str">
            <v>AE Budget Funded</v>
          </cell>
          <cell r="E155">
            <v>47.365000000000002</v>
          </cell>
          <cell r="F155">
            <v>47.365000000000002</v>
          </cell>
          <cell r="G155">
            <v>2.1850000000000001</v>
          </cell>
          <cell r="H155">
            <v>0</v>
          </cell>
          <cell r="I155">
            <v>0</v>
          </cell>
          <cell r="J155">
            <v>0</v>
          </cell>
          <cell r="K155">
            <v>45.18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A156" t="str">
            <v>FB.60763</v>
          </cell>
          <cell r="B156" t="str">
            <v>DL EOL Automation P1 - Line 2A</v>
          </cell>
          <cell r="C156" t="str">
            <v>CABUYAO PLANT - TOLL MFG, PH01</v>
          </cell>
          <cell r="D156" t="str">
            <v>Unfunded</v>
          </cell>
          <cell r="E156">
            <v>1020</v>
          </cell>
          <cell r="F156">
            <v>510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100</v>
          </cell>
          <cell r="P156">
            <v>0</v>
          </cell>
          <cell r="Q156">
            <v>0</v>
          </cell>
          <cell r="R156">
            <v>410</v>
          </cell>
        </row>
        <row r="157">
          <cell r="A157" t="str">
            <v>B.07216</v>
          </cell>
          <cell r="B157" t="str">
            <v>FY2021 CABUYAO FABRIC 04-DL SAVINGS AE</v>
          </cell>
          <cell r="C157" t="str">
            <v>CABUYAO PLANT - TOLL MFG, PH01</v>
          </cell>
          <cell r="D157" t="str">
            <v>AE Budget Funded</v>
          </cell>
          <cell r="E157">
            <v>300</v>
          </cell>
          <cell r="F157">
            <v>300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50</v>
          </cell>
          <cell r="M157">
            <v>90</v>
          </cell>
          <cell r="N157">
            <v>60</v>
          </cell>
          <cell r="O157">
            <v>80</v>
          </cell>
          <cell r="P157">
            <v>20</v>
          </cell>
          <cell r="Q157">
            <v>0</v>
          </cell>
          <cell r="R157">
            <v>0</v>
          </cell>
        </row>
        <row r="158">
          <cell r="A158" t="str">
            <v>B.07060</v>
          </cell>
          <cell r="B158" t="str">
            <v>FY2021 FC R&amp;D AE BUDGET-SGIC</v>
          </cell>
          <cell r="C158" t="str">
            <v>SINGAPORE R&amp;D-PGIO, 0040</v>
          </cell>
          <cell r="D158" t="str">
            <v>AE Budget Funded</v>
          </cell>
          <cell r="E158">
            <v>14.685</v>
          </cell>
          <cell r="F158">
            <v>14.685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14.685</v>
          </cell>
          <cell r="R158">
            <v>0</v>
          </cell>
        </row>
        <row r="159">
          <cell r="A159" t="str">
            <v>B.07007</v>
          </cell>
          <cell r="B159" t="str">
            <v>FY 19/20 FC R&amp;D AE BUDGET-SGIC</v>
          </cell>
          <cell r="C159" t="str">
            <v>SINGAPORE R&amp;D-PGIO, 0040</v>
          </cell>
          <cell r="D159" t="str">
            <v>AE Budget Funded</v>
          </cell>
          <cell r="E159">
            <v>19.556000000000001</v>
          </cell>
          <cell r="F159">
            <v>19.556000000000001</v>
          </cell>
          <cell r="G159">
            <v>0</v>
          </cell>
          <cell r="H159">
            <v>0</v>
          </cell>
          <cell r="I159">
            <v>19.556000000000001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</row>
        <row r="160">
          <cell r="A160" t="str">
            <v>A.03839</v>
          </cell>
          <cell r="B160" t="str">
            <v>TAICANG SUD TEMPLE PROJECT</v>
          </cell>
          <cell r="C160" t="str">
            <v>TAICANG PLANT-PG JIANGSU LTD, A266</v>
          </cell>
          <cell r="D160" t="str">
            <v>Preliminary</v>
          </cell>
          <cell r="E160">
            <v>3516.85</v>
          </cell>
          <cell r="F160">
            <v>3516.85</v>
          </cell>
          <cell r="G160">
            <v>0</v>
          </cell>
          <cell r="H160">
            <v>482</v>
          </cell>
          <cell r="I160">
            <v>222</v>
          </cell>
          <cell r="J160">
            <v>223</v>
          </cell>
          <cell r="K160">
            <v>268</v>
          </cell>
          <cell r="L160">
            <v>454</v>
          </cell>
          <cell r="M160">
            <v>941</v>
          </cell>
          <cell r="N160">
            <v>195</v>
          </cell>
          <cell r="O160">
            <v>478</v>
          </cell>
          <cell r="P160">
            <v>180</v>
          </cell>
          <cell r="Q160">
            <v>122</v>
          </cell>
          <cell r="R160">
            <v>195</v>
          </cell>
        </row>
        <row r="161">
          <cell r="A161" t="str">
            <v>FB.58695</v>
          </cell>
          <cell r="B161" t="str">
            <v>SUD localization</v>
          </cell>
          <cell r="C161" t="str">
            <v>TAICANG PLANT-PG JIANGSU LTD, A266</v>
          </cell>
          <cell r="D161" t="str">
            <v>Indirect</v>
          </cell>
          <cell r="E161">
            <v>500</v>
          </cell>
          <cell r="F161">
            <v>250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250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A162" t="str">
            <v>FB.24923</v>
          </cell>
          <cell r="B162" t="str">
            <v>4L Bottle capability</v>
          </cell>
          <cell r="C162" t="str">
            <v>TAICANG PLANT-PG JIANGSU LTD, A266</v>
          </cell>
          <cell r="D162" t="str">
            <v>Unfunded</v>
          </cell>
          <cell r="E162">
            <v>286</v>
          </cell>
          <cell r="F162">
            <v>286</v>
          </cell>
          <cell r="G162">
            <v>0</v>
          </cell>
          <cell r="H162">
            <v>0</v>
          </cell>
          <cell r="I162">
            <v>0</v>
          </cell>
          <cell r="J162">
            <v>86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200</v>
          </cell>
          <cell r="P162">
            <v>0</v>
          </cell>
          <cell r="Q162">
            <v>0</v>
          </cell>
          <cell r="R162">
            <v>0</v>
          </cell>
        </row>
        <row r="163">
          <cell r="A163" t="str">
            <v>FB.58377</v>
          </cell>
          <cell r="B163" t="str">
            <v>Mespack SL speed up</v>
          </cell>
          <cell r="C163" t="str">
            <v>TAKASAKI PLANT-TOLL, 4769</v>
          </cell>
          <cell r="D163" t="str">
            <v>AE Budget Unfunded</v>
          </cell>
          <cell r="E163">
            <v>900.00099999999998</v>
          </cell>
          <cell r="F163">
            <v>810.0009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50.000399999999999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760.00049999999999</v>
          </cell>
        </row>
        <row r="164">
          <cell r="A164" t="str">
            <v>A.03727</v>
          </cell>
          <cell r="B164" t="str">
            <v>TAK HDL Casablanca Project</v>
          </cell>
          <cell r="C164" t="str">
            <v>TAKASAKI PLANT-TOLL, 4769</v>
          </cell>
          <cell r="D164" t="str">
            <v>Partial</v>
          </cell>
          <cell r="E164">
            <v>1924.317</v>
          </cell>
          <cell r="F164">
            <v>1749.3450999999998</v>
          </cell>
          <cell r="G164">
            <v>69.643799999999999</v>
          </cell>
          <cell r="H164">
            <v>84.684600000000003</v>
          </cell>
          <cell r="I164">
            <v>189.03149999999999</v>
          </cell>
          <cell r="J164">
            <v>3.0168000000000004</v>
          </cell>
          <cell r="K164">
            <v>196.0821</v>
          </cell>
          <cell r="L164">
            <v>283.1508</v>
          </cell>
          <cell r="M164">
            <v>779.95620000000008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123.5097</v>
          </cell>
        </row>
        <row r="165">
          <cell r="A165" t="str">
            <v>FB.58369</v>
          </cell>
          <cell r="B165" t="str">
            <v>3D Bottle Change (Tsugi Bottle)</v>
          </cell>
          <cell r="C165" t="str">
            <v>TAKASAKI PLANT-TOLL, 4769</v>
          </cell>
          <cell r="D165" t="str">
            <v>Unfunded</v>
          </cell>
          <cell r="E165">
            <v>4111.1130000000003</v>
          </cell>
          <cell r="F165">
            <v>3700.0017000000003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120.00060000000001</v>
          </cell>
          <cell r="L165">
            <v>50.000399999999999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3530.0007000000001</v>
          </cell>
        </row>
        <row r="166">
          <cell r="A166" t="str">
            <v>A.03560</v>
          </cell>
          <cell r="B166" t="str">
            <v>TAK HDL Infinity project</v>
          </cell>
          <cell r="C166" t="str">
            <v>TAKASAKI PLANT-TOLL, 4769</v>
          </cell>
          <cell r="D166" t="str">
            <v>Partial</v>
          </cell>
          <cell r="E166">
            <v>679.37599999999998</v>
          </cell>
          <cell r="F166">
            <v>679.37599999999998</v>
          </cell>
          <cell r="G166">
            <v>66.259</v>
          </cell>
          <cell r="H166">
            <v>216.36799999999999</v>
          </cell>
          <cell r="I166">
            <v>21.675999999999998</v>
          </cell>
          <cell r="J166">
            <v>144.672</v>
          </cell>
          <cell r="K166">
            <v>-105.96599999999999</v>
          </cell>
          <cell r="L166">
            <v>159.65</v>
          </cell>
          <cell r="M166">
            <v>0</v>
          </cell>
          <cell r="N166">
            <v>0</v>
          </cell>
          <cell r="O166">
            <v>169.631</v>
          </cell>
          <cell r="P166">
            <v>0</v>
          </cell>
          <cell r="Q166">
            <v>0</v>
          </cell>
          <cell r="R166">
            <v>0</v>
          </cell>
        </row>
        <row r="167">
          <cell r="A167" t="str">
            <v>A.03674</v>
          </cell>
          <cell r="B167" t="str">
            <v>Phoenix - TAK HDL Expansion Project Ph-2</v>
          </cell>
          <cell r="C167" t="str">
            <v>TAKASAKI PLANT-TOLL, 4769</v>
          </cell>
          <cell r="D167" t="str">
            <v>Preliminary</v>
          </cell>
          <cell r="E167">
            <v>14649.494000000001</v>
          </cell>
          <cell r="F167">
            <v>13184.617400000001</v>
          </cell>
          <cell r="G167">
            <v>0.6552</v>
          </cell>
          <cell r="H167">
            <v>0</v>
          </cell>
          <cell r="I167">
            <v>123.6366</v>
          </cell>
          <cell r="J167">
            <v>2.0880000000000001</v>
          </cell>
          <cell r="K167">
            <v>2.0880000000000001</v>
          </cell>
          <cell r="L167">
            <v>27.1494</v>
          </cell>
          <cell r="M167">
            <v>0</v>
          </cell>
          <cell r="N167">
            <v>0</v>
          </cell>
          <cell r="O167">
            <v>4675.1274000000003</v>
          </cell>
          <cell r="P167">
            <v>0</v>
          </cell>
          <cell r="Q167">
            <v>0</v>
          </cell>
          <cell r="R167">
            <v>8353.7999999999993</v>
          </cell>
        </row>
        <row r="168">
          <cell r="A168" t="str">
            <v>A.03395</v>
          </cell>
          <cell r="B168" t="str">
            <v>TAK Mespack HDL CRG Speed-up project</v>
          </cell>
          <cell r="C168" t="str">
            <v>TAKASAKI PLANT-TOLL, 4769</v>
          </cell>
          <cell r="D168" t="str">
            <v>Partial</v>
          </cell>
          <cell r="E168">
            <v>274.96199999999999</v>
          </cell>
          <cell r="F168">
            <v>247.46580000000003</v>
          </cell>
          <cell r="G168">
            <v>0</v>
          </cell>
          <cell r="H168">
            <v>0</v>
          </cell>
          <cell r="I168">
            <v>37.127700000000004</v>
          </cell>
          <cell r="J168">
            <v>0</v>
          </cell>
          <cell r="K168">
            <v>0</v>
          </cell>
          <cell r="L168">
            <v>11.138399999999999</v>
          </cell>
          <cell r="M168">
            <v>185.64030000000002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13.5594</v>
          </cell>
        </row>
        <row r="169">
          <cell r="A169" t="str">
            <v>A.03235</v>
          </cell>
          <cell r="B169" t="str">
            <v>Parisienne - PX Japan LFE</v>
          </cell>
          <cell r="C169" t="str">
            <v>TAKASAKI PLANT-TOLL, 4769</v>
          </cell>
          <cell r="D169" t="str">
            <v>Partial</v>
          </cell>
          <cell r="E169">
            <v>-5.0000000000000001E-3</v>
          </cell>
          <cell r="F169">
            <v>-5.0000000000000001E-3</v>
          </cell>
          <cell r="G169">
            <v>0</v>
          </cell>
          <cell r="H169">
            <v>0</v>
          </cell>
          <cell r="I169">
            <v>-5.0000000000000001E-3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A170" t="str">
            <v>A.03489</v>
          </cell>
          <cell r="B170" t="str">
            <v>JPN LFE MOJITO PROJECT</v>
          </cell>
          <cell r="C170" t="str">
            <v>TAKASAKI PLANT-TOLL, 4769</v>
          </cell>
          <cell r="D170" t="str">
            <v>Partial</v>
          </cell>
          <cell r="E170">
            <v>73.34</v>
          </cell>
          <cell r="F170">
            <v>73.34</v>
          </cell>
          <cell r="G170">
            <v>32.765000000000001</v>
          </cell>
          <cell r="H170">
            <v>7.5339999999999998</v>
          </cell>
          <cell r="I170">
            <v>6.0330000000000004</v>
          </cell>
          <cell r="J170">
            <v>6.0330000000000004</v>
          </cell>
          <cell r="K170">
            <v>0</v>
          </cell>
          <cell r="L170">
            <v>16.132999999999999</v>
          </cell>
          <cell r="M170">
            <v>4.59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A171" t="str">
            <v>A.03760</v>
          </cell>
          <cell r="B171" t="str">
            <v>Japan Chaumet Project</v>
          </cell>
          <cell r="C171" t="str">
            <v>TAKASAKI PLANT-TOLL, 4769</v>
          </cell>
          <cell r="D171" t="str">
            <v>Preliminary</v>
          </cell>
          <cell r="E171">
            <v>1508.153</v>
          </cell>
          <cell r="F171">
            <v>1357.3377000000003</v>
          </cell>
          <cell r="G171">
            <v>0</v>
          </cell>
          <cell r="H171">
            <v>0</v>
          </cell>
          <cell r="I171">
            <v>6.9497999999999998</v>
          </cell>
          <cell r="J171">
            <v>0</v>
          </cell>
          <cell r="K171">
            <v>8.1684000000000001</v>
          </cell>
          <cell r="L171">
            <v>82.449900000000014</v>
          </cell>
          <cell r="M171">
            <v>621.89370000000008</v>
          </cell>
          <cell r="N171">
            <v>32.487299999999998</v>
          </cell>
          <cell r="O171">
            <v>0</v>
          </cell>
          <cell r="P171">
            <v>605.3886</v>
          </cell>
          <cell r="Q171">
            <v>0</v>
          </cell>
          <cell r="R171">
            <v>0</v>
          </cell>
        </row>
        <row r="172">
          <cell r="A172" t="str">
            <v>A.03757</v>
          </cell>
          <cell r="B172" t="str">
            <v>Japan Takasaki LFE Sakura 2.0 Project</v>
          </cell>
          <cell r="C172" t="str">
            <v>TAKASAKI PLANT-TOLL, 4769</v>
          </cell>
          <cell r="D172" t="str">
            <v>Partial</v>
          </cell>
          <cell r="E172">
            <v>1608.684</v>
          </cell>
          <cell r="F172">
            <v>1456.3224000000002</v>
          </cell>
          <cell r="G172">
            <v>0.6714</v>
          </cell>
          <cell r="H172">
            <v>73.584000000000003</v>
          </cell>
          <cell r="I172">
            <v>526.37490000000003</v>
          </cell>
          <cell r="J172">
            <v>37.127700000000004</v>
          </cell>
          <cell r="K172">
            <v>125.7903</v>
          </cell>
          <cell r="L172">
            <v>55.413899999999998</v>
          </cell>
          <cell r="M172">
            <v>306.30599999999998</v>
          </cell>
          <cell r="N172">
            <v>0</v>
          </cell>
          <cell r="O172">
            <v>0</v>
          </cell>
          <cell r="P172">
            <v>272.4624</v>
          </cell>
          <cell r="Q172">
            <v>0</v>
          </cell>
          <cell r="R172">
            <v>47.779200000000003</v>
          </cell>
        </row>
        <row r="173">
          <cell r="A173" t="str">
            <v>A.03534</v>
          </cell>
          <cell r="B173" t="str">
            <v>JPN LFE PIAGET 2 PROJECT</v>
          </cell>
          <cell r="C173" t="str">
            <v>TAKASAKI PLANT-TOLL, 4769</v>
          </cell>
          <cell r="D173" t="str">
            <v>Partial</v>
          </cell>
          <cell r="E173">
            <v>75.677999999999997</v>
          </cell>
          <cell r="F173">
            <v>75.677999999999997</v>
          </cell>
          <cell r="G173">
            <v>3.2490000000000001</v>
          </cell>
          <cell r="H173">
            <v>27.469000000000001</v>
          </cell>
          <cell r="I173">
            <v>11.426</v>
          </cell>
          <cell r="J173">
            <v>6.0330000000000004</v>
          </cell>
          <cell r="K173">
            <v>26.591000000000001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4">
          <cell r="A174" t="str">
            <v>FB.64700</v>
          </cell>
          <cell r="B174" t="str">
            <v>AMA (Pouch Auto Feeder)</v>
          </cell>
          <cell r="C174" t="str">
            <v>TAKASAKI PLANT-TOLL, 4769</v>
          </cell>
          <cell r="D174" t="str">
            <v>AE Budget Unfunded</v>
          </cell>
          <cell r="E174">
            <v>720</v>
          </cell>
          <cell r="F174">
            <v>648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648</v>
          </cell>
        </row>
        <row r="175">
          <cell r="A175" t="str">
            <v>FB.64701</v>
          </cell>
          <cell r="B175" t="str">
            <v>AMA (Auto Case Loading)</v>
          </cell>
          <cell r="C175" t="str">
            <v>TAKASAKI PLANT-TOLL, 4769</v>
          </cell>
          <cell r="D175" t="str">
            <v>AE Budget Unfunded</v>
          </cell>
          <cell r="E175">
            <v>350</v>
          </cell>
          <cell r="F175">
            <v>315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315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ume Assumptions (2)"/>
      <sheetName val="Volume Assumptions"/>
      <sheetName val="IMP Assumptions"/>
      <sheetName val="SUMMARY (FY2021-2223)"/>
      <sheetName val="PROJECT LIST (FY2021-2223)"/>
      <sheetName val="Drop-down menu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-down menu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-down menu"/>
      <sheetName val="Volume Assumptions (2)"/>
      <sheetName val="Volume Assumptions"/>
      <sheetName val="IMP Assumptions"/>
      <sheetName val="Cat 01 - Project List"/>
      <sheetName val="GTM 0304 - Project Lis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-down menu"/>
      <sheetName val="Volume Assumptions (2)"/>
      <sheetName val="Volume Assumptions"/>
      <sheetName val="IMP Assumptions"/>
      <sheetName val="Cat 01 - Project List"/>
      <sheetName val="GTM 0304 - Project 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-down menu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-down menu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-down menu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, Alex" id="{33E4025B-6866-4132-ACC3-50AD14547B89}" userId="S::ma.z.3@pg.com::65712cab-a572-4525-bf59-d3117d76c23a" providerId="AD"/>
  <person displayName="Shen, Nami" id="{A942ADDE-2EF0-4984-8A74-F0E20648F1C8}" userId="S::shen.n@pg.com::ac005d8c-fcba-47a2-958c-fd8d36eebdcf" providerId="AD"/>
  <person displayName="Yang, Yang" id="{A45A9E57-287B-417E-930A-72F6DD83FD61}" userId="S::yang.ya.5@pg.com::c2e79292-68d5-43a9-bca9-a0ea8e9d1e09" providerId="AD"/>
  <person displayName="Jiang, Yifei" id="{8EFE5D76-8A0A-4D15-B8D1-664B77E5EC76}" userId="S::jiang.y.21@pg.com::1585a196-265d-4db6-a6f8-8a85d086f42d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P14" dT="2020-05-19T05:48:55.56" personId="{A45A9E57-287B-417E-930A-72F6DD83FD61}" id="{45416672-4B68-4740-B585-906973A2779F}">
    <text>$1MM in eforecast</text>
  </threadedComment>
  <threadedComment ref="J27" dT="2019-11-06T15:25:37.61" personId="{A942ADDE-2EF0-4984-8A74-F0E20648F1C8}" id="{173BB208-9D16-4206-B8C7-3A76A7545D5F}">
    <text>utility is not in the scope</text>
  </threadedComment>
  <threadedComment ref="J27" dT="2019-11-06T15:25:45.32" personId="{A942ADDE-2EF0-4984-8A74-F0E20648F1C8}" id="{75CE0FC1-830B-4CFA-89ED-622EC8B8AE71}" parentId="{173BB208-9D16-4206-B8C7-3A76A7545D5F}">
    <text>utility is not in the scope</text>
  </threadedComment>
  <threadedComment ref="M27" dT="2019-11-06T15:11:50.55" personId="{A942ADDE-2EF0-4984-8A74-F0E20648F1C8}" id="{655AEDBB-A1F9-4FA2-8EE0-27EE0571337F}">
    <text>need to align with BP and PSC and operation team</text>
  </threadedComment>
  <threadedComment ref="M27" dT="2019-11-21T11:44:28.93" personId="{A942ADDE-2EF0-4984-8A74-F0E20648F1C8}" id="{5AEC3C05-20ED-462F-A4C9-D25F7498F80A}" parentId="{655AEDBB-A1F9-4FA2-8EE0-27EE0571337F}">
    <text>LPD is OND'20, CLP is Mar'21, check the possibility to further speed up CLP</text>
  </threadedComment>
  <threadedComment ref="AD34" dT="2019-11-06T16:27:46.34" personId="{A942ADDE-2EF0-4984-8A74-F0E20648F1C8}" id="{59F72326-14F1-4564-85A5-D8D6376E42B7}">
    <text>need to benchmark with HDL</text>
  </threadedComment>
  <threadedComment ref="G44" dT="2020-01-14T08:21:56.48" personId="{A45A9E57-287B-417E-930A-72F6DD83FD61}" id="{35C417B9-9EFB-4F6F-84CD-A25CA00080DF}">
    <text>prob. &lt; 50%</text>
  </threadedComment>
  <threadedComment ref="E63" dT="2020-04-13T06:55:25.60" personId="{A45A9E57-287B-417E-930A-72F6DD83FD61}" id="{B2312235-D4A2-4CFE-A2C0-F0D10B5EAD04}">
    <text>PM: Recille</text>
  </threadedComment>
  <threadedComment ref="BE63" dT="2020-04-13T06:50:32.49" personId="{A45A9E57-287B-417E-930A-72F6DD83FD61}" id="{5739C8E0-4511-4240-94A2-E171107869EF}">
    <text>Fy1819 spending $617M</text>
  </threadedComment>
  <threadedComment ref="BM63" dT="2020-04-13T06:50:32.49" personId="{A45A9E57-287B-417E-930A-72F6DD83FD61}" id="{63D15229-198B-4A41-B3B6-E85854EFE33F}">
    <text>Fy1819 spending $617M</text>
  </threadedComment>
  <threadedComment ref="BU63" dT="2020-04-13T06:50:32.49" personId="{A45A9E57-287B-417E-930A-72F6DD83FD61}" id="{D13A44A0-2044-49C7-89E5-7FABB0D74D72}">
    <text>Fy1819 spending $617M</text>
  </threadedComment>
  <threadedComment ref="CA63" dT="2020-04-13T06:50:32.49" personId="{A45A9E57-287B-417E-930A-72F6DD83FD61}" id="{A4068465-0626-4B20-B0A3-A670556330A9}">
    <text>Fy1819 spending $617M</text>
  </threadedComment>
  <threadedComment ref="CI63" dT="2020-04-13T06:50:32.49" personId="{A45A9E57-287B-417E-930A-72F6DD83FD61}" id="{48B3DFF0-D4E1-4CE6-A081-2A284519F203}">
    <text>Fy1819 spending $617M</text>
  </threadedComment>
  <threadedComment ref="CO63" dT="2020-04-13T06:50:32.49" personId="{A45A9E57-287B-417E-930A-72F6DD83FD61}" id="{22F22493-1F24-40E7-9066-844C2892FBD9}">
    <text>Fy1819 spending $617M</text>
  </threadedComment>
  <threadedComment ref="CU63" dT="2020-04-13T06:50:32.49" personId="{A45A9E57-287B-417E-930A-72F6DD83FD61}" id="{B2A514AD-BBDD-402D-8EDE-A34945DA5330}">
    <text>Fy1819 spending $617M</text>
  </threadedComment>
  <threadedComment ref="CX63" dT="2020-04-13T06:50:32.49" personId="{A45A9E57-287B-417E-930A-72F6DD83FD61}" id="{5CB3A521-DEB6-4475-95DC-04A798EF8FD1}">
    <text>Fy1819 spending $617M</text>
  </threadedComment>
  <threadedComment ref="DF63" dT="2020-04-13T06:50:32.49" personId="{A45A9E57-287B-417E-930A-72F6DD83FD61}" id="{2EE6F973-26E7-4F36-B01C-F830BBA50E32}">
    <text>Fy1819 spending $617M</text>
  </threadedComment>
  <threadedComment ref="E67" dT="2020-04-13T06:55:19.29" personId="{A45A9E57-287B-417E-930A-72F6DD83FD61}" id="{18474CC5-E67E-49A0-A2F1-E2556ABA9A64}">
    <text>PM: Recille</text>
  </threadedComment>
  <threadedComment ref="BJ67" dT="2020-04-13T08:18:59.73" personId="{A45A9E57-287B-417E-930A-72F6DD83FD61}" id="{F06D7432-8730-4EBB-BA9F-18ED8348CA21}">
    <text>based on Recille inputs</text>
  </threadedComment>
  <threadedComment ref="AJ85" dT="2020-01-15T07:22:07.84" personId="{A45A9E57-287B-417E-930A-72F6DD83FD61}" id="{15A82AEF-F6A1-4BBF-ADC0-D163FFD94F40}">
    <text>covers $50M speed-up;</text>
  </threadedComment>
  <threadedComment ref="M144" dT="2019-11-15T06:00:40.57" personId="{A942ADDE-2EF0-4984-8A74-F0E20648F1C8}" id="{7EEA5795-B1C5-4650-B6BF-45123D3EDB15}">
    <text>BP plan is JAS'22</text>
  </threadedComment>
  <threadedComment ref="AD149" dT="2019-11-12T09:47:16.25" personId="{8EFE5D76-8A0A-4D15-B8D1-664B77E5EC76}" id="{0C105C7C-5597-4960-83E6-38F1BD801E8B}">
    <text>TBC</text>
  </threadedComment>
  <threadedComment ref="AD154" dT="2019-12-20T06:12:14.00" personId="{A45A9E57-287B-417E-930A-72F6DD83FD61}" id="{F1B0C94C-93B1-4B46-82DC-A0CA21E4579D}">
    <text>excl. CLP/LPD invested in BD $5.6MM</text>
  </threadedComment>
  <threadedComment ref="AD162" dT="2019-11-05T08:14:09.50" personId="{33E4025B-6866-4132-ACC3-50AD14547B89}" id="{6EE001D4-B86A-45DF-9639-0BB891CAEA07}">
    <text>range of 20-30</text>
  </threadedComment>
  <threadedComment ref="AD162" dT="2019-11-05T08:17:09.96" personId="{33E4025B-6866-4132-ACC3-50AD14547B89}" id="{98D3876F-1973-4AB1-974E-7F04FCBC879B}" parentId="{6EE001D4-B86A-45DF-9639-0BB891CAEA07}">
    <text>new building+ new line base is 25, new CLP +15</text>
  </threadedComment>
  <threadedComment ref="AR170" dT="2020-01-16T02:59:31.36" personId="{A45A9E57-287B-417E-930A-72F6DD83FD61}" id="{C4FD18E1-5426-40B3-8AE5-0E3928F16C6B}">
    <text>$0.8MM carry over + $0.5MM payment delay</text>
  </threadedComment>
  <threadedComment ref="AY170" dT="2020-01-16T02:59:31.36" personId="{A45A9E57-287B-417E-930A-72F6DD83FD61}" id="{0E74BC06-9B1A-45AA-9726-4E7CD07EE405}">
    <text>$0.8MM carry over + $0.5MM payment delay</text>
  </threadedComment>
  <threadedComment ref="BE170" dT="2020-01-16T02:59:31.36" personId="{A45A9E57-287B-417E-930A-72F6DD83FD61}" id="{72BF7E0C-0E1A-439E-9A21-FDE19D11353D}">
    <text>$0.8MM carry over + $0.5MM payment delay</text>
  </threadedComment>
  <threadedComment ref="Q179" dT="2020-08-10T08:00:20.14" personId="{A45A9E57-287B-417E-930A-72F6DD83FD61}" id="{6D073147-3076-43DE-9B5F-A5FDD1914349}">
    <text>prelim funded (1920) $840M; Fy1920 actual $170M</text>
  </threadedComment>
  <threadedComment ref="K180" dT="2019-11-06T13:54:13.67" personId="{A942ADDE-2EF0-4984-8A74-F0E20648F1C8}" id="{A0EB8476-C028-4016-BC06-2744C39CA0AE}">
    <text>PE in Nov</text>
  </threadedComment>
  <threadedComment ref="O203" dT="2019-11-07T05:15:10.54" personId="{A942ADDE-2EF0-4984-8A74-F0E20648F1C8}" id="{312B3F75-D749-4F51-96D2-C652198D4B84}">
    <text>need to visit volume in Mar</text>
  </threadedComment>
  <threadedComment ref="CD218" dT="2020-09-09T08:22:37.09" personId="{A45A9E57-287B-417E-930A-72F6DD83FD61}" id="{12AC47D7-4FDA-4997-8525-212B14E86F43}">
    <text>Infinity 2.0 (0.5MM) + Casablanca 2.0 (0.2MM)</text>
  </threadedComment>
  <threadedComment ref="E236" dT="2020-08-05T05:40:18.79" personId="{A45A9E57-287B-417E-930A-72F6DD83FD61}" id="{378D2062-D932-4793-906D-9980BE70FF65}">
    <text>SK</text>
  </threadedComment>
  <threadedComment ref="Q238" dT="2020-08-05T01:51:15.53" personId="{A45A9E57-287B-417E-930A-72F6DD83FD61}" id="{BE02BA47-7100-4ED9-A371-CB57551D709C}">
    <text>Prelim $M - FY1920 spending</text>
  </threadedComment>
  <threadedComment ref="AD247" dT="2019-11-05T08:13:53.73" personId="{33E4025B-6866-4132-ACC3-50AD14547B89}" id="{443887DF-0986-44E4-9DA5-1C6ABB66AD95}">
    <text>range of 40-50</text>
  </threadedComment>
  <threadedComment ref="J248" dT="2019-11-07T04:54:19.04" personId="{A942ADDE-2EF0-4984-8A74-F0E20648F1C8}" id="{32E7221C-61D2-473A-A905-AF1231F425AF}">
    <text>if install in the old building, we can save about $5,000M</text>
  </threadedComment>
  <threadedComment ref="AI273" dT="2019-11-06T01:41:23.08" personId="{8EFE5D76-8A0A-4D15-B8D1-664B77E5EC76}" id="{5A0FF4DA-A8C0-4E66-9ACB-D608A3BC8121}">
    <text>Design Fee and sorter/FPS DP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7" dT="2019-12-19T03:45:45.44" personId="{A45A9E57-287B-417E-930A-72F6DD83FD61}" id="{90C0FD02-E3BB-43B6-9008-D6A568AFC8CE}">
    <text>FB.55127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11B6-97C2-415F-A6A3-611E8AFAE6B8}">
  <sheetPr codeName="Sheet1"/>
  <dimension ref="B2:U25"/>
  <sheetViews>
    <sheetView showGridLines="0" zoomScale="70" zoomScaleNormal="70" workbookViewId="0">
      <selection activeCell="F18" sqref="F18"/>
    </sheetView>
  </sheetViews>
  <sheetFormatPr defaultRowHeight="13.9" outlineLevelCol="1" x14ac:dyDescent="0.4"/>
  <cols>
    <col min="1" max="1" width="4.46484375" customWidth="1"/>
    <col min="2" max="2" width="9.6640625" style="1" customWidth="1"/>
    <col min="3" max="4" width="11.33203125" style="1" customWidth="1"/>
    <col min="5" max="5" width="23.6640625" style="1" customWidth="1"/>
    <col min="6" max="6" width="21.46484375" style="1" customWidth="1"/>
    <col min="7" max="7" width="63" customWidth="1"/>
    <col min="14" max="14" width="3.46484375" customWidth="1"/>
    <col min="15" max="20" width="0" hidden="1" customWidth="1" outlineLevel="1"/>
    <col min="21" max="21" width="8.6640625" collapsed="1"/>
  </cols>
  <sheetData>
    <row r="2" spans="2:20" ht="43.25" customHeight="1" x14ac:dyDescent="0.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8" t="s">
        <v>10</v>
      </c>
      <c r="M2" s="3" t="s">
        <v>11</v>
      </c>
      <c r="N2" s="11"/>
      <c r="O2" s="3" t="s">
        <v>12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13</v>
      </c>
    </row>
    <row r="3" spans="2:20" s="2" customFormat="1" x14ac:dyDescent="0.4">
      <c r="B3" s="4" t="s">
        <v>14</v>
      </c>
      <c r="C3" s="4" t="s">
        <v>15</v>
      </c>
      <c r="D3" s="4" t="s">
        <v>16</v>
      </c>
      <c r="E3" s="4"/>
      <c r="F3" s="3"/>
      <c r="G3" s="5"/>
      <c r="H3" s="6"/>
      <c r="I3" s="6"/>
      <c r="J3" s="6"/>
      <c r="K3" s="6"/>
      <c r="L3" s="9"/>
      <c r="M3" s="6"/>
      <c r="O3" s="6" t="e">
        <f>I3/H3</f>
        <v>#DIV/0!</v>
      </c>
      <c r="P3" s="6" t="e">
        <f t="shared" ref="P3:S3" si="0">J3/I3</f>
        <v>#DIV/0!</v>
      </c>
      <c r="Q3" s="6" t="e">
        <f t="shared" si="0"/>
        <v>#DIV/0!</v>
      </c>
      <c r="R3" s="6" t="e">
        <f t="shared" si="0"/>
        <v>#DIV/0!</v>
      </c>
      <c r="S3" s="6" t="e">
        <f t="shared" si="0"/>
        <v>#DIV/0!</v>
      </c>
      <c r="T3" s="6" t="e">
        <f>(M3/H3)^(1/5)-1</f>
        <v>#DIV/0!</v>
      </c>
    </row>
    <row r="4" spans="2:20" s="2" customFormat="1" x14ac:dyDescent="0.4">
      <c r="B4" s="4" t="s">
        <v>14</v>
      </c>
      <c r="C4" s="4" t="s">
        <v>15</v>
      </c>
      <c r="D4" s="4" t="s">
        <v>17</v>
      </c>
      <c r="E4" s="4"/>
      <c r="F4" s="3"/>
      <c r="G4" s="5"/>
      <c r="H4" s="6"/>
      <c r="I4" s="6"/>
      <c r="J4" s="6"/>
      <c r="K4" s="6"/>
      <c r="L4" s="9"/>
      <c r="M4" s="6"/>
      <c r="O4" s="6" t="e">
        <f t="shared" ref="O4:O25" si="1">I4/H4</f>
        <v>#DIV/0!</v>
      </c>
      <c r="P4" s="6" t="e">
        <f t="shared" ref="P4:P25" si="2">J4/I4</f>
        <v>#DIV/0!</v>
      </c>
      <c r="Q4" s="6" t="e">
        <f t="shared" ref="Q4:Q25" si="3">K4/J4</f>
        <v>#DIV/0!</v>
      </c>
      <c r="R4" s="6" t="e">
        <f t="shared" ref="R4:R25" si="4">L4/K4</f>
        <v>#DIV/0!</v>
      </c>
      <c r="S4" s="6" t="e">
        <f t="shared" ref="S4:S25" si="5">M4/L4</f>
        <v>#DIV/0!</v>
      </c>
      <c r="T4" s="6" t="e">
        <f t="shared" ref="T4:T25" si="6">(M4/H4)^(1/5)-1</f>
        <v>#DIV/0!</v>
      </c>
    </row>
    <row r="5" spans="2:20" x14ac:dyDescent="0.4">
      <c r="B5" s="4" t="s">
        <v>18</v>
      </c>
      <c r="C5" s="4" t="s">
        <v>15</v>
      </c>
      <c r="D5" s="4" t="s">
        <v>16</v>
      </c>
      <c r="E5" s="4"/>
      <c r="F5" s="4"/>
      <c r="G5" s="7"/>
      <c r="H5" s="7"/>
      <c r="I5" s="7"/>
      <c r="J5" s="7"/>
      <c r="K5" s="7"/>
      <c r="L5" s="10"/>
      <c r="M5" s="7"/>
      <c r="O5" s="6" t="e">
        <f t="shared" si="1"/>
        <v>#DIV/0!</v>
      </c>
      <c r="P5" s="6" t="e">
        <f t="shared" si="2"/>
        <v>#DIV/0!</v>
      </c>
      <c r="Q5" s="6" t="e">
        <f t="shared" si="3"/>
        <v>#DIV/0!</v>
      </c>
      <c r="R5" s="6" t="e">
        <f t="shared" si="4"/>
        <v>#DIV/0!</v>
      </c>
      <c r="S5" s="6" t="e">
        <f t="shared" si="5"/>
        <v>#DIV/0!</v>
      </c>
      <c r="T5" s="6" t="e">
        <f t="shared" si="6"/>
        <v>#DIV/0!</v>
      </c>
    </row>
    <row r="6" spans="2:20" x14ac:dyDescent="0.4">
      <c r="B6" s="4" t="s">
        <v>19</v>
      </c>
      <c r="C6" s="4" t="s">
        <v>15</v>
      </c>
      <c r="D6" s="4" t="s">
        <v>16</v>
      </c>
      <c r="E6" s="4"/>
      <c r="F6" s="4"/>
      <c r="G6" s="7"/>
      <c r="H6" s="7"/>
      <c r="I6" s="7"/>
      <c r="J6" s="7"/>
      <c r="K6" s="7"/>
      <c r="L6" s="10"/>
      <c r="M6" s="7"/>
      <c r="O6" s="6" t="e">
        <f t="shared" si="1"/>
        <v>#DIV/0!</v>
      </c>
      <c r="P6" s="6" t="e">
        <f t="shared" si="2"/>
        <v>#DIV/0!</v>
      </c>
      <c r="Q6" s="6" t="e">
        <f t="shared" si="3"/>
        <v>#DIV/0!</v>
      </c>
      <c r="R6" s="6" t="e">
        <f t="shared" si="4"/>
        <v>#DIV/0!</v>
      </c>
      <c r="S6" s="6" t="e">
        <f t="shared" si="5"/>
        <v>#DIV/0!</v>
      </c>
      <c r="T6" s="6" t="e">
        <f t="shared" si="6"/>
        <v>#DIV/0!</v>
      </c>
    </row>
    <row r="7" spans="2:20" ht="32.1" customHeight="1" x14ac:dyDescent="0.4">
      <c r="B7" s="4" t="s">
        <v>14</v>
      </c>
      <c r="C7" s="4" t="s">
        <v>20</v>
      </c>
      <c r="D7" s="4" t="s">
        <v>21</v>
      </c>
      <c r="E7" s="254" t="s">
        <v>22</v>
      </c>
      <c r="F7" s="257" t="s">
        <v>23</v>
      </c>
      <c r="G7" s="251"/>
      <c r="H7" s="7"/>
      <c r="I7" s="7"/>
      <c r="J7" s="7"/>
      <c r="K7" s="7"/>
      <c r="L7" s="10"/>
      <c r="M7" s="7"/>
      <c r="O7" s="6" t="e">
        <f t="shared" si="1"/>
        <v>#DIV/0!</v>
      </c>
      <c r="P7" s="6" t="e">
        <f t="shared" si="2"/>
        <v>#DIV/0!</v>
      </c>
      <c r="Q7" s="6" t="e">
        <f t="shared" si="3"/>
        <v>#DIV/0!</v>
      </c>
      <c r="R7" s="6" t="e">
        <f t="shared" si="4"/>
        <v>#DIV/0!</v>
      </c>
      <c r="S7" s="6" t="e">
        <f t="shared" si="5"/>
        <v>#DIV/0!</v>
      </c>
      <c r="T7" s="6" t="e">
        <f t="shared" si="6"/>
        <v>#DIV/0!</v>
      </c>
    </row>
    <row r="8" spans="2:20" ht="37.5" customHeight="1" x14ac:dyDescent="0.4">
      <c r="B8" s="4" t="s">
        <v>14</v>
      </c>
      <c r="C8" s="4" t="s">
        <v>20</v>
      </c>
      <c r="D8" s="4" t="s">
        <v>17</v>
      </c>
      <c r="E8" s="255"/>
      <c r="F8" s="258"/>
      <c r="G8" s="252"/>
      <c r="H8" s="7"/>
      <c r="I8" s="7"/>
      <c r="J8" s="7"/>
      <c r="K8" s="7"/>
      <c r="L8" s="10"/>
      <c r="M8" s="7"/>
      <c r="O8" s="6" t="e">
        <f t="shared" si="1"/>
        <v>#DIV/0!</v>
      </c>
      <c r="P8" s="6" t="e">
        <f t="shared" si="2"/>
        <v>#DIV/0!</v>
      </c>
      <c r="Q8" s="6" t="e">
        <f t="shared" si="3"/>
        <v>#DIV/0!</v>
      </c>
      <c r="R8" s="6" t="e">
        <f t="shared" si="4"/>
        <v>#DIV/0!</v>
      </c>
      <c r="S8" s="6" t="e">
        <f t="shared" si="5"/>
        <v>#DIV/0!</v>
      </c>
      <c r="T8" s="6" t="e">
        <f t="shared" si="6"/>
        <v>#DIV/0!</v>
      </c>
    </row>
    <row r="9" spans="2:20" ht="33" customHeight="1" x14ac:dyDescent="0.4">
      <c r="B9" s="4" t="s">
        <v>14</v>
      </c>
      <c r="C9" s="4" t="s">
        <v>20</v>
      </c>
      <c r="D9" s="4" t="s">
        <v>24</v>
      </c>
      <c r="E9" s="256"/>
      <c r="F9" s="259"/>
      <c r="G9" s="253"/>
      <c r="H9" s="7"/>
      <c r="I9" s="7"/>
      <c r="J9" s="7"/>
      <c r="K9" s="7"/>
      <c r="L9" s="10"/>
      <c r="M9" s="7"/>
      <c r="O9" s="6" t="e">
        <f t="shared" si="1"/>
        <v>#DIV/0!</v>
      </c>
      <c r="P9" s="6" t="e">
        <f t="shared" si="2"/>
        <v>#DIV/0!</v>
      </c>
      <c r="Q9" s="6" t="e">
        <f t="shared" si="3"/>
        <v>#DIV/0!</v>
      </c>
      <c r="R9" s="6" t="e">
        <f t="shared" si="4"/>
        <v>#DIV/0!</v>
      </c>
      <c r="S9" s="6" t="e">
        <f t="shared" si="5"/>
        <v>#DIV/0!</v>
      </c>
      <c r="T9" s="6" t="e">
        <f t="shared" si="6"/>
        <v>#DIV/0!</v>
      </c>
    </row>
    <row r="10" spans="2:20" x14ac:dyDescent="0.4">
      <c r="B10" s="4" t="s">
        <v>18</v>
      </c>
      <c r="C10" s="4" t="s">
        <v>20</v>
      </c>
      <c r="D10" s="4" t="s">
        <v>21</v>
      </c>
      <c r="E10" s="4"/>
      <c r="F10" s="4"/>
      <c r="G10" s="12"/>
      <c r="H10" s="7"/>
      <c r="I10" s="7"/>
      <c r="J10" s="7"/>
      <c r="K10" s="7"/>
      <c r="L10" s="10"/>
      <c r="M10" s="7"/>
      <c r="O10" s="6" t="e">
        <f t="shared" si="1"/>
        <v>#DIV/0!</v>
      </c>
      <c r="P10" s="6" t="e">
        <f t="shared" si="2"/>
        <v>#DIV/0!</v>
      </c>
      <c r="Q10" s="6" t="e">
        <f t="shared" si="3"/>
        <v>#DIV/0!</v>
      </c>
      <c r="R10" s="6" t="e">
        <f t="shared" si="4"/>
        <v>#DIV/0!</v>
      </c>
      <c r="S10" s="6" t="e">
        <f t="shared" si="5"/>
        <v>#DIV/0!</v>
      </c>
      <c r="T10" s="6" t="e">
        <f t="shared" si="6"/>
        <v>#DIV/0!</v>
      </c>
    </row>
    <row r="11" spans="2:20" x14ac:dyDescent="0.4">
      <c r="B11" s="4" t="s">
        <v>18</v>
      </c>
      <c r="C11" s="4" t="s">
        <v>20</v>
      </c>
      <c r="D11" s="4" t="s">
        <v>25</v>
      </c>
      <c r="E11" s="4"/>
      <c r="F11" s="4"/>
      <c r="G11" s="12"/>
      <c r="H11" s="7"/>
      <c r="I11" s="7"/>
      <c r="J11" s="7"/>
      <c r="K11" s="7"/>
      <c r="L11" s="10"/>
      <c r="M11" s="7"/>
      <c r="O11" s="6" t="e">
        <f t="shared" si="1"/>
        <v>#DIV/0!</v>
      </c>
      <c r="P11" s="6" t="e">
        <f t="shared" si="2"/>
        <v>#DIV/0!</v>
      </c>
      <c r="Q11" s="6" t="e">
        <f t="shared" si="3"/>
        <v>#DIV/0!</v>
      </c>
      <c r="R11" s="6" t="e">
        <f t="shared" si="4"/>
        <v>#DIV/0!</v>
      </c>
      <c r="S11" s="6" t="e">
        <f t="shared" si="5"/>
        <v>#DIV/0!</v>
      </c>
      <c r="T11" s="6" t="e">
        <f t="shared" si="6"/>
        <v>#DIV/0!</v>
      </c>
    </row>
    <row r="12" spans="2:20" x14ac:dyDescent="0.4">
      <c r="B12" s="4" t="s">
        <v>18</v>
      </c>
      <c r="C12" s="4" t="s">
        <v>20</v>
      </c>
      <c r="D12" s="4" t="s">
        <v>24</v>
      </c>
      <c r="E12" s="4"/>
      <c r="F12" s="4"/>
      <c r="G12" s="7"/>
      <c r="H12" s="7"/>
      <c r="I12" s="7"/>
      <c r="J12" s="7"/>
      <c r="K12" s="7"/>
      <c r="L12" s="10"/>
      <c r="M12" s="7"/>
      <c r="O12" s="6" t="e">
        <f t="shared" si="1"/>
        <v>#DIV/0!</v>
      </c>
      <c r="P12" s="6" t="e">
        <f t="shared" si="2"/>
        <v>#DIV/0!</v>
      </c>
      <c r="Q12" s="6" t="e">
        <f t="shared" si="3"/>
        <v>#DIV/0!</v>
      </c>
      <c r="R12" s="6" t="e">
        <f t="shared" si="4"/>
        <v>#DIV/0!</v>
      </c>
      <c r="S12" s="6" t="e">
        <f t="shared" si="5"/>
        <v>#DIV/0!</v>
      </c>
      <c r="T12" s="6" t="e">
        <f t="shared" si="6"/>
        <v>#DIV/0!</v>
      </c>
    </row>
    <row r="13" spans="2:20" x14ac:dyDescent="0.4">
      <c r="B13" s="4" t="s">
        <v>18</v>
      </c>
      <c r="C13" s="4" t="s">
        <v>20</v>
      </c>
      <c r="D13" s="4" t="s">
        <v>26</v>
      </c>
      <c r="E13" s="4"/>
      <c r="F13" s="4"/>
      <c r="G13" s="7"/>
      <c r="H13" s="7"/>
      <c r="I13" s="7"/>
      <c r="J13" s="7"/>
      <c r="K13" s="7"/>
      <c r="L13" s="10"/>
      <c r="M13" s="7"/>
      <c r="O13" s="6" t="e">
        <f t="shared" si="1"/>
        <v>#DIV/0!</v>
      </c>
      <c r="P13" s="6" t="e">
        <f t="shared" si="2"/>
        <v>#DIV/0!</v>
      </c>
      <c r="Q13" s="6" t="e">
        <f t="shared" si="3"/>
        <v>#DIV/0!</v>
      </c>
      <c r="R13" s="6" t="e">
        <f t="shared" si="4"/>
        <v>#DIV/0!</v>
      </c>
      <c r="S13" s="6" t="e">
        <f t="shared" si="5"/>
        <v>#DIV/0!</v>
      </c>
      <c r="T13" s="6" t="e">
        <f t="shared" si="6"/>
        <v>#DIV/0!</v>
      </c>
    </row>
    <row r="14" spans="2:20" x14ac:dyDescent="0.4">
      <c r="B14" s="4" t="s">
        <v>19</v>
      </c>
      <c r="C14" s="4" t="s">
        <v>20</v>
      </c>
      <c r="D14" s="4" t="s">
        <v>21</v>
      </c>
      <c r="E14" s="4"/>
      <c r="F14" s="4"/>
      <c r="G14" s="7"/>
      <c r="H14" s="7"/>
      <c r="I14" s="7"/>
      <c r="J14" s="7"/>
      <c r="K14" s="7"/>
      <c r="L14" s="10"/>
      <c r="M14" s="7"/>
      <c r="O14" s="6" t="e">
        <f t="shared" si="1"/>
        <v>#DIV/0!</v>
      </c>
      <c r="P14" s="6" t="e">
        <f t="shared" si="2"/>
        <v>#DIV/0!</v>
      </c>
      <c r="Q14" s="6" t="e">
        <f t="shared" si="3"/>
        <v>#DIV/0!</v>
      </c>
      <c r="R14" s="6" t="e">
        <f t="shared" si="4"/>
        <v>#DIV/0!</v>
      </c>
      <c r="S14" s="6" t="e">
        <f t="shared" si="5"/>
        <v>#DIV/0!</v>
      </c>
      <c r="T14" s="6" t="e">
        <f t="shared" si="6"/>
        <v>#DIV/0!</v>
      </c>
    </row>
    <row r="15" spans="2:20" x14ac:dyDescent="0.4">
      <c r="B15" s="4" t="s">
        <v>19</v>
      </c>
      <c r="C15" s="4" t="s">
        <v>20</v>
      </c>
      <c r="D15" s="4" t="s">
        <v>25</v>
      </c>
      <c r="E15" s="4"/>
      <c r="F15" s="4"/>
      <c r="G15" s="7"/>
      <c r="H15" s="7"/>
      <c r="I15" s="7"/>
      <c r="J15" s="7"/>
      <c r="K15" s="7"/>
      <c r="L15" s="10"/>
      <c r="M15" s="7"/>
      <c r="O15" s="6" t="e">
        <f t="shared" si="1"/>
        <v>#DIV/0!</v>
      </c>
      <c r="P15" s="6" t="e">
        <f t="shared" si="2"/>
        <v>#DIV/0!</v>
      </c>
      <c r="Q15" s="6" t="e">
        <f t="shared" si="3"/>
        <v>#DIV/0!</v>
      </c>
      <c r="R15" s="6" t="e">
        <f t="shared" si="4"/>
        <v>#DIV/0!</v>
      </c>
      <c r="S15" s="6" t="e">
        <f t="shared" si="5"/>
        <v>#DIV/0!</v>
      </c>
      <c r="T15" s="6" t="e">
        <f t="shared" si="6"/>
        <v>#DIV/0!</v>
      </c>
    </row>
    <row r="16" spans="2:20" x14ac:dyDescent="0.4">
      <c r="B16" s="4" t="s">
        <v>19</v>
      </c>
      <c r="C16" s="4" t="s">
        <v>20</v>
      </c>
      <c r="D16" s="4" t="s">
        <v>24</v>
      </c>
      <c r="E16" s="4"/>
      <c r="F16" s="4"/>
      <c r="G16" s="7"/>
      <c r="H16" s="7"/>
      <c r="I16" s="7"/>
      <c r="J16" s="7"/>
      <c r="K16" s="7"/>
      <c r="L16" s="10"/>
      <c r="M16" s="7"/>
      <c r="O16" s="6" t="e">
        <f t="shared" si="1"/>
        <v>#DIV/0!</v>
      </c>
      <c r="P16" s="6" t="e">
        <f t="shared" si="2"/>
        <v>#DIV/0!</v>
      </c>
      <c r="Q16" s="6" t="e">
        <f t="shared" si="3"/>
        <v>#DIV/0!</v>
      </c>
      <c r="R16" s="6" t="e">
        <f t="shared" si="4"/>
        <v>#DIV/0!</v>
      </c>
      <c r="S16" s="6" t="e">
        <f t="shared" si="5"/>
        <v>#DIV/0!</v>
      </c>
      <c r="T16" s="6" t="e">
        <f t="shared" si="6"/>
        <v>#DIV/0!</v>
      </c>
    </row>
    <row r="17" spans="2:20" x14ac:dyDescent="0.4">
      <c r="B17" s="4" t="s">
        <v>14</v>
      </c>
      <c r="C17" s="4" t="s">
        <v>27</v>
      </c>
      <c r="D17" s="4" t="s">
        <v>17</v>
      </c>
      <c r="E17" s="4"/>
      <c r="F17" s="4"/>
      <c r="G17" s="7"/>
      <c r="H17" s="7"/>
      <c r="I17" s="7"/>
      <c r="J17" s="7"/>
      <c r="K17" s="7"/>
      <c r="L17" s="10"/>
      <c r="M17" s="7"/>
      <c r="O17" s="6" t="e">
        <f t="shared" si="1"/>
        <v>#DIV/0!</v>
      </c>
      <c r="P17" s="6" t="e">
        <f t="shared" si="2"/>
        <v>#DIV/0!</v>
      </c>
      <c r="Q17" s="6" t="e">
        <f t="shared" si="3"/>
        <v>#DIV/0!</v>
      </c>
      <c r="R17" s="6" t="e">
        <f t="shared" si="4"/>
        <v>#DIV/0!</v>
      </c>
      <c r="S17" s="6" t="e">
        <f t="shared" si="5"/>
        <v>#DIV/0!</v>
      </c>
      <c r="T17" s="6" t="e">
        <f t="shared" si="6"/>
        <v>#DIV/0!</v>
      </c>
    </row>
    <row r="18" spans="2:20" x14ac:dyDescent="0.4">
      <c r="B18" s="4" t="s">
        <v>18</v>
      </c>
      <c r="C18" s="4" t="s">
        <v>27</v>
      </c>
      <c r="D18" s="4" t="s">
        <v>21</v>
      </c>
      <c r="E18" s="4"/>
      <c r="F18" s="3"/>
      <c r="G18" s="5"/>
      <c r="H18" s="7"/>
      <c r="I18" s="7"/>
      <c r="J18" s="7"/>
      <c r="K18" s="7"/>
      <c r="L18" s="10"/>
      <c r="M18" s="7"/>
      <c r="O18" s="6" t="e">
        <f t="shared" si="1"/>
        <v>#DIV/0!</v>
      </c>
      <c r="P18" s="6" t="e">
        <f t="shared" si="2"/>
        <v>#DIV/0!</v>
      </c>
      <c r="Q18" s="6" t="e">
        <f t="shared" si="3"/>
        <v>#DIV/0!</v>
      </c>
      <c r="R18" s="6" t="e">
        <f t="shared" si="4"/>
        <v>#DIV/0!</v>
      </c>
      <c r="S18" s="6" t="e">
        <f t="shared" si="5"/>
        <v>#DIV/0!</v>
      </c>
      <c r="T18" s="6" t="e">
        <f t="shared" si="6"/>
        <v>#DIV/0!</v>
      </c>
    </row>
    <row r="19" spans="2:20" x14ac:dyDescent="0.4">
      <c r="B19" s="4" t="s">
        <v>18</v>
      </c>
      <c r="C19" s="4" t="s">
        <v>27</v>
      </c>
      <c r="D19" s="4" t="s">
        <v>25</v>
      </c>
      <c r="E19" s="4"/>
      <c r="F19" s="3"/>
      <c r="G19" s="5"/>
      <c r="H19" s="7"/>
      <c r="I19" s="7"/>
      <c r="J19" s="7"/>
      <c r="K19" s="7"/>
      <c r="L19" s="10"/>
      <c r="M19" s="7"/>
      <c r="O19" s="6" t="e">
        <f t="shared" si="1"/>
        <v>#DIV/0!</v>
      </c>
      <c r="P19" s="6" t="e">
        <f t="shared" si="2"/>
        <v>#DIV/0!</v>
      </c>
      <c r="Q19" s="6" t="e">
        <f t="shared" si="3"/>
        <v>#DIV/0!</v>
      </c>
      <c r="R19" s="6" t="e">
        <f t="shared" si="4"/>
        <v>#DIV/0!</v>
      </c>
      <c r="S19" s="6" t="e">
        <f t="shared" si="5"/>
        <v>#DIV/0!</v>
      </c>
      <c r="T19" s="6" t="e">
        <f t="shared" si="6"/>
        <v>#DIV/0!</v>
      </c>
    </row>
    <row r="20" spans="2:20" x14ac:dyDescent="0.4">
      <c r="B20" s="4" t="s">
        <v>18</v>
      </c>
      <c r="C20" s="4" t="s">
        <v>27</v>
      </c>
      <c r="D20" s="4" t="s">
        <v>24</v>
      </c>
      <c r="E20" s="4"/>
      <c r="F20" s="3"/>
      <c r="G20" s="5"/>
      <c r="H20" s="7"/>
      <c r="I20" s="7"/>
      <c r="J20" s="7"/>
      <c r="K20" s="7"/>
      <c r="L20" s="10"/>
      <c r="M20" s="7"/>
      <c r="O20" s="6" t="e">
        <f t="shared" si="1"/>
        <v>#DIV/0!</v>
      </c>
      <c r="P20" s="6" t="e">
        <f t="shared" si="2"/>
        <v>#DIV/0!</v>
      </c>
      <c r="Q20" s="6" t="e">
        <f t="shared" si="3"/>
        <v>#DIV/0!</v>
      </c>
      <c r="R20" s="6" t="e">
        <f t="shared" si="4"/>
        <v>#DIV/0!</v>
      </c>
      <c r="S20" s="6" t="e">
        <f t="shared" si="5"/>
        <v>#DIV/0!</v>
      </c>
      <c r="T20" s="6" t="e">
        <f t="shared" si="6"/>
        <v>#DIV/0!</v>
      </c>
    </row>
    <row r="21" spans="2:20" x14ac:dyDescent="0.4">
      <c r="B21" s="4" t="s">
        <v>19</v>
      </c>
      <c r="C21" s="4" t="s">
        <v>27</v>
      </c>
      <c r="D21" s="4" t="s">
        <v>21</v>
      </c>
      <c r="E21" s="4"/>
      <c r="F21" s="4"/>
      <c r="G21" s="7"/>
      <c r="H21" s="7"/>
      <c r="I21" s="7"/>
      <c r="J21" s="7"/>
      <c r="K21" s="7"/>
      <c r="L21" s="7"/>
      <c r="M21" s="7"/>
      <c r="O21" s="6" t="e">
        <f t="shared" si="1"/>
        <v>#DIV/0!</v>
      </c>
      <c r="P21" s="6" t="e">
        <f t="shared" si="2"/>
        <v>#DIV/0!</v>
      </c>
      <c r="Q21" s="6" t="e">
        <f t="shared" si="3"/>
        <v>#DIV/0!</v>
      </c>
      <c r="R21" s="6" t="e">
        <f t="shared" si="4"/>
        <v>#DIV/0!</v>
      </c>
      <c r="S21" s="6" t="e">
        <f t="shared" si="5"/>
        <v>#DIV/0!</v>
      </c>
      <c r="T21" s="6" t="e">
        <f t="shared" si="6"/>
        <v>#DIV/0!</v>
      </c>
    </row>
    <row r="22" spans="2:20" x14ac:dyDescent="0.4">
      <c r="B22" s="4" t="s">
        <v>19</v>
      </c>
      <c r="C22" s="4" t="s">
        <v>27</v>
      </c>
      <c r="D22" s="4" t="s">
        <v>24</v>
      </c>
      <c r="E22" s="4"/>
      <c r="F22" s="4"/>
      <c r="G22" s="7"/>
      <c r="H22" s="7"/>
      <c r="I22" s="7"/>
      <c r="J22" s="7"/>
      <c r="K22" s="7"/>
      <c r="L22" s="7"/>
      <c r="M22" s="7"/>
      <c r="O22" s="6" t="e">
        <f t="shared" si="1"/>
        <v>#DIV/0!</v>
      </c>
      <c r="P22" s="6" t="e">
        <f t="shared" si="2"/>
        <v>#DIV/0!</v>
      </c>
      <c r="Q22" s="6" t="e">
        <f t="shared" si="3"/>
        <v>#DIV/0!</v>
      </c>
      <c r="R22" s="6" t="e">
        <f t="shared" si="4"/>
        <v>#DIV/0!</v>
      </c>
      <c r="S22" s="6" t="e">
        <f t="shared" si="5"/>
        <v>#DIV/0!</v>
      </c>
      <c r="T22" s="6" t="e">
        <f t="shared" si="6"/>
        <v>#DIV/0!</v>
      </c>
    </row>
    <row r="23" spans="2:20" x14ac:dyDescent="0.4">
      <c r="B23" s="4" t="s">
        <v>19</v>
      </c>
      <c r="C23" s="4" t="s">
        <v>27</v>
      </c>
      <c r="D23" s="4" t="s">
        <v>17</v>
      </c>
      <c r="E23" s="4"/>
      <c r="F23" s="4"/>
      <c r="G23" s="7"/>
      <c r="H23" s="7"/>
      <c r="I23" s="7"/>
      <c r="J23" s="7"/>
      <c r="K23" s="7"/>
      <c r="L23" s="7"/>
      <c r="M23" s="7"/>
      <c r="O23" s="6"/>
      <c r="P23" s="6"/>
      <c r="Q23" s="6"/>
      <c r="R23" s="6"/>
      <c r="S23" s="6"/>
      <c r="T23" s="6"/>
    </row>
    <row r="24" spans="2:20" x14ac:dyDescent="0.4">
      <c r="B24" s="13" t="s">
        <v>18</v>
      </c>
      <c r="C24" s="13" t="s">
        <v>28</v>
      </c>
      <c r="D24" s="13"/>
      <c r="F24" s="1" t="s">
        <v>29</v>
      </c>
      <c r="G24" t="s">
        <v>30</v>
      </c>
      <c r="M24" s="14"/>
      <c r="O24" s="6" t="e">
        <f t="shared" si="1"/>
        <v>#DIV/0!</v>
      </c>
      <c r="P24" s="6" t="e">
        <f t="shared" si="2"/>
        <v>#DIV/0!</v>
      </c>
      <c r="Q24" s="6" t="e">
        <f t="shared" si="3"/>
        <v>#DIV/0!</v>
      </c>
      <c r="R24" s="6" t="e">
        <f t="shared" si="4"/>
        <v>#DIV/0!</v>
      </c>
      <c r="S24" s="6" t="e">
        <f t="shared" si="5"/>
        <v>#DIV/0!</v>
      </c>
      <c r="T24" s="6" t="e">
        <f t="shared" si="6"/>
        <v>#DIV/0!</v>
      </c>
    </row>
    <row r="25" spans="2:20" x14ac:dyDescent="0.4">
      <c r="B25" s="4" t="s">
        <v>19</v>
      </c>
      <c r="C25" s="4" t="s">
        <v>28</v>
      </c>
      <c r="D25" s="4"/>
      <c r="M25" s="7"/>
      <c r="O25" s="6" t="e">
        <f t="shared" si="1"/>
        <v>#DIV/0!</v>
      </c>
      <c r="P25" s="6" t="e">
        <f t="shared" si="2"/>
        <v>#DIV/0!</v>
      </c>
      <c r="Q25" s="6" t="e">
        <f t="shared" si="3"/>
        <v>#DIV/0!</v>
      </c>
      <c r="R25" s="6" t="e">
        <f t="shared" si="4"/>
        <v>#DIV/0!</v>
      </c>
      <c r="S25" s="6" t="e">
        <f t="shared" si="5"/>
        <v>#DIV/0!</v>
      </c>
      <c r="T25" s="6" t="e">
        <f t="shared" si="6"/>
        <v>#DIV/0!</v>
      </c>
    </row>
  </sheetData>
  <autoFilter ref="A2:T25" xr:uid="{B95EC6D8-F667-4973-A801-F6FAA3A36C01}">
    <sortState xmlns:xlrd2="http://schemas.microsoft.com/office/spreadsheetml/2017/richdata2" ref="A3:T25">
      <sortCondition ref="C3:C25"/>
    </sortState>
  </autoFilter>
  <mergeCells count="3">
    <mergeCell ref="G7:G9"/>
    <mergeCell ref="E7:E9"/>
    <mergeCell ref="F7:F9"/>
  </mergeCells>
  <phoneticPr fontId="22" type="noConversion"/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1F24-18BB-42F6-BBA5-11340C81A42F}">
  <dimension ref="A1:BA291"/>
  <sheetViews>
    <sheetView showGridLines="0" tabSelected="1" zoomScale="70" zoomScaleNormal="70" workbookViewId="0">
      <pane xSplit="6" ySplit="2" topLeftCell="G3" activePane="bottomRight" state="frozen"/>
      <selection pane="topRight" activeCell="N1" sqref="N1"/>
      <selection pane="bottomLeft" activeCell="A3" sqref="A3"/>
      <selection pane="bottomRight" activeCell="E7" sqref="E7"/>
    </sheetView>
  </sheetViews>
  <sheetFormatPr defaultColWidth="8.6640625" defaultRowHeight="13.5" x14ac:dyDescent="0.35"/>
  <cols>
    <col min="1" max="2" width="11.46484375" style="139" customWidth="1"/>
    <col min="3" max="3" width="10.6640625" style="18" customWidth="1"/>
    <col min="4" max="4" width="11.33203125" style="18" customWidth="1"/>
    <col min="5" max="5" width="13.6640625" style="18" customWidth="1"/>
    <col min="6" max="6" width="23.33203125" style="242" customWidth="1"/>
    <col min="7" max="7" width="9.1328125" style="17" customWidth="1"/>
    <col min="8" max="8" width="10.33203125" style="115" customWidth="1"/>
    <col min="9" max="9" width="9.46484375" style="17" customWidth="1"/>
    <col min="10" max="10" width="9.46484375" style="139" customWidth="1"/>
    <col min="11" max="11" width="9.6640625" style="139" customWidth="1"/>
    <col min="12" max="12" width="11.33203125" style="139" customWidth="1"/>
    <col min="13" max="13" width="8.46484375" style="139" customWidth="1"/>
    <col min="14" max="14" width="9.53125" style="142" customWidth="1"/>
    <col min="15" max="17" width="9.1328125" style="142" customWidth="1"/>
    <col min="18" max="18" width="8.6640625" style="142" customWidth="1"/>
    <col min="19" max="19" width="11.1328125" style="235" customWidth="1"/>
    <col min="20" max="21" width="8.6640625" style="139" customWidth="1"/>
    <col min="22" max="22" width="9.33203125" style="139" customWidth="1"/>
    <col min="23" max="30" width="8.6640625" style="139" customWidth="1"/>
    <col min="31" max="31" width="9.53125" style="139" customWidth="1"/>
    <col min="32" max="32" width="8.33203125" style="139" customWidth="1"/>
    <col min="33" max="16384" width="8.6640625" style="139"/>
  </cols>
  <sheetData>
    <row r="1" spans="1:33" ht="25.25" customHeight="1" x14ac:dyDescent="0.4">
      <c r="G1" s="128"/>
      <c r="H1" s="199"/>
      <c r="I1" s="199"/>
      <c r="J1" s="199"/>
      <c r="K1" s="199"/>
      <c r="L1" s="143"/>
      <c r="M1" s="128"/>
      <c r="N1" s="199"/>
      <c r="O1" s="199"/>
      <c r="P1" s="238"/>
      <c r="Q1" s="199"/>
      <c r="R1" s="128"/>
      <c r="T1" s="143" t="s">
        <v>47</v>
      </c>
      <c r="U1" s="143"/>
      <c r="V1" s="143"/>
      <c r="W1" s="143"/>
      <c r="X1" s="144"/>
    </row>
    <row r="2" spans="1:33" s="214" customFormat="1" ht="49.5" customHeight="1" x14ac:dyDescent="0.4">
      <c r="A2" s="20" t="s">
        <v>1277</v>
      </c>
      <c r="B2" s="20" t="s">
        <v>0</v>
      </c>
      <c r="C2" s="20" t="s">
        <v>48</v>
      </c>
      <c r="D2" s="20" t="s">
        <v>49</v>
      </c>
      <c r="E2" s="20" t="s">
        <v>50</v>
      </c>
      <c r="F2" s="243" t="s">
        <v>52</v>
      </c>
      <c r="G2" s="25" t="s">
        <v>1249</v>
      </c>
      <c r="H2" s="25" t="s">
        <v>1250</v>
      </c>
      <c r="I2" s="25" t="s">
        <v>1251</v>
      </c>
      <c r="J2" s="25" t="s">
        <v>1252</v>
      </c>
      <c r="K2" s="25" t="s">
        <v>1253</v>
      </c>
      <c r="L2" s="25" t="s">
        <v>1254</v>
      </c>
      <c r="M2" s="25" t="s">
        <v>1255</v>
      </c>
      <c r="N2" s="25" t="s">
        <v>1256</v>
      </c>
      <c r="O2" s="25" t="s">
        <v>1257</v>
      </c>
      <c r="P2" s="25" t="s">
        <v>1258</v>
      </c>
      <c r="Q2" s="25" t="s">
        <v>1259</v>
      </c>
      <c r="R2" s="25" t="s">
        <v>1260</v>
      </c>
      <c r="S2" s="25" t="s">
        <v>1261</v>
      </c>
      <c r="T2" s="21" t="s">
        <v>63</v>
      </c>
      <c r="U2" s="21" t="s">
        <v>64</v>
      </c>
      <c r="V2" s="21" t="s">
        <v>65</v>
      </c>
      <c r="W2" s="21" t="s">
        <v>66</v>
      </c>
      <c r="X2" s="21" t="s">
        <v>67</v>
      </c>
      <c r="Y2" s="21" t="s">
        <v>68</v>
      </c>
      <c r="Z2" s="21" t="s">
        <v>63</v>
      </c>
      <c r="AA2" s="21" t="s">
        <v>69</v>
      </c>
      <c r="AB2" s="21" t="s">
        <v>70</v>
      </c>
      <c r="AC2" s="21" t="s">
        <v>64</v>
      </c>
      <c r="AD2" s="24" t="s">
        <v>70</v>
      </c>
      <c r="AE2" s="24" t="s">
        <v>63</v>
      </c>
    </row>
    <row r="3" spans="1:33" s="158" customFormat="1" ht="16.25" customHeight="1" x14ac:dyDescent="0.4">
      <c r="A3" s="32" t="s">
        <v>1278</v>
      </c>
      <c r="B3" s="32" t="s">
        <v>1262</v>
      </c>
      <c r="C3" s="32" t="s">
        <v>1264</v>
      </c>
      <c r="D3" s="32" t="s">
        <v>1270</v>
      </c>
      <c r="E3" s="32" t="s">
        <v>98</v>
      </c>
      <c r="F3" s="244" t="s">
        <v>1185</v>
      </c>
      <c r="G3" s="37">
        <v>350</v>
      </c>
      <c r="H3" s="118">
        <v>302.73500000000001</v>
      </c>
      <c r="I3" s="118">
        <v>302.73500000000001</v>
      </c>
      <c r="J3" s="165">
        <v>302.73500000000001</v>
      </c>
      <c r="K3" s="165">
        <v>301.702</v>
      </c>
      <c r="L3" s="165">
        <v>301.702</v>
      </c>
      <c r="M3" s="165">
        <v>303.07600000000002</v>
      </c>
      <c r="N3" s="165">
        <v>302.96600000000001</v>
      </c>
      <c r="O3" s="165">
        <v>223</v>
      </c>
      <c r="P3" s="165">
        <v>208.88336000000001</v>
      </c>
      <c r="Q3" s="165">
        <v>228.91836000000001</v>
      </c>
      <c r="R3" s="165">
        <v>229.12736000000001</v>
      </c>
      <c r="S3" s="165">
        <f t="shared" ref="S3:S21" si="0">SUM(T3:AE3)</f>
        <v>229.12736000000001</v>
      </c>
      <c r="T3" s="165">
        <v>57.078000000000003</v>
      </c>
      <c r="U3" s="165">
        <v>62.218000000000004</v>
      </c>
      <c r="V3" s="165">
        <v>4.8879999999999999</v>
      </c>
      <c r="W3" s="165">
        <v>30.690999999999999</v>
      </c>
      <c r="X3" s="165">
        <v>8.9600000000000009</v>
      </c>
      <c r="Y3" s="165">
        <v>43.969000000000001</v>
      </c>
      <c r="Z3" s="165">
        <v>0.115</v>
      </c>
      <c r="AA3" s="165">
        <v>0.96436000000000011</v>
      </c>
      <c r="AB3" s="165">
        <v>0</v>
      </c>
      <c r="AC3" s="165">
        <v>3.1539999999999999</v>
      </c>
      <c r="AD3" s="165">
        <v>17.09</v>
      </c>
      <c r="AE3" s="165">
        <v>0</v>
      </c>
      <c r="AF3" s="165"/>
      <c r="AG3" s="165"/>
    </row>
    <row r="4" spans="1:33" s="158" customFormat="1" ht="16.25" customHeight="1" x14ac:dyDescent="0.4">
      <c r="A4" s="32" t="s">
        <v>1278</v>
      </c>
      <c r="B4" s="32" t="s">
        <v>1262</v>
      </c>
      <c r="C4" s="32" t="s">
        <v>1264</v>
      </c>
      <c r="D4" s="32" t="s">
        <v>1271</v>
      </c>
      <c r="E4" s="32" t="s">
        <v>108</v>
      </c>
      <c r="F4" s="244" t="s">
        <v>1276</v>
      </c>
      <c r="G4" s="39">
        <v>30</v>
      </c>
      <c r="H4" s="118">
        <v>30</v>
      </c>
      <c r="I4" s="118">
        <v>30</v>
      </c>
      <c r="J4" s="165">
        <v>30</v>
      </c>
      <c r="K4" s="165">
        <v>30.026</v>
      </c>
      <c r="L4" s="165">
        <v>30.026</v>
      </c>
      <c r="M4" s="165">
        <v>29.562999999999999</v>
      </c>
      <c r="N4" s="165">
        <v>29.562999999999999</v>
      </c>
      <c r="O4" s="165">
        <v>29.562999999999999</v>
      </c>
      <c r="P4" s="165">
        <v>24.553999999999998</v>
      </c>
      <c r="Q4" s="165">
        <v>24.553999999999998</v>
      </c>
      <c r="R4" s="165">
        <v>24.553999999999998</v>
      </c>
      <c r="S4" s="165">
        <f t="shared" si="0"/>
        <v>24.553999999999998</v>
      </c>
      <c r="T4" s="165">
        <v>0</v>
      </c>
      <c r="U4" s="165">
        <v>24.007999999999999</v>
      </c>
      <c r="V4" s="165">
        <v>0</v>
      </c>
      <c r="W4" s="165">
        <v>0.52200000000000002</v>
      </c>
      <c r="X4" s="165">
        <v>2.4E-2</v>
      </c>
      <c r="Y4" s="165">
        <v>0</v>
      </c>
      <c r="Z4" s="165">
        <v>0</v>
      </c>
      <c r="AA4" s="165">
        <v>0</v>
      </c>
      <c r="AB4" s="165">
        <v>0</v>
      </c>
      <c r="AC4" s="165">
        <v>0</v>
      </c>
      <c r="AD4" s="165">
        <v>0</v>
      </c>
      <c r="AE4" s="165">
        <v>0</v>
      </c>
      <c r="AF4" s="165"/>
      <c r="AG4" s="165"/>
    </row>
    <row r="5" spans="1:33" s="158" customFormat="1" ht="16.25" customHeight="1" x14ac:dyDescent="0.4">
      <c r="A5" s="32" t="s">
        <v>1278</v>
      </c>
      <c r="B5" s="32" t="s">
        <v>1262</v>
      </c>
      <c r="C5" s="32" t="s">
        <v>1264</v>
      </c>
      <c r="D5" s="32" t="s">
        <v>1270</v>
      </c>
      <c r="E5" s="32" t="s">
        <v>112</v>
      </c>
      <c r="F5" s="244" t="s">
        <v>1275</v>
      </c>
      <c r="G5" s="37"/>
      <c r="H5" s="118">
        <v>4.0629999999999997</v>
      </c>
      <c r="I5" s="118">
        <v>4.0629999999999997</v>
      </c>
      <c r="J5" s="165">
        <v>4.0629999999999997</v>
      </c>
      <c r="K5" s="165">
        <v>2.96</v>
      </c>
      <c r="L5" s="165">
        <v>2.96</v>
      </c>
      <c r="M5" s="165">
        <v>2.96</v>
      </c>
      <c r="N5" s="165">
        <v>2.96</v>
      </c>
      <c r="O5" s="165">
        <v>2.96</v>
      </c>
      <c r="P5" s="165">
        <v>2.96</v>
      </c>
      <c r="Q5" s="165">
        <v>2.96</v>
      </c>
      <c r="R5" s="165">
        <v>2.96</v>
      </c>
      <c r="S5" s="165">
        <f t="shared" si="0"/>
        <v>2.96</v>
      </c>
      <c r="T5" s="165">
        <v>3.004</v>
      </c>
      <c r="U5" s="165">
        <v>-4.3999999999999997E-2</v>
      </c>
      <c r="V5" s="165">
        <v>0</v>
      </c>
      <c r="W5" s="165">
        <v>0</v>
      </c>
      <c r="X5" s="165">
        <v>0</v>
      </c>
      <c r="Y5" s="165">
        <v>0</v>
      </c>
      <c r="Z5" s="165">
        <v>0</v>
      </c>
      <c r="AA5" s="165">
        <v>0</v>
      </c>
      <c r="AB5" s="165">
        <v>0</v>
      </c>
      <c r="AC5" s="165">
        <v>0</v>
      </c>
      <c r="AD5" s="165">
        <v>0</v>
      </c>
      <c r="AE5" s="165">
        <v>0</v>
      </c>
      <c r="AF5" s="165"/>
      <c r="AG5" s="165"/>
    </row>
    <row r="6" spans="1:33" s="158" customFormat="1" ht="16.25" customHeight="1" x14ac:dyDescent="0.4">
      <c r="A6" s="32" t="s">
        <v>1278</v>
      </c>
      <c r="B6" s="32" t="s">
        <v>1262</v>
      </c>
      <c r="C6" s="32" t="s">
        <v>1264</v>
      </c>
      <c r="D6" s="32" t="s">
        <v>1270</v>
      </c>
      <c r="E6" s="32" t="s">
        <v>115</v>
      </c>
      <c r="F6" s="244" t="s">
        <v>1275</v>
      </c>
      <c r="G6" s="37"/>
      <c r="H6" s="118"/>
      <c r="I6" s="118">
        <v>0</v>
      </c>
      <c r="J6" s="165">
        <v>-2E-3</v>
      </c>
      <c r="K6" s="165">
        <v>2.0060000000000002</v>
      </c>
      <c r="L6" s="165">
        <v>2.0060000000000002</v>
      </c>
      <c r="M6" s="165">
        <v>1.758</v>
      </c>
      <c r="N6" s="165">
        <v>1.758</v>
      </c>
      <c r="O6" s="165">
        <v>1.758</v>
      </c>
      <c r="P6" s="165">
        <v>1.758</v>
      </c>
      <c r="Q6" s="165">
        <v>1.758</v>
      </c>
      <c r="R6" s="165">
        <v>1.758</v>
      </c>
      <c r="S6" s="165">
        <f t="shared" si="0"/>
        <v>1.758</v>
      </c>
      <c r="T6" s="165">
        <v>0</v>
      </c>
      <c r="U6" s="165">
        <v>-2E-3</v>
      </c>
      <c r="V6" s="165">
        <v>0</v>
      </c>
      <c r="W6" s="165">
        <v>0</v>
      </c>
      <c r="X6" s="165">
        <v>1.76</v>
      </c>
      <c r="Y6" s="165">
        <v>0</v>
      </c>
      <c r="Z6" s="165">
        <v>0</v>
      </c>
      <c r="AA6" s="165">
        <v>0</v>
      </c>
      <c r="AB6" s="165">
        <v>0</v>
      </c>
      <c r="AC6" s="165">
        <v>0</v>
      </c>
      <c r="AD6" s="165">
        <v>0</v>
      </c>
      <c r="AE6" s="165">
        <v>0</v>
      </c>
      <c r="AG6" s="165"/>
    </row>
    <row r="7" spans="1:33" s="158" customFormat="1" ht="16.25" customHeight="1" x14ac:dyDescent="0.4">
      <c r="A7" s="32" t="s">
        <v>1279</v>
      </c>
      <c r="B7" s="32" t="s">
        <v>1262</v>
      </c>
      <c r="C7" s="32" t="s">
        <v>1264</v>
      </c>
      <c r="D7" s="32" t="s">
        <v>1270</v>
      </c>
      <c r="E7" s="32" t="s">
        <v>117</v>
      </c>
      <c r="F7" s="244" t="s">
        <v>1275</v>
      </c>
      <c r="G7" s="39">
        <v>330</v>
      </c>
      <c r="H7" s="118">
        <v>303.76799999999997</v>
      </c>
      <c r="I7" s="118">
        <v>303.76799999999997</v>
      </c>
      <c r="J7" s="165">
        <v>303.76799999999997</v>
      </c>
      <c r="K7" s="165">
        <v>303.94600000000003</v>
      </c>
      <c r="L7" s="165">
        <v>303.94600000000003</v>
      </c>
      <c r="M7" s="165">
        <v>303.99399999999997</v>
      </c>
      <c r="N7" s="165">
        <v>304.49099999999999</v>
      </c>
      <c r="O7" s="165">
        <v>304.49099999999999</v>
      </c>
      <c r="P7" s="165">
        <v>281.86399999999998</v>
      </c>
      <c r="Q7" s="165">
        <v>271.78924999999998</v>
      </c>
      <c r="R7" s="165">
        <v>271.81424999999996</v>
      </c>
      <c r="S7" s="165">
        <f t="shared" si="0"/>
        <v>271.81424999999996</v>
      </c>
      <c r="T7" s="165">
        <v>2.8279999999999998</v>
      </c>
      <c r="U7" s="165">
        <v>36.332000000000001</v>
      </c>
      <c r="V7" s="165">
        <v>17.414999999999999</v>
      </c>
      <c r="W7" s="165">
        <v>27.907</v>
      </c>
      <c r="X7" s="165">
        <v>6.1449999999999996</v>
      </c>
      <c r="Y7" s="165">
        <v>74.662000000000006</v>
      </c>
      <c r="Z7" s="165">
        <v>43.976999999999997</v>
      </c>
      <c r="AA7" s="165">
        <v>15.523249999999997</v>
      </c>
      <c r="AB7" s="165">
        <v>47</v>
      </c>
      <c r="AC7" s="165">
        <f>25/1000</f>
        <v>2.5000000000000001E-2</v>
      </c>
      <c r="AD7" s="165">
        <v>0</v>
      </c>
      <c r="AE7" s="165">
        <v>0</v>
      </c>
      <c r="AF7" s="165"/>
      <c r="AG7" s="165"/>
    </row>
    <row r="8" spans="1:33" s="158" customFormat="1" ht="16.25" customHeight="1" x14ac:dyDescent="0.4">
      <c r="A8" s="32" t="s">
        <v>1280</v>
      </c>
      <c r="B8" s="32" t="s">
        <v>1262</v>
      </c>
      <c r="C8" s="32" t="s">
        <v>1264</v>
      </c>
      <c r="D8" s="32" t="s">
        <v>1271</v>
      </c>
      <c r="E8" s="32" t="s">
        <v>124</v>
      </c>
      <c r="F8" s="244" t="s">
        <v>1276</v>
      </c>
      <c r="G8" s="39">
        <v>10</v>
      </c>
      <c r="H8" s="118">
        <v>10</v>
      </c>
      <c r="I8" s="118">
        <v>20.32</v>
      </c>
      <c r="J8" s="165">
        <v>20.32</v>
      </c>
      <c r="K8" s="165">
        <v>20.024000000000001</v>
      </c>
      <c r="L8" s="165">
        <v>20.024000000000001</v>
      </c>
      <c r="M8" s="165">
        <v>19.629000000000001</v>
      </c>
      <c r="N8" s="165">
        <v>20.421000000000003</v>
      </c>
      <c r="O8" s="165">
        <v>16</v>
      </c>
      <c r="P8" s="165">
        <v>16.393000000000004</v>
      </c>
      <c r="Q8" s="165">
        <v>16.393000000000004</v>
      </c>
      <c r="R8" s="165">
        <v>16.393000000000004</v>
      </c>
      <c r="S8" s="165">
        <f t="shared" si="0"/>
        <v>16.393000000000004</v>
      </c>
      <c r="T8" s="165">
        <v>0</v>
      </c>
      <c r="U8" s="165">
        <v>11.734</v>
      </c>
      <c r="V8" s="165">
        <v>-4.6500000000000004</v>
      </c>
      <c r="W8" s="165">
        <v>9.4030000000000005</v>
      </c>
      <c r="X8" s="165">
        <v>0</v>
      </c>
      <c r="Y8" s="165">
        <v>-7.8E-2</v>
      </c>
      <c r="Z8" s="165">
        <f>-16/1000</f>
        <v>-1.6E-2</v>
      </c>
      <c r="AA8" s="165">
        <v>0</v>
      </c>
      <c r="AB8" s="165">
        <v>0</v>
      </c>
      <c r="AC8" s="165">
        <v>0</v>
      </c>
      <c r="AD8" s="165">
        <v>0</v>
      </c>
      <c r="AE8" s="165">
        <v>0</v>
      </c>
      <c r="AF8" s="165"/>
      <c r="AG8" s="165"/>
    </row>
    <row r="9" spans="1:33" s="158" customFormat="1" ht="16.25" customHeight="1" x14ac:dyDescent="0.4">
      <c r="A9" s="32" t="s">
        <v>1279</v>
      </c>
      <c r="B9" s="32" t="s">
        <v>1262</v>
      </c>
      <c r="C9" s="32" t="s">
        <v>1264</v>
      </c>
      <c r="D9" s="32" t="s">
        <v>1270</v>
      </c>
      <c r="E9" s="32" t="s">
        <v>126</v>
      </c>
      <c r="F9" s="244" t="s">
        <v>1276</v>
      </c>
      <c r="G9" s="41">
        <v>128.66800000000001</v>
      </c>
      <c r="H9" s="118">
        <v>70.111000000000004</v>
      </c>
      <c r="I9" s="118">
        <v>70.355999999999995</v>
      </c>
      <c r="J9" s="165">
        <v>70.355999999999995</v>
      </c>
      <c r="K9" s="165">
        <v>70.051000000000002</v>
      </c>
      <c r="L9" s="165">
        <v>70.051000000000002</v>
      </c>
      <c r="M9" s="165">
        <v>70.465000000000003</v>
      </c>
      <c r="N9" s="165">
        <v>69.668999999999997</v>
      </c>
      <c r="O9" s="165">
        <v>69.668999999999997</v>
      </c>
      <c r="P9" s="165">
        <v>62.936999999999998</v>
      </c>
      <c r="Q9" s="165">
        <v>62.945300000000003</v>
      </c>
      <c r="R9" s="165">
        <v>62.949300000000001</v>
      </c>
      <c r="S9" s="165">
        <f t="shared" si="0"/>
        <v>62.949300000000001</v>
      </c>
      <c r="T9" s="165">
        <v>12.507</v>
      </c>
      <c r="U9" s="165">
        <v>17.637</v>
      </c>
      <c r="V9" s="165">
        <v>-2.0230000000000001</v>
      </c>
      <c r="W9" s="165">
        <v>21.006</v>
      </c>
      <c r="X9" s="165">
        <v>5.31</v>
      </c>
      <c r="Y9" s="165">
        <v>5.2149999999999999</v>
      </c>
      <c r="Z9" s="165">
        <v>6.9850000000000003</v>
      </c>
      <c r="AA9" s="165">
        <v>-3.6917</v>
      </c>
      <c r="AB9" s="165">
        <v>0</v>
      </c>
      <c r="AC9" s="165">
        <f>4/1000</f>
        <v>4.0000000000000001E-3</v>
      </c>
      <c r="AD9" s="165">
        <v>0</v>
      </c>
      <c r="AE9" s="165">
        <v>0</v>
      </c>
      <c r="AF9" s="165"/>
      <c r="AG9" s="165"/>
    </row>
    <row r="10" spans="1:33" s="158" customFormat="1" ht="15.6" customHeight="1" x14ac:dyDescent="0.4">
      <c r="A10" s="32" t="s">
        <v>1281</v>
      </c>
      <c r="B10" s="32" t="s">
        <v>1262</v>
      </c>
      <c r="C10" s="32" t="s">
        <v>1264</v>
      </c>
      <c r="D10" s="32" t="s">
        <v>1270</v>
      </c>
      <c r="E10" s="32" t="s">
        <v>136</v>
      </c>
      <c r="F10" s="244" t="s">
        <v>1275</v>
      </c>
      <c r="G10" s="39">
        <v>449.1</v>
      </c>
      <c r="H10" s="118">
        <v>480.48599999999999</v>
      </c>
      <c r="I10" s="118">
        <v>480.49099999999999</v>
      </c>
      <c r="J10" s="165">
        <v>480.49099999999999</v>
      </c>
      <c r="K10" s="165">
        <v>480.01400000000001</v>
      </c>
      <c r="L10" s="165">
        <v>480.01400000000001</v>
      </c>
      <c r="M10" s="165">
        <v>450.58100000000002</v>
      </c>
      <c r="N10" s="165">
        <v>450.529</v>
      </c>
      <c r="O10" s="165">
        <v>450.529</v>
      </c>
      <c r="P10" s="165">
        <v>420.29199999999997</v>
      </c>
      <c r="Q10" s="165">
        <v>472.9128</v>
      </c>
      <c r="R10" s="165">
        <v>472.59079999999994</v>
      </c>
      <c r="S10" s="165">
        <f t="shared" si="0"/>
        <v>472.59079999999994</v>
      </c>
      <c r="T10" s="165">
        <v>2.3149999999999999</v>
      </c>
      <c r="U10" s="165">
        <v>161.53399999999999</v>
      </c>
      <c r="V10" s="165">
        <v>18.792999999999999</v>
      </c>
      <c r="W10" s="165">
        <v>53.173999999999999</v>
      </c>
      <c r="X10" s="165">
        <v>24.437000000000001</v>
      </c>
      <c r="Y10" s="165">
        <v>72.072000000000003</v>
      </c>
      <c r="Z10" s="165">
        <v>17.966999999999999</v>
      </c>
      <c r="AA10" s="165">
        <v>3.5448000000000004</v>
      </c>
      <c r="AB10" s="165">
        <v>72</v>
      </c>
      <c r="AC10" s="165">
        <v>9.5489999999999995</v>
      </c>
      <c r="AD10" s="165">
        <v>32.055</v>
      </c>
      <c r="AE10" s="165">
        <v>5.15</v>
      </c>
      <c r="AF10" s="165"/>
      <c r="AG10" s="165"/>
    </row>
    <row r="11" spans="1:33" s="158" customFormat="1" ht="16.25" customHeight="1" x14ac:dyDescent="0.4">
      <c r="A11" s="32" t="s">
        <v>1282</v>
      </c>
      <c r="B11" s="32" t="s">
        <v>1262</v>
      </c>
      <c r="C11" s="32" t="s">
        <v>1264</v>
      </c>
      <c r="D11" s="32" t="s">
        <v>1271</v>
      </c>
      <c r="E11" s="32" t="s">
        <v>145</v>
      </c>
      <c r="F11" s="244" t="s">
        <v>1275</v>
      </c>
      <c r="G11" s="37">
        <v>1933.2</v>
      </c>
      <c r="H11" s="118">
        <v>1852</v>
      </c>
      <c r="I11" s="118">
        <v>1852</v>
      </c>
      <c r="J11" s="165">
        <v>2202</v>
      </c>
      <c r="K11" s="165">
        <v>2202.3240000000001</v>
      </c>
      <c r="L11" s="165">
        <v>2205.44</v>
      </c>
      <c r="M11" s="165">
        <v>2144.4029999999998</v>
      </c>
      <c r="N11" s="165">
        <v>2148.7710000000002</v>
      </c>
      <c r="O11" s="165">
        <v>1943</v>
      </c>
      <c r="P11" s="165">
        <v>1858.21</v>
      </c>
      <c r="Q11" s="165">
        <v>2025.13</v>
      </c>
      <c r="R11" s="165">
        <v>2025.13</v>
      </c>
      <c r="S11" s="165">
        <f t="shared" si="0"/>
        <v>2025.13</v>
      </c>
      <c r="T11" s="165">
        <v>89.682000000000002</v>
      </c>
      <c r="U11" s="165">
        <v>204.65</v>
      </c>
      <c r="V11" s="165">
        <v>70.224000000000004</v>
      </c>
      <c r="W11" s="165">
        <v>1033.6320000000001</v>
      </c>
      <c r="X11" s="165">
        <v>192.12100000000001</v>
      </c>
      <c r="Y11" s="165">
        <v>179.66200000000001</v>
      </c>
      <c r="Z11" s="165">
        <v>67.046999999999997</v>
      </c>
      <c r="AA11" s="165">
        <v>50.456000000000003</v>
      </c>
      <c r="AB11" s="165">
        <v>34.308</v>
      </c>
      <c r="AC11" s="165">
        <v>41.241</v>
      </c>
      <c r="AD11" s="165">
        <v>10.016999999999999</v>
      </c>
      <c r="AE11" s="165">
        <v>52.09</v>
      </c>
      <c r="AF11" s="165"/>
      <c r="AG11" s="165"/>
    </row>
    <row r="12" spans="1:33" s="158" customFormat="1" ht="16.25" customHeight="1" x14ac:dyDescent="0.4">
      <c r="A12" s="32" t="s">
        <v>1282</v>
      </c>
      <c r="B12" s="32" t="s">
        <v>1262</v>
      </c>
      <c r="C12" s="32" t="s">
        <v>1264</v>
      </c>
      <c r="D12" s="32" t="s">
        <v>1271</v>
      </c>
      <c r="E12" s="32" t="s">
        <v>145</v>
      </c>
      <c r="F12" s="244" t="s">
        <v>1275</v>
      </c>
      <c r="G12" s="37"/>
      <c r="H12" s="118"/>
      <c r="I12" s="118"/>
      <c r="J12" s="165"/>
      <c r="K12" s="165"/>
      <c r="L12" s="165"/>
      <c r="M12" s="165"/>
      <c r="N12" s="165"/>
      <c r="O12" s="165"/>
      <c r="P12" s="165"/>
      <c r="Q12" s="165">
        <v>552.04100000000005</v>
      </c>
      <c r="R12" s="165">
        <v>552.04100000000005</v>
      </c>
      <c r="S12" s="165">
        <f t="shared" si="0"/>
        <v>552.04100000000005</v>
      </c>
      <c r="T12" s="165">
        <v>0</v>
      </c>
      <c r="U12" s="165">
        <v>551.32299999999998</v>
      </c>
      <c r="V12" s="165">
        <v>0</v>
      </c>
      <c r="W12" s="165">
        <v>0</v>
      </c>
      <c r="X12" s="165">
        <v>0.70099999999999996</v>
      </c>
      <c r="Y12" s="165">
        <v>1.7000000000000001E-2</v>
      </c>
      <c r="Z12" s="165">
        <v>0</v>
      </c>
      <c r="AA12" s="165">
        <v>0</v>
      </c>
      <c r="AB12" s="165">
        <v>0</v>
      </c>
      <c r="AC12" s="165">
        <v>0</v>
      </c>
      <c r="AD12" s="165">
        <v>0</v>
      </c>
      <c r="AE12" s="165"/>
      <c r="AG12" s="165"/>
    </row>
    <row r="13" spans="1:33" s="158" customFormat="1" ht="15.6" customHeight="1" x14ac:dyDescent="0.4">
      <c r="A13" s="32" t="s">
        <v>1282</v>
      </c>
      <c r="B13" s="32" t="s">
        <v>1262</v>
      </c>
      <c r="C13" s="32" t="s">
        <v>1264</v>
      </c>
      <c r="D13" s="32" t="s">
        <v>1271</v>
      </c>
      <c r="E13" s="32" t="s">
        <v>145</v>
      </c>
      <c r="F13" s="244" t="s">
        <v>1275</v>
      </c>
      <c r="G13" s="37"/>
      <c r="H13" s="118"/>
      <c r="I13" s="118"/>
      <c r="J13" s="165"/>
      <c r="K13" s="165"/>
      <c r="L13" s="165"/>
      <c r="M13" s="165"/>
      <c r="N13" s="165"/>
      <c r="O13" s="165"/>
      <c r="P13" s="165"/>
      <c r="Q13" s="165">
        <v>-717.84899999999993</v>
      </c>
      <c r="R13" s="165">
        <v>-717.84899999999993</v>
      </c>
      <c r="S13" s="165">
        <f t="shared" si="0"/>
        <v>-717.84899999999993</v>
      </c>
      <c r="T13" s="165">
        <v>0</v>
      </c>
      <c r="U13" s="165">
        <v>0</v>
      </c>
      <c r="V13" s="165">
        <v>-717.13599999999997</v>
      </c>
      <c r="W13" s="165">
        <v>0</v>
      </c>
      <c r="X13" s="165">
        <v>-0.71299999999999997</v>
      </c>
      <c r="Y13" s="165">
        <v>0</v>
      </c>
      <c r="Z13" s="165">
        <v>0</v>
      </c>
      <c r="AA13" s="165">
        <v>0</v>
      </c>
      <c r="AB13" s="165">
        <v>0</v>
      </c>
      <c r="AC13" s="165">
        <v>0</v>
      </c>
      <c r="AD13" s="165">
        <v>0</v>
      </c>
      <c r="AE13" s="165"/>
      <c r="AG13" s="165"/>
    </row>
    <row r="14" spans="1:33" s="158" customFormat="1" ht="17" customHeight="1" x14ac:dyDescent="0.4">
      <c r="A14" s="32" t="s">
        <v>1283</v>
      </c>
      <c r="B14" s="32" t="s">
        <v>1262</v>
      </c>
      <c r="C14" s="32" t="s">
        <v>1264</v>
      </c>
      <c r="D14" s="32" t="s">
        <v>1270</v>
      </c>
      <c r="E14" s="32" t="s">
        <v>157</v>
      </c>
      <c r="F14" s="244" t="s">
        <v>1275</v>
      </c>
      <c r="G14" s="39">
        <v>2947.5</v>
      </c>
      <c r="H14" s="118">
        <v>2898</v>
      </c>
      <c r="I14" s="118">
        <v>2899</v>
      </c>
      <c r="J14" s="165">
        <v>3100</v>
      </c>
      <c r="K14" s="165">
        <v>3118.41</v>
      </c>
      <c r="L14" s="165">
        <v>3115.7650000000003</v>
      </c>
      <c r="M14" s="165">
        <v>3115.7650000000003</v>
      </c>
      <c r="N14" s="165">
        <v>3117.2170000000001</v>
      </c>
      <c r="O14" s="165">
        <v>3117.2170000000001</v>
      </c>
      <c r="P14" s="165">
        <v>2871.9536499999999</v>
      </c>
      <c r="Q14" s="165">
        <v>3470.66</v>
      </c>
      <c r="R14" s="165">
        <v>3470.66</v>
      </c>
      <c r="S14" s="165">
        <f t="shared" si="0"/>
        <v>3470.66</v>
      </c>
      <c r="T14" s="165">
        <v>17.463999999999999</v>
      </c>
      <c r="U14" s="165">
        <v>13.771000000000001</v>
      </c>
      <c r="V14" s="165">
        <v>1287.7270000000001</v>
      </c>
      <c r="W14" s="165">
        <v>321.49900000000002</v>
      </c>
      <c r="X14" s="165">
        <v>294.06900000000002</v>
      </c>
      <c r="Y14" s="165">
        <v>654.85299999999995</v>
      </c>
      <c r="Z14" s="165">
        <v>180.5</v>
      </c>
      <c r="AA14" s="165">
        <v>111.643</v>
      </c>
      <c r="AB14" s="165">
        <v>154.339</v>
      </c>
      <c r="AC14" s="165">
        <v>62.152000000000001</v>
      </c>
      <c r="AD14" s="165">
        <v>0</v>
      </c>
      <c r="AE14" s="165">
        <f>372.643</f>
        <v>372.64299999999997</v>
      </c>
      <c r="AF14" s="165"/>
      <c r="AG14" s="165"/>
    </row>
    <row r="15" spans="1:33" s="158" customFormat="1" ht="16.25" customHeight="1" x14ac:dyDescent="0.4">
      <c r="A15" s="32" t="s">
        <v>1283</v>
      </c>
      <c r="B15" s="32" t="s">
        <v>1262</v>
      </c>
      <c r="C15" s="32" t="s">
        <v>1264</v>
      </c>
      <c r="D15" s="32" t="s">
        <v>1270</v>
      </c>
      <c r="E15" s="32" t="s">
        <v>157</v>
      </c>
      <c r="F15" s="244" t="s">
        <v>1275</v>
      </c>
      <c r="G15" s="37"/>
      <c r="H15" s="118"/>
      <c r="I15" s="118"/>
      <c r="J15" s="165"/>
      <c r="K15" s="165"/>
      <c r="L15" s="165"/>
      <c r="M15" s="165"/>
      <c r="N15" s="165"/>
      <c r="O15" s="165"/>
      <c r="P15" s="165"/>
      <c r="Q15" s="165">
        <v>-827.73900000000003</v>
      </c>
      <c r="R15" s="165">
        <v>-827.73900000000003</v>
      </c>
      <c r="S15" s="165">
        <f t="shared" si="0"/>
        <v>-827.73900000000003</v>
      </c>
      <c r="T15" s="165">
        <v>0</v>
      </c>
      <c r="U15" s="165">
        <v>-827.73900000000003</v>
      </c>
      <c r="V15" s="165">
        <v>0</v>
      </c>
      <c r="W15" s="165">
        <v>0</v>
      </c>
      <c r="X15" s="165">
        <v>0</v>
      </c>
      <c r="Y15" s="165">
        <v>0</v>
      </c>
      <c r="Z15" s="165">
        <v>0</v>
      </c>
      <c r="AA15" s="165">
        <v>0</v>
      </c>
      <c r="AB15" s="165">
        <v>0</v>
      </c>
      <c r="AC15" s="165">
        <v>0</v>
      </c>
      <c r="AD15" s="165">
        <v>0</v>
      </c>
      <c r="AE15" s="165">
        <v>0</v>
      </c>
      <c r="AG15" s="165"/>
    </row>
    <row r="16" spans="1:33" s="158" customFormat="1" ht="16.25" customHeight="1" x14ac:dyDescent="0.4">
      <c r="A16" s="32" t="s">
        <v>1283</v>
      </c>
      <c r="B16" s="32" t="s">
        <v>1262</v>
      </c>
      <c r="C16" s="32" t="s">
        <v>1264</v>
      </c>
      <c r="D16" s="32" t="s">
        <v>1270</v>
      </c>
      <c r="E16" s="32" t="s">
        <v>157</v>
      </c>
      <c r="F16" s="244" t="s">
        <v>1275</v>
      </c>
      <c r="G16" s="37"/>
      <c r="H16" s="118"/>
      <c r="I16" s="118"/>
      <c r="J16" s="165"/>
      <c r="K16" s="165"/>
      <c r="L16" s="165"/>
      <c r="M16" s="165"/>
      <c r="N16" s="165"/>
      <c r="O16" s="165"/>
      <c r="P16" s="165"/>
      <c r="Q16" s="165">
        <v>159.51</v>
      </c>
      <c r="R16" s="165">
        <v>159.51</v>
      </c>
      <c r="S16" s="165">
        <f t="shared" si="0"/>
        <v>159.51</v>
      </c>
      <c r="T16" s="165">
        <v>159.51</v>
      </c>
      <c r="U16" s="165">
        <v>0</v>
      </c>
      <c r="V16" s="165">
        <v>0</v>
      </c>
      <c r="W16" s="165">
        <v>0</v>
      </c>
      <c r="X16" s="165">
        <v>0</v>
      </c>
      <c r="Y16" s="165">
        <v>0</v>
      </c>
      <c r="Z16" s="165">
        <v>0</v>
      </c>
      <c r="AA16" s="165">
        <v>0</v>
      </c>
      <c r="AB16" s="165">
        <v>0</v>
      </c>
      <c r="AC16" s="165">
        <v>0</v>
      </c>
      <c r="AD16" s="165">
        <v>0</v>
      </c>
      <c r="AE16" s="165">
        <v>0</v>
      </c>
      <c r="AG16" s="165"/>
    </row>
    <row r="17" spans="1:33" s="158" customFormat="1" ht="16.25" customHeight="1" x14ac:dyDescent="0.4">
      <c r="A17" s="32" t="s">
        <v>1284</v>
      </c>
      <c r="B17" s="32" t="s">
        <v>1262</v>
      </c>
      <c r="C17" s="32" t="s">
        <v>1264</v>
      </c>
      <c r="D17" s="32" t="s">
        <v>1271</v>
      </c>
      <c r="E17" s="15" t="s">
        <v>167</v>
      </c>
      <c r="F17" s="244" t="s">
        <v>1275</v>
      </c>
      <c r="G17" s="39">
        <v>50</v>
      </c>
      <c r="H17" s="118">
        <v>25</v>
      </c>
      <c r="I17" s="118">
        <v>25</v>
      </c>
      <c r="J17" s="165">
        <v>1000</v>
      </c>
      <c r="K17" s="165">
        <v>1000</v>
      </c>
      <c r="L17" s="165">
        <v>1000</v>
      </c>
      <c r="M17" s="165">
        <v>1000</v>
      </c>
      <c r="N17" s="165">
        <v>26.315999999999999</v>
      </c>
      <c r="O17" s="165">
        <v>26.315999999999999</v>
      </c>
      <c r="P17" s="165">
        <v>26.315999999999999</v>
      </c>
      <c r="Q17" s="165">
        <v>26.315999999999999</v>
      </c>
      <c r="R17" s="165">
        <v>26.315999999999999</v>
      </c>
      <c r="S17" s="165">
        <f t="shared" si="0"/>
        <v>26.315999999999999</v>
      </c>
      <c r="T17" s="165">
        <v>0</v>
      </c>
      <c r="U17" s="165">
        <v>0</v>
      </c>
      <c r="V17" s="165">
        <v>26.315999999999999</v>
      </c>
      <c r="W17" s="165">
        <v>0</v>
      </c>
      <c r="X17" s="165">
        <v>0</v>
      </c>
      <c r="Y17" s="165">
        <v>0</v>
      </c>
      <c r="Z17" s="165">
        <v>0</v>
      </c>
      <c r="AA17" s="165">
        <v>0</v>
      </c>
      <c r="AB17" s="165">
        <v>0</v>
      </c>
      <c r="AC17" s="165">
        <v>0</v>
      </c>
      <c r="AD17" s="165">
        <v>0</v>
      </c>
      <c r="AE17" s="165">
        <v>0</v>
      </c>
      <c r="AF17" s="165"/>
      <c r="AG17" s="165"/>
    </row>
    <row r="18" spans="1:33" s="158" customFormat="1" ht="16.25" customHeight="1" x14ac:dyDescent="0.4">
      <c r="A18" s="32"/>
      <c r="B18" s="32" t="s">
        <v>1262</v>
      </c>
      <c r="C18" s="32" t="s">
        <v>1264</v>
      </c>
      <c r="D18" s="32" t="s">
        <v>1274</v>
      </c>
      <c r="E18" s="15" t="s">
        <v>173</v>
      </c>
      <c r="F18" s="246" t="s">
        <v>1179</v>
      </c>
      <c r="G18" s="37">
        <v>531</v>
      </c>
      <c r="H18" s="118">
        <v>1154</v>
      </c>
      <c r="I18" s="118">
        <v>1154</v>
      </c>
      <c r="J18" s="165">
        <v>1154</v>
      </c>
      <c r="K18" s="165">
        <v>1154</v>
      </c>
      <c r="L18" s="165">
        <v>1154</v>
      </c>
      <c r="M18" s="165">
        <v>1054</v>
      </c>
      <c r="N18" s="165">
        <v>1052.393</v>
      </c>
      <c r="O18" s="165">
        <v>1052.393</v>
      </c>
      <c r="P18" s="165">
        <v>1043.10401</v>
      </c>
      <c r="Q18" s="165">
        <v>1041.10401</v>
      </c>
      <c r="R18" s="165">
        <v>1041.9390100000001</v>
      </c>
      <c r="S18" s="165">
        <f t="shared" si="0"/>
        <v>1041.9390100000001</v>
      </c>
      <c r="T18" s="165">
        <v>84.762</v>
      </c>
      <c r="U18" s="165">
        <v>152.48599999999999</v>
      </c>
      <c r="V18" s="165">
        <v>17.692</v>
      </c>
      <c r="W18" s="165">
        <v>25.058</v>
      </c>
      <c r="X18" s="165">
        <v>280.99700000000001</v>
      </c>
      <c r="Y18" s="165">
        <v>228.398</v>
      </c>
      <c r="Z18" s="165">
        <v>54.456000000000003</v>
      </c>
      <c r="AA18" s="165">
        <v>182.25501</v>
      </c>
      <c r="AB18" s="165">
        <v>2</v>
      </c>
      <c r="AC18" s="165">
        <v>10.835000000000001</v>
      </c>
      <c r="AD18" s="165">
        <v>13</v>
      </c>
      <c r="AE18" s="165">
        <v>-10</v>
      </c>
      <c r="AF18" s="165"/>
      <c r="AG18" s="165"/>
    </row>
    <row r="19" spans="1:33" s="158" customFormat="1" ht="16.25" customHeight="1" x14ac:dyDescent="0.4">
      <c r="A19" s="32"/>
      <c r="B19" s="32" t="s">
        <v>1262</v>
      </c>
      <c r="C19" s="32" t="s">
        <v>1264</v>
      </c>
      <c r="D19" s="32" t="s">
        <v>1270</v>
      </c>
      <c r="E19" s="32" t="s">
        <v>180</v>
      </c>
      <c r="F19" s="244" t="s">
        <v>1185</v>
      </c>
      <c r="G19" s="39">
        <v>1000</v>
      </c>
      <c r="H19" s="118">
        <v>1000</v>
      </c>
      <c r="I19" s="118">
        <v>1000</v>
      </c>
      <c r="J19" s="165">
        <v>999.9</v>
      </c>
      <c r="K19" s="165">
        <v>999.9</v>
      </c>
      <c r="L19" s="165">
        <v>999.9</v>
      </c>
      <c r="M19" s="165">
        <v>909</v>
      </c>
      <c r="N19" s="165">
        <v>908.31600000000003</v>
      </c>
      <c r="O19" s="165">
        <v>1000</v>
      </c>
      <c r="P19" s="165">
        <v>999.9050000000002</v>
      </c>
      <c r="Q19" s="165">
        <v>999.9050000000002</v>
      </c>
      <c r="R19" s="165">
        <v>999.92200000000025</v>
      </c>
      <c r="S19" s="165">
        <f t="shared" si="0"/>
        <v>999.92200000000025</v>
      </c>
      <c r="T19" s="165">
        <v>0</v>
      </c>
      <c r="U19" s="165">
        <v>0</v>
      </c>
      <c r="V19" s="165">
        <v>0</v>
      </c>
      <c r="W19" s="165">
        <v>0</v>
      </c>
      <c r="X19" s="165">
        <v>26.315999999999999</v>
      </c>
      <c r="Y19" s="165">
        <v>0</v>
      </c>
      <c r="Z19" s="165">
        <v>0</v>
      </c>
      <c r="AA19" s="165">
        <v>512.58900000000006</v>
      </c>
      <c r="AB19" s="165">
        <v>527</v>
      </c>
      <c r="AC19" s="165">
        <v>-252.983</v>
      </c>
      <c r="AD19" s="165">
        <v>120</v>
      </c>
      <c r="AE19" s="165">
        <v>67</v>
      </c>
      <c r="AF19" s="165"/>
      <c r="AG19" s="165"/>
    </row>
    <row r="20" spans="1:33" s="158" customFormat="1" ht="16.25" customHeight="1" x14ac:dyDescent="0.4">
      <c r="A20" s="32" t="s">
        <v>1280</v>
      </c>
      <c r="B20" s="32" t="s">
        <v>1262</v>
      </c>
      <c r="C20" s="32" t="s">
        <v>1264</v>
      </c>
      <c r="D20" s="32" t="s">
        <v>1274</v>
      </c>
      <c r="E20" s="15" t="s">
        <v>187</v>
      </c>
      <c r="F20" s="246" t="s">
        <v>1179</v>
      </c>
      <c r="G20" s="39">
        <v>211.7</v>
      </c>
      <c r="H20" s="118">
        <v>104</v>
      </c>
      <c r="I20" s="118">
        <v>104</v>
      </c>
      <c r="J20" s="165">
        <v>104</v>
      </c>
      <c r="K20" s="165">
        <v>103.035</v>
      </c>
      <c r="L20" s="165">
        <v>91</v>
      </c>
      <c r="M20" s="165">
        <v>84</v>
      </c>
      <c r="N20" s="165">
        <v>89.320999999999998</v>
      </c>
      <c r="O20" s="165">
        <v>89.320999999999998</v>
      </c>
      <c r="P20" s="165">
        <v>86.222000000000008</v>
      </c>
      <c r="Q20" s="165">
        <v>85.241000000000014</v>
      </c>
      <c r="R20" s="165">
        <v>85.737000000000009</v>
      </c>
      <c r="S20" s="165">
        <f t="shared" si="0"/>
        <v>85.737000000000009</v>
      </c>
      <c r="T20" s="165">
        <v>5.9610000000000003</v>
      </c>
      <c r="U20" s="165">
        <v>22.684000000000001</v>
      </c>
      <c r="V20" s="165">
        <v>18.425999999999998</v>
      </c>
      <c r="W20" s="165">
        <v>7.5869999999999997</v>
      </c>
      <c r="X20" s="165">
        <v>4.194</v>
      </c>
      <c r="Y20" s="165">
        <v>2.5059999999999998</v>
      </c>
      <c r="Z20" s="165">
        <v>0</v>
      </c>
      <c r="AA20" s="165">
        <v>12.864000000000001</v>
      </c>
      <c r="AB20" s="165">
        <v>0</v>
      </c>
      <c r="AC20" s="165">
        <v>11.515000000000001</v>
      </c>
      <c r="AD20" s="165">
        <v>0</v>
      </c>
      <c r="AE20" s="165">
        <v>0</v>
      </c>
      <c r="AF20" s="165"/>
      <c r="AG20" s="165"/>
    </row>
    <row r="21" spans="1:33" s="158" customFormat="1" ht="16.25" customHeight="1" x14ac:dyDescent="0.4">
      <c r="A21" s="32" t="s">
        <v>1279</v>
      </c>
      <c r="B21" s="32" t="s">
        <v>1262</v>
      </c>
      <c r="C21" s="32" t="s">
        <v>1264</v>
      </c>
      <c r="D21" s="32" t="s">
        <v>1271</v>
      </c>
      <c r="E21" s="15" t="s">
        <v>190</v>
      </c>
      <c r="F21" s="244" t="s">
        <v>1276</v>
      </c>
      <c r="G21" s="37">
        <v>0</v>
      </c>
      <c r="H21" s="118">
        <v>0</v>
      </c>
      <c r="I21" s="118">
        <v>0</v>
      </c>
      <c r="J21" s="165">
        <v>0</v>
      </c>
      <c r="K21" s="165">
        <v>0</v>
      </c>
      <c r="L21" s="165">
        <v>0</v>
      </c>
      <c r="M21" s="165">
        <v>0</v>
      </c>
      <c r="N21" s="165">
        <v>0</v>
      </c>
      <c r="O21" s="165">
        <v>0</v>
      </c>
      <c r="P21" s="165">
        <v>0</v>
      </c>
      <c r="Q21" s="165">
        <v>0</v>
      </c>
      <c r="R21" s="165">
        <v>0</v>
      </c>
      <c r="S21" s="165">
        <f t="shared" si="0"/>
        <v>0</v>
      </c>
      <c r="T21" s="165">
        <v>0</v>
      </c>
      <c r="U21" s="165">
        <v>0</v>
      </c>
      <c r="V21" s="165">
        <v>0</v>
      </c>
      <c r="W21" s="165">
        <v>0</v>
      </c>
      <c r="X21" s="165">
        <v>0</v>
      </c>
      <c r="Y21" s="165">
        <v>0</v>
      </c>
      <c r="Z21" s="165">
        <v>0</v>
      </c>
      <c r="AA21" s="165">
        <v>0</v>
      </c>
      <c r="AB21" s="165">
        <v>0</v>
      </c>
      <c r="AC21" s="165">
        <v>0</v>
      </c>
      <c r="AD21" s="165">
        <v>0</v>
      </c>
      <c r="AE21" s="165">
        <v>0</v>
      </c>
    </row>
    <row r="22" spans="1:33" s="158" customFormat="1" ht="16.25" customHeight="1" x14ac:dyDescent="0.4">
      <c r="A22" s="32" t="s">
        <v>1279</v>
      </c>
      <c r="B22" s="32" t="s">
        <v>1262</v>
      </c>
      <c r="C22" s="32" t="s">
        <v>1264</v>
      </c>
      <c r="D22" s="32" t="s">
        <v>1271</v>
      </c>
      <c r="E22" s="15" t="s">
        <v>190</v>
      </c>
      <c r="F22" s="244" t="s">
        <v>1276</v>
      </c>
      <c r="G22" s="37">
        <v>0</v>
      </c>
      <c r="H22" s="118">
        <v>0</v>
      </c>
      <c r="I22" s="118">
        <v>0</v>
      </c>
      <c r="J22" s="165">
        <v>0</v>
      </c>
      <c r="K22" s="165">
        <v>0</v>
      </c>
      <c r="L22" s="165">
        <v>0</v>
      </c>
      <c r="M22" s="165">
        <v>0</v>
      </c>
      <c r="N22" s="165">
        <v>0</v>
      </c>
      <c r="O22" s="165">
        <v>0</v>
      </c>
      <c r="P22" s="165">
        <v>0</v>
      </c>
      <c r="Q22" s="165">
        <v>0</v>
      </c>
      <c r="R22" s="165">
        <v>0</v>
      </c>
      <c r="S22" s="165">
        <f t="shared" ref="S22:S24" si="1">SUM(T22:AE22)</f>
        <v>0</v>
      </c>
      <c r="T22" s="165">
        <v>0</v>
      </c>
      <c r="U22" s="165">
        <v>0</v>
      </c>
      <c r="V22" s="165">
        <v>0</v>
      </c>
      <c r="W22" s="165">
        <v>0</v>
      </c>
      <c r="X22" s="165">
        <v>0</v>
      </c>
      <c r="Y22" s="165">
        <v>0</v>
      </c>
      <c r="Z22" s="165">
        <v>0</v>
      </c>
      <c r="AA22" s="165">
        <v>0</v>
      </c>
      <c r="AB22" s="165">
        <v>0</v>
      </c>
      <c r="AC22" s="165">
        <v>0</v>
      </c>
      <c r="AD22" s="165">
        <v>0</v>
      </c>
      <c r="AE22" s="165">
        <v>0</v>
      </c>
    </row>
    <row r="23" spans="1:33" s="158" customFormat="1" ht="16.25" customHeight="1" x14ac:dyDescent="0.4">
      <c r="A23" s="32" t="s">
        <v>1279</v>
      </c>
      <c r="B23" s="32" t="s">
        <v>1262</v>
      </c>
      <c r="C23" s="32" t="s">
        <v>1264</v>
      </c>
      <c r="D23" s="32" t="s">
        <v>1271</v>
      </c>
      <c r="E23" s="15" t="s">
        <v>190</v>
      </c>
      <c r="F23" s="244" t="s">
        <v>1276</v>
      </c>
      <c r="G23" s="37">
        <v>0</v>
      </c>
      <c r="H23" s="118">
        <v>0</v>
      </c>
      <c r="I23" s="118">
        <v>0</v>
      </c>
      <c r="J23" s="165">
        <v>0</v>
      </c>
      <c r="K23" s="165">
        <v>0</v>
      </c>
      <c r="L23" s="165">
        <v>0</v>
      </c>
      <c r="M23" s="165">
        <v>0</v>
      </c>
      <c r="N23" s="165">
        <v>0</v>
      </c>
      <c r="O23" s="165">
        <v>0</v>
      </c>
      <c r="P23" s="165">
        <v>0</v>
      </c>
      <c r="Q23" s="165">
        <v>0</v>
      </c>
      <c r="R23" s="165">
        <v>0</v>
      </c>
      <c r="S23" s="165">
        <f t="shared" si="1"/>
        <v>0</v>
      </c>
      <c r="T23" s="165">
        <v>0</v>
      </c>
      <c r="U23" s="165">
        <v>0</v>
      </c>
      <c r="V23" s="165">
        <v>0</v>
      </c>
      <c r="W23" s="165">
        <v>0</v>
      </c>
      <c r="X23" s="165">
        <v>0</v>
      </c>
      <c r="Y23" s="165">
        <v>0</v>
      </c>
      <c r="Z23" s="165">
        <v>0</v>
      </c>
      <c r="AA23" s="165">
        <v>0</v>
      </c>
      <c r="AB23" s="165">
        <v>0</v>
      </c>
      <c r="AC23" s="165">
        <v>0</v>
      </c>
      <c r="AD23" s="165">
        <v>0</v>
      </c>
      <c r="AE23" s="165">
        <v>0</v>
      </c>
    </row>
    <row r="24" spans="1:33" s="158" customFormat="1" ht="16.25" customHeight="1" x14ac:dyDescent="0.4">
      <c r="A24" s="32" t="s">
        <v>1279</v>
      </c>
      <c r="B24" s="32" t="s">
        <v>1262</v>
      </c>
      <c r="C24" s="32" t="s">
        <v>1264</v>
      </c>
      <c r="D24" s="32" t="s">
        <v>1271</v>
      </c>
      <c r="E24" s="32" t="s">
        <v>190</v>
      </c>
      <c r="F24" s="244" t="s">
        <v>1276</v>
      </c>
      <c r="G24" s="37">
        <v>0</v>
      </c>
      <c r="H24" s="118">
        <v>0</v>
      </c>
      <c r="I24" s="118">
        <v>0</v>
      </c>
      <c r="J24" s="165">
        <v>0</v>
      </c>
      <c r="K24" s="165">
        <v>0</v>
      </c>
      <c r="L24" s="165">
        <v>0</v>
      </c>
      <c r="M24" s="165">
        <v>0</v>
      </c>
      <c r="N24" s="165">
        <v>0</v>
      </c>
      <c r="O24" s="165">
        <v>0</v>
      </c>
      <c r="P24" s="165">
        <v>0</v>
      </c>
      <c r="Q24" s="165">
        <v>0</v>
      </c>
      <c r="R24" s="165">
        <v>0</v>
      </c>
      <c r="S24" s="165">
        <f t="shared" si="1"/>
        <v>0</v>
      </c>
      <c r="T24" s="165">
        <v>0</v>
      </c>
      <c r="U24" s="165">
        <v>0</v>
      </c>
      <c r="V24" s="165">
        <v>0</v>
      </c>
      <c r="W24" s="165">
        <v>0</v>
      </c>
      <c r="X24" s="165">
        <v>0</v>
      </c>
      <c r="Y24" s="165">
        <v>0</v>
      </c>
      <c r="Z24" s="165">
        <v>0</v>
      </c>
      <c r="AA24" s="165">
        <v>0</v>
      </c>
      <c r="AB24" s="165">
        <v>0</v>
      </c>
      <c r="AC24" s="165">
        <v>0</v>
      </c>
      <c r="AD24" s="165">
        <v>0</v>
      </c>
      <c r="AE24" s="165">
        <v>0</v>
      </c>
    </row>
    <row r="25" spans="1:33" s="158" customFormat="1" ht="16.25" customHeight="1" x14ac:dyDescent="0.4">
      <c r="A25" s="32" t="s">
        <v>1279</v>
      </c>
      <c r="B25" s="32" t="s">
        <v>1262</v>
      </c>
      <c r="C25" s="32" t="s">
        <v>1264</v>
      </c>
      <c r="D25" s="32" t="s">
        <v>1271</v>
      </c>
      <c r="E25" s="15" t="s">
        <v>190</v>
      </c>
      <c r="F25" s="244" t="s">
        <v>1276</v>
      </c>
      <c r="G25" s="37">
        <v>647</v>
      </c>
      <c r="H25" s="118">
        <v>592.22799999999995</v>
      </c>
      <c r="I25" s="118">
        <v>591.54699999999991</v>
      </c>
      <c r="J25" s="165">
        <v>591.54699999999991</v>
      </c>
      <c r="K25" s="165">
        <v>593.12</v>
      </c>
      <c r="L25" s="165">
        <v>590.84099999999989</v>
      </c>
      <c r="M25" s="165">
        <v>532</v>
      </c>
      <c r="N25" s="165">
        <v>531.76699999999983</v>
      </c>
      <c r="O25" s="165">
        <v>531.76699999999983</v>
      </c>
      <c r="P25" s="165">
        <v>527.77699999999993</v>
      </c>
      <c r="Q25" s="165">
        <v>629.54599999999994</v>
      </c>
      <c r="R25" s="165">
        <v>629.54599999999994</v>
      </c>
      <c r="S25" s="165">
        <f t="shared" ref="S25:S34" si="2">SUM(T25:AE25)</f>
        <v>629.54599999999994</v>
      </c>
      <c r="T25" s="165">
        <v>98.674999999999997</v>
      </c>
      <c r="U25" s="165">
        <v>163.30099999999999</v>
      </c>
      <c r="V25" s="165">
        <v>16.010000000000002</v>
      </c>
      <c r="W25" s="165">
        <v>85.891000000000005</v>
      </c>
      <c r="X25" s="165">
        <v>49.997</v>
      </c>
      <c r="Y25" s="165">
        <v>166.89599999999999</v>
      </c>
      <c r="Z25" s="165">
        <v>32.951999999999998</v>
      </c>
      <c r="AA25" s="165">
        <v>3.2349999999999999</v>
      </c>
      <c r="AB25" s="165">
        <v>12.308999999999999</v>
      </c>
      <c r="AC25" s="165">
        <v>0.28000000000000003</v>
      </c>
      <c r="AD25" s="165">
        <v>0</v>
      </c>
      <c r="AE25" s="165">
        <v>0</v>
      </c>
      <c r="AF25" s="165"/>
      <c r="AG25" s="165"/>
    </row>
    <row r="26" spans="1:33" s="158" customFormat="1" ht="16.25" customHeight="1" x14ac:dyDescent="0.4">
      <c r="A26" s="32" t="s">
        <v>1279</v>
      </c>
      <c r="B26" s="32" t="s">
        <v>1262</v>
      </c>
      <c r="C26" s="32" t="s">
        <v>1264</v>
      </c>
      <c r="D26" s="32" t="s">
        <v>1271</v>
      </c>
      <c r="E26" s="15" t="s">
        <v>190</v>
      </c>
      <c r="F26" s="244" t="s">
        <v>1276</v>
      </c>
      <c r="G26" s="37"/>
      <c r="H26" s="118"/>
      <c r="I26" s="118"/>
      <c r="J26" s="165"/>
      <c r="K26" s="165"/>
      <c r="L26" s="165"/>
      <c r="M26" s="165"/>
      <c r="N26" s="165"/>
      <c r="O26" s="165"/>
      <c r="P26" s="165"/>
      <c r="Q26" s="165">
        <v>-127.431</v>
      </c>
      <c r="R26" s="165">
        <v>-127.431</v>
      </c>
      <c r="S26" s="165">
        <f t="shared" si="2"/>
        <v>-127.431</v>
      </c>
      <c r="T26" s="165">
        <v>-127.431</v>
      </c>
      <c r="U26" s="165">
        <v>0</v>
      </c>
      <c r="V26" s="165">
        <v>0</v>
      </c>
      <c r="W26" s="165">
        <v>0</v>
      </c>
      <c r="X26" s="165">
        <v>0</v>
      </c>
      <c r="Y26" s="165">
        <v>0</v>
      </c>
      <c r="Z26" s="165">
        <v>0</v>
      </c>
      <c r="AA26" s="165">
        <v>0</v>
      </c>
      <c r="AB26" s="165">
        <v>0</v>
      </c>
      <c r="AC26" s="165">
        <v>0</v>
      </c>
      <c r="AD26" s="165">
        <v>0</v>
      </c>
      <c r="AE26" s="165">
        <v>0</v>
      </c>
      <c r="AG26" s="165"/>
    </row>
    <row r="27" spans="1:33" s="158" customFormat="1" ht="16.25" customHeight="1" x14ac:dyDescent="0.4">
      <c r="A27" s="32" t="s">
        <v>1279</v>
      </c>
      <c r="B27" s="32" t="s">
        <v>1262</v>
      </c>
      <c r="C27" s="32" t="s">
        <v>1264</v>
      </c>
      <c r="D27" s="32" t="s">
        <v>1271</v>
      </c>
      <c r="E27" s="15" t="s">
        <v>190</v>
      </c>
      <c r="F27" s="244" t="s">
        <v>1276</v>
      </c>
      <c r="G27" s="37"/>
      <c r="H27" s="118"/>
      <c r="I27" s="118"/>
      <c r="J27" s="165"/>
      <c r="K27" s="165"/>
      <c r="L27" s="165"/>
      <c r="M27" s="165"/>
      <c r="N27" s="165"/>
      <c r="O27" s="165"/>
      <c r="P27" s="165"/>
      <c r="Q27" s="165">
        <v>25.486000000000001</v>
      </c>
      <c r="R27" s="165">
        <v>25.486000000000001</v>
      </c>
      <c r="S27" s="165">
        <f t="shared" si="2"/>
        <v>25.486000000000001</v>
      </c>
      <c r="T27" s="165">
        <v>25.486000000000001</v>
      </c>
      <c r="U27" s="165">
        <v>0</v>
      </c>
      <c r="V27" s="165">
        <v>0</v>
      </c>
      <c r="W27" s="165">
        <v>0</v>
      </c>
      <c r="X27" s="165">
        <v>0</v>
      </c>
      <c r="Y27" s="165">
        <v>0</v>
      </c>
      <c r="Z27" s="165">
        <v>0</v>
      </c>
      <c r="AA27" s="165">
        <v>0</v>
      </c>
      <c r="AB27" s="165">
        <v>0</v>
      </c>
      <c r="AC27" s="165">
        <v>0</v>
      </c>
      <c r="AD27" s="165">
        <v>0</v>
      </c>
      <c r="AE27" s="165">
        <v>0</v>
      </c>
      <c r="AG27" s="165"/>
    </row>
    <row r="28" spans="1:33" s="158" customFormat="1" ht="16.25" customHeight="1" x14ac:dyDescent="0.4">
      <c r="A28" s="32"/>
      <c r="B28" s="32" t="s">
        <v>1262</v>
      </c>
      <c r="C28" s="32" t="s">
        <v>1264</v>
      </c>
      <c r="D28" s="32" t="s">
        <v>1274</v>
      </c>
      <c r="E28" s="32" t="s">
        <v>208</v>
      </c>
      <c r="F28" s="246" t="s">
        <v>1179</v>
      </c>
      <c r="G28" s="45">
        <v>1081</v>
      </c>
      <c r="H28" s="118">
        <v>1045</v>
      </c>
      <c r="I28" s="118">
        <v>1045</v>
      </c>
      <c r="J28" s="165">
        <v>1070</v>
      </c>
      <c r="K28" s="165">
        <v>1045.886</v>
      </c>
      <c r="L28" s="165">
        <v>1058.787</v>
      </c>
      <c r="M28" s="165">
        <v>1058.787</v>
      </c>
      <c r="N28" s="165">
        <v>1067.27</v>
      </c>
      <c r="O28" s="165">
        <v>1067.27</v>
      </c>
      <c r="P28" s="165">
        <v>1567</v>
      </c>
      <c r="Q28" s="165">
        <v>1575.9425799999999</v>
      </c>
      <c r="R28" s="165">
        <v>1629.48858</v>
      </c>
      <c r="S28" s="165">
        <f t="shared" si="2"/>
        <v>1629.48858</v>
      </c>
      <c r="T28" s="165">
        <v>0</v>
      </c>
      <c r="U28" s="165">
        <v>0</v>
      </c>
      <c r="V28" s="165">
        <v>28.998000000000001</v>
      </c>
      <c r="W28" s="165">
        <v>111.901</v>
      </c>
      <c r="X28" s="165">
        <v>91.84</v>
      </c>
      <c r="Y28" s="165">
        <v>131.53100000000001</v>
      </c>
      <c r="Z28" s="165">
        <v>63.872999999999998</v>
      </c>
      <c r="AA28" s="165">
        <v>23.833579999999998</v>
      </c>
      <c r="AB28" s="165">
        <v>141.96600000000001</v>
      </c>
      <c r="AC28" s="165">
        <v>141.54599999999999</v>
      </c>
      <c r="AD28" s="165">
        <v>167</v>
      </c>
      <c r="AE28" s="165">
        <v>727</v>
      </c>
      <c r="AF28" s="165"/>
      <c r="AG28" s="165"/>
    </row>
    <row r="29" spans="1:33" s="158" customFormat="1" ht="16.25" customHeight="1" x14ac:dyDescent="0.4">
      <c r="A29" s="32"/>
      <c r="B29" s="32" t="s">
        <v>1262</v>
      </c>
      <c r="C29" s="32" t="s">
        <v>1264</v>
      </c>
      <c r="D29" s="32" t="s">
        <v>1274</v>
      </c>
      <c r="E29" s="32" t="s">
        <v>211</v>
      </c>
      <c r="F29" s="244" t="s">
        <v>1185</v>
      </c>
      <c r="G29" s="45">
        <v>568</v>
      </c>
      <c r="H29" s="118">
        <v>512</v>
      </c>
      <c r="I29" s="118">
        <v>512</v>
      </c>
      <c r="J29" s="165">
        <v>1126</v>
      </c>
      <c r="K29" s="165">
        <v>1016</v>
      </c>
      <c r="L29" s="165">
        <v>1016</v>
      </c>
      <c r="M29" s="165">
        <v>1023</v>
      </c>
      <c r="N29" s="165">
        <v>1322.8420000000001</v>
      </c>
      <c r="O29" s="165">
        <v>1266</v>
      </c>
      <c r="P29" s="165">
        <v>1661.268</v>
      </c>
      <c r="Q29" s="165">
        <v>1525.268</v>
      </c>
      <c r="R29" s="165">
        <v>1211.79</v>
      </c>
      <c r="S29" s="165">
        <f t="shared" si="2"/>
        <v>1211.79</v>
      </c>
      <c r="T29" s="165">
        <v>0</v>
      </c>
      <c r="U29" s="165">
        <v>0</v>
      </c>
      <c r="V29" s="165">
        <v>0</v>
      </c>
      <c r="W29" s="165">
        <v>3.956</v>
      </c>
      <c r="X29" s="165">
        <v>37.783000000000001</v>
      </c>
      <c r="Y29" s="165">
        <v>93.102999999999994</v>
      </c>
      <c r="Z29" s="165">
        <v>85.426000000000002</v>
      </c>
      <c r="AA29" s="165">
        <v>26</v>
      </c>
      <c r="AB29" s="165">
        <v>196</v>
      </c>
      <c r="AC29" s="165">
        <v>68.522000000000006</v>
      </c>
      <c r="AD29" s="165">
        <v>265</v>
      </c>
      <c r="AE29" s="165">
        <v>436</v>
      </c>
      <c r="AF29" s="165"/>
      <c r="AG29" s="165"/>
    </row>
    <row r="30" spans="1:33" s="158" customFormat="1" ht="16.25" customHeight="1" x14ac:dyDescent="0.4">
      <c r="A30" s="32"/>
      <c r="B30" s="32" t="s">
        <v>1262</v>
      </c>
      <c r="C30" s="32" t="s">
        <v>1264</v>
      </c>
      <c r="D30" s="32" t="s">
        <v>1271</v>
      </c>
      <c r="E30" s="32" t="s">
        <v>211</v>
      </c>
      <c r="F30" s="244" t="s">
        <v>1185</v>
      </c>
      <c r="G30" s="37"/>
      <c r="H30" s="118"/>
      <c r="I30" s="118"/>
      <c r="J30" s="165"/>
      <c r="K30" s="165"/>
      <c r="L30" s="165"/>
      <c r="M30" s="165">
        <v>50</v>
      </c>
      <c r="N30" s="165">
        <v>50</v>
      </c>
      <c r="O30" s="165">
        <v>50</v>
      </c>
      <c r="P30" s="165">
        <v>35</v>
      </c>
      <c r="Q30" s="165">
        <v>0</v>
      </c>
      <c r="R30" s="165">
        <v>0</v>
      </c>
      <c r="S30" s="165">
        <f t="shared" si="2"/>
        <v>0</v>
      </c>
      <c r="T30" s="165">
        <v>0</v>
      </c>
      <c r="U30" s="165">
        <v>0</v>
      </c>
      <c r="V30" s="165">
        <v>0</v>
      </c>
      <c r="W30" s="165">
        <v>0</v>
      </c>
      <c r="X30" s="165">
        <v>0</v>
      </c>
      <c r="Y30" s="165">
        <v>0</v>
      </c>
      <c r="Z30" s="165">
        <v>0</v>
      </c>
      <c r="AA30" s="165">
        <v>0</v>
      </c>
      <c r="AB30" s="165">
        <v>0</v>
      </c>
      <c r="AC30" s="165">
        <v>0</v>
      </c>
      <c r="AD30" s="165">
        <v>0</v>
      </c>
      <c r="AE30" s="165">
        <v>0</v>
      </c>
      <c r="AF30" s="165"/>
    </row>
    <row r="31" spans="1:33" s="158" customFormat="1" ht="16.25" customHeight="1" x14ac:dyDescent="0.4">
      <c r="A31" s="32"/>
      <c r="B31" s="32" t="s">
        <v>1262</v>
      </c>
      <c r="C31" s="32" t="s">
        <v>1264</v>
      </c>
      <c r="D31" s="32" t="s">
        <v>1274</v>
      </c>
      <c r="E31" s="32" t="s">
        <v>211</v>
      </c>
      <c r="F31" s="244" t="s">
        <v>1185</v>
      </c>
      <c r="G31" s="37"/>
      <c r="H31" s="118"/>
      <c r="I31" s="118"/>
      <c r="J31" s="165"/>
      <c r="K31" s="165"/>
      <c r="L31" s="165"/>
      <c r="M31" s="165"/>
      <c r="N31" s="165"/>
      <c r="O31" s="165"/>
      <c r="P31" s="165"/>
      <c r="Q31" s="165">
        <v>0</v>
      </c>
      <c r="R31" s="165">
        <v>52.338000000000001</v>
      </c>
      <c r="S31" s="165">
        <f t="shared" si="2"/>
        <v>52.338000000000001</v>
      </c>
      <c r="T31" s="165">
        <v>0</v>
      </c>
      <c r="U31" s="165">
        <v>0</v>
      </c>
      <c r="V31" s="165">
        <v>0</v>
      </c>
      <c r="W31" s="165">
        <v>0</v>
      </c>
      <c r="X31" s="165">
        <v>0</v>
      </c>
      <c r="Y31" s="165">
        <v>0</v>
      </c>
      <c r="Z31" s="165">
        <v>0</v>
      </c>
      <c r="AA31" s="165">
        <v>0</v>
      </c>
      <c r="AB31" s="165">
        <v>0</v>
      </c>
      <c r="AC31" s="165">
        <v>52.338000000000001</v>
      </c>
      <c r="AD31" s="165">
        <v>0</v>
      </c>
      <c r="AE31" s="165">
        <v>0</v>
      </c>
      <c r="AG31" s="165"/>
    </row>
    <row r="32" spans="1:33" s="158" customFormat="1" ht="16.25" customHeight="1" x14ac:dyDescent="0.4">
      <c r="A32" s="32"/>
      <c r="B32" s="32" t="s">
        <v>1262</v>
      </c>
      <c r="C32" s="32" t="s">
        <v>1264</v>
      </c>
      <c r="D32" s="32" t="s">
        <v>1271</v>
      </c>
      <c r="E32" s="15" t="s">
        <v>217</v>
      </c>
      <c r="F32" s="244" t="s">
        <v>1276</v>
      </c>
      <c r="G32" s="37"/>
      <c r="H32" s="118"/>
      <c r="I32" s="118"/>
      <c r="J32" s="165"/>
      <c r="K32" s="165"/>
      <c r="L32" s="165"/>
      <c r="M32" s="165"/>
      <c r="N32" s="165">
        <v>0</v>
      </c>
      <c r="O32" s="165">
        <v>0</v>
      </c>
      <c r="P32" s="165">
        <v>0</v>
      </c>
      <c r="Q32" s="165">
        <v>0</v>
      </c>
      <c r="R32" s="165">
        <v>0</v>
      </c>
      <c r="S32" s="165">
        <f t="shared" si="2"/>
        <v>0</v>
      </c>
      <c r="T32" s="165"/>
      <c r="U32" s="165"/>
      <c r="V32" s="165"/>
      <c r="W32" s="165"/>
      <c r="X32" s="165"/>
      <c r="Y32" s="165"/>
      <c r="Z32" s="165"/>
      <c r="AA32" s="165"/>
      <c r="AB32" s="165"/>
      <c r="AC32" s="165">
        <v>0</v>
      </c>
      <c r="AD32" s="165"/>
      <c r="AE32" s="165"/>
    </row>
    <row r="33" spans="1:53" s="158" customFormat="1" ht="16.25" customHeight="1" x14ac:dyDescent="0.4">
      <c r="A33" s="32"/>
      <c r="B33" s="32" t="s">
        <v>1262</v>
      </c>
      <c r="C33" s="32" t="s">
        <v>1264</v>
      </c>
      <c r="D33" s="32" t="s">
        <v>1271</v>
      </c>
      <c r="E33" s="15" t="s">
        <v>217</v>
      </c>
      <c r="F33" s="244" t="s">
        <v>1276</v>
      </c>
      <c r="G33" s="39"/>
      <c r="H33" s="118"/>
      <c r="I33" s="118"/>
      <c r="J33" s="165">
        <v>320</v>
      </c>
      <c r="K33" s="165">
        <v>184.5</v>
      </c>
      <c r="L33" s="165">
        <v>190</v>
      </c>
      <c r="M33" s="165">
        <v>190</v>
      </c>
      <c r="N33" s="165">
        <v>189.148</v>
      </c>
      <c r="O33" s="165">
        <v>189.148</v>
      </c>
      <c r="P33" s="165">
        <v>198.71800000000002</v>
      </c>
      <c r="Q33" s="165">
        <v>212.71800000000002</v>
      </c>
      <c r="R33" s="165">
        <v>222.209</v>
      </c>
      <c r="S33" s="165">
        <f t="shared" si="2"/>
        <v>222.209</v>
      </c>
      <c r="T33" s="165">
        <v>0</v>
      </c>
      <c r="U33" s="165">
        <v>0</v>
      </c>
      <c r="V33" s="165">
        <v>0</v>
      </c>
      <c r="W33" s="165">
        <v>0</v>
      </c>
      <c r="X33" s="165">
        <v>3.0049999999999999</v>
      </c>
      <c r="Y33" s="165">
        <v>26.143000000000001</v>
      </c>
      <c r="Z33" s="165">
        <v>22.57</v>
      </c>
      <c r="AA33" s="165">
        <v>2.827</v>
      </c>
      <c r="AB33" s="165">
        <v>47.508000000000003</v>
      </c>
      <c r="AC33" s="165">
        <v>44.155999999999999</v>
      </c>
      <c r="AD33" s="165">
        <v>4</v>
      </c>
      <c r="AE33" s="165">
        <v>72</v>
      </c>
      <c r="AG33" s="165"/>
    </row>
    <row r="34" spans="1:53" s="34" customFormat="1" ht="16.25" customHeight="1" x14ac:dyDescent="0.4">
      <c r="A34" s="32"/>
      <c r="B34" s="32" t="s">
        <v>1262</v>
      </c>
      <c r="C34" s="32" t="s">
        <v>1264</v>
      </c>
      <c r="D34" s="32" t="s">
        <v>1270</v>
      </c>
      <c r="E34" s="15" t="s">
        <v>220</v>
      </c>
      <c r="F34" s="244" t="s">
        <v>1276</v>
      </c>
      <c r="G34" s="37"/>
      <c r="H34" s="118"/>
      <c r="I34" s="118"/>
      <c r="J34" s="165"/>
      <c r="K34" s="165"/>
      <c r="L34" s="165"/>
      <c r="M34" s="165"/>
      <c r="N34" s="165"/>
      <c r="O34" s="165"/>
      <c r="P34" s="165">
        <v>0</v>
      </c>
      <c r="Q34" s="165">
        <v>36</v>
      </c>
      <c r="R34" s="165">
        <v>36</v>
      </c>
      <c r="S34" s="165">
        <f t="shared" si="2"/>
        <v>36</v>
      </c>
      <c r="T34" s="165">
        <v>0</v>
      </c>
      <c r="U34" s="165">
        <v>0</v>
      </c>
      <c r="V34" s="165">
        <v>0</v>
      </c>
      <c r="W34" s="165">
        <v>0</v>
      </c>
      <c r="X34" s="165">
        <v>0</v>
      </c>
      <c r="Y34" s="165">
        <v>0</v>
      </c>
      <c r="Z34" s="165">
        <v>0</v>
      </c>
      <c r="AA34" s="165">
        <v>0</v>
      </c>
      <c r="AB34" s="165">
        <v>0</v>
      </c>
      <c r="AC34" s="165">
        <v>0</v>
      </c>
      <c r="AD34" s="165">
        <v>12</v>
      </c>
      <c r="AE34" s="165">
        <v>24</v>
      </c>
      <c r="AF34" s="158"/>
      <c r="AG34" s="165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</row>
    <row r="35" spans="1:53" s="158" customFormat="1" ht="16.25" customHeight="1" x14ac:dyDescent="0.4">
      <c r="A35" s="32"/>
      <c r="B35" s="32" t="s">
        <v>1262</v>
      </c>
      <c r="C35" s="32" t="s">
        <v>1264</v>
      </c>
      <c r="D35" s="32" t="s">
        <v>1271</v>
      </c>
      <c r="E35" s="32" t="s">
        <v>221</v>
      </c>
      <c r="F35" s="246" t="s">
        <v>1179</v>
      </c>
      <c r="G35" s="37">
        <v>25</v>
      </c>
      <c r="H35" s="118">
        <v>25</v>
      </c>
      <c r="I35" s="118">
        <v>0</v>
      </c>
      <c r="J35" s="165">
        <v>0</v>
      </c>
      <c r="K35" s="165">
        <v>0</v>
      </c>
      <c r="L35" s="165">
        <v>0</v>
      </c>
      <c r="M35" s="165">
        <v>0</v>
      </c>
      <c r="N35" s="165">
        <v>0</v>
      </c>
      <c r="O35" s="165">
        <v>0</v>
      </c>
      <c r="P35" s="165">
        <v>0</v>
      </c>
      <c r="Q35" s="165">
        <v>0</v>
      </c>
      <c r="R35" s="165">
        <v>0</v>
      </c>
      <c r="S35" s="165">
        <f t="shared" ref="S35:S36" si="3">SUM(T35:AE35)</f>
        <v>0</v>
      </c>
      <c r="T35" s="165">
        <v>0</v>
      </c>
      <c r="U35" s="165">
        <v>0</v>
      </c>
      <c r="V35" s="165">
        <v>0</v>
      </c>
      <c r="W35" s="165">
        <v>0</v>
      </c>
      <c r="X35" s="165">
        <v>0</v>
      </c>
      <c r="Y35" s="165">
        <v>0</v>
      </c>
      <c r="Z35" s="165">
        <v>0</v>
      </c>
      <c r="AA35" s="165">
        <v>0</v>
      </c>
      <c r="AB35" s="165">
        <v>0</v>
      </c>
      <c r="AC35" s="165">
        <v>0</v>
      </c>
      <c r="AD35" s="165">
        <v>0</v>
      </c>
      <c r="AE35" s="165">
        <v>0</v>
      </c>
    </row>
    <row r="36" spans="1:53" s="158" customFormat="1" ht="16.25" customHeight="1" x14ac:dyDescent="0.4">
      <c r="A36" s="32"/>
      <c r="B36" s="32" t="s">
        <v>1262</v>
      </c>
      <c r="C36" s="32" t="s">
        <v>1264</v>
      </c>
      <c r="D36" s="32" t="s">
        <v>1271</v>
      </c>
      <c r="E36" s="32" t="s">
        <v>226</v>
      </c>
      <c r="F36" s="246" t="s">
        <v>1179</v>
      </c>
      <c r="G36" s="37">
        <v>50</v>
      </c>
      <c r="H36" s="118">
        <v>50</v>
      </c>
      <c r="I36" s="118">
        <v>0</v>
      </c>
      <c r="J36" s="165">
        <v>0</v>
      </c>
      <c r="K36" s="165">
        <v>0</v>
      </c>
      <c r="L36" s="165">
        <v>0</v>
      </c>
      <c r="M36" s="165">
        <v>0</v>
      </c>
      <c r="N36" s="165">
        <v>0</v>
      </c>
      <c r="O36" s="165">
        <v>0</v>
      </c>
      <c r="P36" s="165">
        <v>0</v>
      </c>
      <c r="Q36" s="165">
        <v>0</v>
      </c>
      <c r="R36" s="165">
        <v>0</v>
      </c>
      <c r="S36" s="165">
        <f t="shared" si="3"/>
        <v>0</v>
      </c>
      <c r="T36" s="165">
        <v>0</v>
      </c>
      <c r="U36" s="165">
        <v>0</v>
      </c>
      <c r="V36" s="165">
        <v>0</v>
      </c>
      <c r="W36" s="165">
        <v>0</v>
      </c>
      <c r="X36" s="165">
        <v>0</v>
      </c>
      <c r="Y36" s="165">
        <v>0</v>
      </c>
      <c r="Z36" s="165">
        <v>0</v>
      </c>
      <c r="AA36" s="165">
        <v>0</v>
      </c>
      <c r="AB36" s="165">
        <v>0</v>
      </c>
      <c r="AC36" s="165">
        <v>0</v>
      </c>
      <c r="AD36" s="165">
        <v>0</v>
      </c>
      <c r="AE36" s="165">
        <v>0</v>
      </c>
    </row>
    <row r="37" spans="1:53" s="158" customFormat="1" ht="16.25" customHeight="1" x14ac:dyDescent="0.4">
      <c r="A37" s="32"/>
      <c r="B37" s="32" t="s">
        <v>1262</v>
      </c>
      <c r="C37" s="32" t="s">
        <v>1264</v>
      </c>
      <c r="D37" s="32" t="s">
        <v>1271</v>
      </c>
      <c r="E37" s="32" t="s">
        <v>228</v>
      </c>
      <c r="F37" s="244" t="s">
        <v>1185</v>
      </c>
      <c r="G37" s="37">
        <v>200</v>
      </c>
      <c r="H37" s="118">
        <v>200</v>
      </c>
      <c r="I37" s="118">
        <v>200</v>
      </c>
      <c r="J37" s="165">
        <v>200</v>
      </c>
      <c r="K37" s="165">
        <v>200</v>
      </c>
      <c r="L37" s="165">
        <v>200</v>
      </c>
      <c r="M37" s="165">
        <v>50</v>
      </c>
      <c r="N37" s="165">
        <v>50</v>
      </c>
      <c r="O37" s="165">
        <v>50</v>
      </c>
      <c r="P37" s="165">
        <v>23</v>
      </c>
      <c r="Q37" s="165">
        <v>58</v>
      </c>
      <c r="R37" s="165">
        <v>0</v>
      </c>
      <c r="S37" s="165">
        <f>SUM(T37:AE37)</f>
        <v>0</v>
      </c>
      <c r="T37" s="165">
        <v>0</v>
      </c>
      <c r="U37" s="165">
        <v>0</v>
      </c>
      <c r="V37" s="165">
        <v>0</v>
      </c>
      <c r="W37" s="165">
        <v>0</v>
      </c>
      <c r="X37" s="165">
        <v>0</v>
      </c>
      <c r="Y37" s="165">
        <v>0</v>
      </c>
      <c r="Z37" s="165">
        <v>0</v>
      </c>
      <c r="AA37" s="165">
        <v>0</v>
      </c>
      <c r="AB37" s="165">
        <v>0</v>
      </c>
      <c r="AC37" s="165">
        <v>0</v>
      </c>
      <c r="AD37" s="165">
        <v>0</v>
      </c>
      <c r="AE37" s="165">
        <v>0</v>
      </c>
      <c r="AF37" s="165"/>
    </row>
    <row r="38" spans="1:53" s="158" customFormat="1" ht="16.25" customHeight="1" x14ac:dyDescent="0.4">
      <c r="A38" s="32"/>
      <c r="B38" s="32" t="s">
        <v>1262</v>
      </c>
      <c r="C38" s="32" t="s">
        <v>1264</v>
      </c>
      <c r="D38" s="32" t="s">
        <v>1271</v>
      </c>
      <c r="E38" s="15" t="s">
        <v>232</v>
      </c>
      <c r="F38" s="244" t="s">
        <v>1275</v>
      </c>
      <c r="G38" s="37">
        <v>5400</v>
      </c>
      <c r="H38" s="118">
        <v>5400</v>
      </c>
      <c r="I38" s="118">
        <v>5400</v>
      </c>
      <c r="J38" s="165">
        <v>0</v>
      </c>
      <c r="K38" s="165">
        <v>0</v>
      </c>
      <c r="L38" s="165">
        <v>0</v>
      </c>
      <c r="M38" s="165">
        <v>0</v>
      </c>
      <c r="N38" s="165">
        <v>0</v>
      </c>
      <c r="O38" s="165">
        <v>0</v>
      </c>
      <c r="P38" s="165">
        <v>0</v>
      </c>
      <c r="Q38" s="165">
        <v>0</v>
      </c>
      <c r="R38" s="165">
        <v>0</v>
      </c>
      <c r="S38" s="165">
        <f t="shared" ref="S38:S63" si="4">SUM(T38:AE38)</f>
        <v>0</v>
      </c>
      <c r="T38" s="165">
        <v>0</v>
      </c>
      <c r="U38" s="165">
        <v>0</v>
      </c>
      <c r="V38" s="165">
        <v>0</v>
      </c>
      <c r="W38" s="165">
        <v>0</v>
      </c>
      <c r="X38" s="165">
        <v>0</v>
      </c>
      <c r="Y38" s="165">
        <v>0</v>
      </c>
      <c r="Z38" s="165">
        <v>0</v>
      </c>
      <c r="AA38" s="165">
        <v>0</v>
      </c>
      <c r="AB38" s="165">
        <v>0</v>
      </c>
      <c r="AC38" s="165">
        <v>0</v>
      </c>
      <c r="AD38" s="165">
        <v>0</v>
      </c>
      <c r="AE38" s="165">
        <v>0</v>
      </c>
    </row>
    <row r="39" spans="1:53" s="158" customFormat="1" ht="16.25" customHeight="1" x14ac:dyDescent="0.4">
      <c r="A39" s="32"/>
      <c r="B39" s="32" t="s">
        <v>1262</v>
      </c>
      <c r="C39" s="32" t="s">
        <v>1264</v>
      </c>
      <c r="D39" s="32" t="s">
        <v>1271</v>
      </c>
      <c r="E39" s="32" t="s">
        <v>241</v>
      </c>
      <c r="F39" s="244" t="s">
        <v>1276</v>
      </c>
      <c r="G39" s="37">
        <v>600</v>
      </c>
      <c r="H39" s="118">
        <v>600</v>
      </c>
      <c r="I39" s="118">
        <v>600</v>
      </c>
      <c r="J39" s="165">
        <v>600</v>
      </c>
      <c r="K39" s="165">
        <v>0</v>
      </c>
      <c r="L39" s="165">
        <v>0</v>
      </c>
      <c r="M39" s="165">
        <v>0</v>
      </c>
      <c r="N39" s="165">
        <v>0</v>
      </c>
      <c r="O39" s="165">
        <v>0</v>
      </c>
      <c r="P39" s="165">
        <v>0</v>
      </c>
      <c r="Q39" s="165">
        <v>0</v>
      </c>
      <c r="R39" s="165">
        <v>0</v>
      </c>
      <c r="S39" s="165">
        <f t="shared" si="4"/>
        <v>0</v>
      </c>
      <c r="T39" s="165" cm="1">
        <f t="array" ref="T39">VLOOKUP(E39,+[2]Sheet3!$A$1:$R$175,7,0)</f>
        <v>0</v>
      </c>
      <c r="U39" s="165" cm="1">
        <f t="array" ref="U39">VLOOKUP(E39,+[2]Sheet3!$A$1:$R$175,7,0)</f>
        <v>0</v>
      </c>
      <c r="V39" s="165" cm="1">
        <f t="array" ref="V39">VLOOKUP(E39,+[2]Sheet3!$A$1:$R$175,9,0)</f>
        <v>0</v>
      </c>
      <c r="W39" s="165" cm="1">
        <f t="array" ref="W39">VLOOKUP(E39,+[2]Sheet3!$A$1:$R$175,10,0)</f>
        <v>0</v>
      </c>
      <c r="X39" s="165" cm="1">
        <f t="array" ref="X39">VLOOKUP(E39,+[2]Sheet3!$A$1:$R$175,11,0)</f>
        <v>0</v>
      </c>
      <c r="Y39" s="165" cm="1">
        <f t="array" ref="Y39">VLOOKUP(E39,+[2]Sheet3!$A$1:$R$175,12,0)</f>
        <v>0</v>
      </c>
      <c r="Z39" s="165">
        <v>0</v>
      </c>
      <c r="AA39" s="165" cm="1">
        <f t="array" ref="AA39">VLOOKUP(E39,+[2]Sheet3!$A$1:$R$175,14,0)</f>
        <v>0</v>
      </c>
      <c r="AB39" s="165" cm="1">
        <f t="array" ref="AB39">VLOOKUP(E39,+[2]Sheet3!$A$1:$R$175,15,0)</f>
        <v>0</v>
      </c>
      <c r="AC39" s="165" cm="1">
        <f t="array" ref="AC39">VLOOKUP(E39,+[2]Sheet3!$A$1:$R$175,16,0)</f>
        <v>0</v>
      </c>
      <c r="AD39" s="165" cm="1">
        <f t="array" ref="AD39">VLOOKUP(E39,+[2]Sheet3!$A$1:$R$175,17,0)</f>
        <v>0</v>
      </c>
      <c r="AE39" s="165" cm="1">
        <f t="array" ref="AE39">VLOOKUP(E39,+[2]Sheet3!$A$1:$R$175,18,0)</f>
        <v>0</v>
      </c>
      <c r="AF39" s="165"/>
    </row>
    <row r="40" spans="1:53" s="158" customFormat="1" ht="16.25" customHeight="1" x14ac:dyDescent="0.4">
      <c r="A40" s="32"/>
      <c r="B40" s="32" t="s">
        <v>1262</v>
      </c>
      <c r="C40" s="32" t="s">
        <v>1264</v>
      </c>
      <c r="D40" s="32" t="s">
        <v>1271</v>
      </c>
      <c r="E40" s="32" t="s">
        <v>246</v>
      </c>
      <c r="F40" s="244" t="s">
        <v>1276</v>
      </c>
      <c r="G40" s="37"/>
      <c r="H40" s="118"/>
      <c r="I40" s="118"/>
      <c r="J40" s="165">
        <v>0</v>
      </c>
      <c r="K40" s="165">
        <v>600</v>
      </c>
      <c r="L40" s="165">
        <v>600</v>
      </c>
      <c r="M40" s="165">
        <v>168.75</v>
      </c>
      <c r="N40" s="165">
        <v>168.75</v>
      </c>
      <c r="O40" s="165">
        <v>168.75</v>
      </c>
      <c r="P40" s="165">
        <v>0</v>
      </c>
      <c r="Q40" s="165">
        <v>0</v>
      </c>
      <c r="R40" s="165">
        <v>0</v>
      </c>
      <c r="S40" s="165">
        <f t="shared" si="4"/>
        <v>0</v>
      </c>
      <c r="T40" s="165">
        <v>0</v>
      </c>
      <c r="U40" s="165">
        <v>0</v>
      </c>
      <c r="V40" s="165">
        <v>0</v>
      </c>
      <c r="W40" s="165">
        <v>0</v>
      </c>
      <c r="X40" s="165">
        <v>0</v>
      </c>
      <c r="Y40" s="165">
        <v>0</v>
      </c>
      <c r="Z40" s="165">
        <v>0</v>
      </c>
      <c r="AA40" s="165">
        <v>0</v>
      </c>
      <c r="AB40" s="165">
        <v>0</v>
      </c>
      <c r="AC40" s="165" cm="1">
        <f t="array" ref="AC40">VLOOKUP(E40,+[2]Sheet3!$A$1:$R$175,16,0)</f>
        <v>0</v>
      </c>
      <c r="AD40" s="165">
        <v>0</v>
      </c>
      <c r="AE40" s="165">
        <v>0</v>
      </c>
      <c r="AF40" s="165"/>
    </row>
    <row r="41" spans="1:53" s="34" customFormat="1" ht="16.25" customHeight="1" x14ac:dyDescent="0.4">
      <c r="A41" s="32"/>
      <c r="B41" s="32" t="s">
        <v>1262</v>
      </c>
      <c r="C41" s="32" t="s">
        <v>1264</v>
      </c>
      <c r="D41" s="32" t="s">
        <v>1271</v>
      </c>
      <c r="E41" s="32" t="s">
        <v>252</v>
      </c>
      <c r="F41" s="244" t="s">
        <v>1275</v>
      </c>
      <c r="G41" s="37">
        <v>202.5</v>
      </c>
      <c r="H41" s="118">
        <v>202.5</v>
      </c>
      <c r="I41" s="118">
        <v>202.5</v>
      </c>
      <c r="J41" s="165">
        <v>0</v>
      </c>
      <c r="K41" s="165">
        <v>0</v>
      </c>
      <c r="L41" s="165">
        <v>0</v>
      </c>
      <c r="M41" s="165">
        <v>0</v>
      </c>
      <c r="N41" s="165">
        <v>0</v>
      </c>
      <c r="O41" s="165">
        <v>0</v>
      </c>
      <c r="P41" s="165">
        <v>0</v>
      </c>
      <c r="Q41" s="165">
        <v>0</v>
      </c>
      <c r="R41" s="165">
        <v>0</v>
      </c>
      <c r="S41" s="165">
        <f t="shared" si="4"/>
        <v>0</v>
      </c>
      <c r="T41" s="165">
        <v>0</v>
      </c>
      <c r="U41" s="165">
        <v>0</v>
      </c>
      <c r="V41" s="165">
        <v>0</v>
      </c>
      <c r="W41" s="165">
        <v>0</v>
      </c>
      <c r="X41" s="165">
        <v>0</v>
      </c>
      <c r="Y41" s="165">
        <v>0</v>
      </c>
      <c r="Z41" s="165">
        <v>0</v>
      </c>
      <c r="AA41" s="165">
        <v>0</v>
      </c>
      <c r="AB41" s="165">
        <v>0</v>
      </c>
      <c r="AC41" s="165">
        <v>0</v>
      </c>
      <c r="AD41" s="165">
        <v>0</v>
      </c>
      <c r="AE41" s="165">
        <v>0</v>
      </c>
      <c r="AF41" s="158"/>
      <c r="AG41" s="158"/>
    </row>
    <row r="42" spans="1:53" s="158" customFormat="1" ht="16.25" customHeight="1" x14ac:dyDescent="0.4">
      <c r="A42" s="32"/>
      <c r="B42" s="32" t="s">
        <v>1262</v>
      </c>
      <c r="C42" s="32" t="s">
        <v>1264</v>
      </c>
      <c r="D42" s="32" t="s">
        <v>1271</v>
      </c>
      <c r="E42" s="32" t="s">
        <v>257</v>
      </c>
      <c r="F42" s="244" t="s">
        <v>1275</v>
      </c>
      <c r="G42" s="37">
        <v>502.5</v>
      </c>
      <c r="H42" s="118">
        <v>502.5</v>
      </c>
      <c r="I42" s="118">
        <v>502.5</v>
      </c>
      <c r="J42" s="165">
        <v>0</v>
      </c>
      <c r="K42" s="165">
        <v>0</v>
      </c>
      <c r="L42" s="165">
        <v>0</v>
      </c>
      <c r="M42" s="165">
        <v>0</v>
      </c>
      <c r="N42" s="165">
        <v>0</v>
      </c>
      <c r="O42" s="165">
        <v>0</v>
      </c>
      <c r="P42" s="165">
        <v>0</v>
      </c>
      <c r="Q42" s="165">
        <v>0</v>
      </c>
      <c r="R42" s="165">
        <v>0</v>
      </c>
      <c r="S42" s="165">
        <f t="shared" si="4"/>
        <v>0</v>
      </c>
      <c r="T42" s="165">
        <v>0</v>
      </c>
      <c r="U42" s="165">
        <v>0</v>
      </c>
      <c r="V42" s="165">
        <v>0</v>
      </c>
      <c r="W42" s="165">
        <v>0</v>
      </c>
      <c r="X42" s="165">
        <v>0</v>
      </c>
      <c r="Y42" s="165">
        <v>0</v>
      </c>
      <c r="Z42" s="165">
        <v>0</v>
      </c>
      <c r="AA42" s="165">
        <v>0</v>
      </c>
      <c r="AB42" s="165">
        <v>0</v>
      </c>
      <c r="AC42" s="165">
        <v>0</v>
      </c>
      <c r="AD42" s="165">
        <v>0</v>
      </c>
      <c r="AE42" s="165">
        <v>0</v>
      </c>
    </row>
    <row r="43" spans="1:53" s="158" customFormat="1" ht="16.25" customHeight="1" x14ac:dyDescent="0.4">
      <c r="A43" s="32"/>
      <c r="B43" s="32" t="s">
        <v>1262</v>
      </c>
      <c r="C43" s="32" t="s">
        <v>1264</v>
      </c>
      <c r="D43" s="32" t="s">
        <v>1271</v>
      </c>
      <c r="E43" s="15" t="s">
        <v>261</v>
      </c>
      <c r="F43" s="244" t="s">
        <v>1185</v>
      </c>
      <c r="G43" s="37">
        <v>2000</v>
      </c>
      <c r="H43" s="118">
        <v>2000</v>
      </c>
      <c r="I43" s="118">
        <v>2000</v>
      </c>
      <c r="J43" s="118">
        <v>2000</v>
      </c>
      <c r="K43" s="118">
        <v>2000</v>
      </c>
      <c r="L43" s="118">
        <v>2000</v>
      </c>
      <c r="M43" s="118">
        <v>0</v>
      </c>
      <c r="N43" s="118">
        <v>0</v>
      </c>
      <c r="O43" s="165">
        <v>0</v>
      </c>
      <c r="P43" s="165">
        <v>0</v>
      </c>
      <c r="Q43" s="165">
        <v>0</v>
      </c>
      <c r="R43" s="165">
        <v>0</v>
      </c>
      <c r="S43" s="165">
        <f t="shared" si="4"/>
        <v>0</v>
      </c>
      <c r="T43" s="165">
        <v>0</v>
      </c>
      <c r="U43" s="165">
        <v>0</v>
      </c>
      <c r="V43" s="165">
        <v>0</v>
      </c>
      <c r="W43" s="165">
        <v>0</v>
      </c>
      <c r="X43" s="165">
        <v>0</v>
      </c>
      <c r="Y43" s="165">
        <v>0</v>
      </c>
      <c r="Z43" s="165">
        <v>0</v>
      </c>
      <c r="AA43" s="165">
        <v>0</v>
      </c>
      <c r="AB43" s="165">
        <v>0</v>
      </c>
      <c r="AC43" s="165">
        <v>0</v>
      </c>
      <c r="AD43" s="165">
        <v>0</v>
      </c>
      <c r="AE43" s="165">
        <v>0</v>
      </c>
      <c r="AF43" s="34"/>
      <c r="AG43" s="34"/>
    </row>
    <row r="44" spans="1:53" s="34" customFormat="1" ht="16.25" customHeight="1" x14ac:dyDescent="0.4">
      <c r="A44" s="32"/>
      <c r="B44" s="32" t="s">
        <v>1262</v>
      </c>
      <c r="C44" s="32" t="s">
        <v>1264</v>
      </c>
      <c r="D44" s="32" t="s">
        <v>1271</v>
      </c>
      <c r="E44" s="15" t="s">
        <v>269</v>
      </c>
      <c r="F44" s="244" t="s">
        <v>1276</v>
      </c>
      <c r="G44" s="39">
        <v>300</v>
      </c>
      <c r="H44" s="118">
        <v>300</v>
      </c>
      <c r="I44" s="118">
        <v>300</v>
      </c>
      <c r="J44" s="165">
        <v>300</v>
      </c>
      <c r="K44" s="165">
        <v>300</v>
      </c>
      <c r="L44" s="165">
        <v>300</v>
      </c>
      <c r="M44" s="165">
        <v>300</v>
      </c>
      <c r="N44" s="165">
        <v>300</v>
      </c>
      <c r="O44" s="165">
        <v>300</v>
      </c>
      <c r="P44" s="165">
        <v>38</v>
      </c>
      <c r="Q44" s="165">
        <v>38</v>
      </c>
      <c r="R44" s="165">
        <v>0</v>
      </c>
      <c r="S44" s="165">
        <f t="shared" si="4"/>
        <v>0</v>
      </c>
      <c r="T44" s="165">
        <v>0</v>
      </c>
      <c r="U44" s="165">
        <v>0</v>
      </c>
      <c r="V44" s="165">
        <v>0</v>
      </c>
      <c r="W44" s="165">
        <v>0</v>
      </c>
      <c r="X44" s="165">
        <v>0</v>
      </c>
      <c r="Y44" s="165">
        <v>0</v>
      </c>
      <c r="Z44" s="165">
        <v>0</v>
      </c>
      <c r="AA44" s="165">
        <v>0</v>
      </c>
      <c r="AB44" s="165">
        <v>0</v>
      </c>
      <c r="AC44" s="165">
        <v>0</v>
      </c>
      <c r="AD44" s="165">
        <v>0</v>
      </c>
      <c r="AE44" s="165">
        <v>0</v>
      </c>
      <c r="AF44" s="165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</row>
    <row r="45" spans="1:53" s="34" customFormat="1" ht="16.25" customHeight="1" x14ac:dyDescent="0.4">
      <c r="A45" s="32"/>
      <c r="B45" s="32" t="s">
        <v>1262</v>
      </c>
      <c r="C45" s="32" t="s">
        <v>1264</v>
      </c>
      <c r="D45" s="32" t="s">
        <v>1271</v>
      </c>
      <c r="E45" s="15" t="s">
        <v>278</v>
      </c>
      <c r="F45" s="244" t="s">
        <v>1276</v>
      </c>
      <c r="G45" s="39">
        <v>375</v>
      </c>
      <c r="H45" s="118">
        <v>375</v>
      </c>
      <c r="I45" s="118">
        <v>375</v>
      </c>
      <c r="J45" s="165">
        <v>375</v>
      </c>
      <c r="K45" s="165">
        <v>375</v>
      </c>
      <c r="L45" s="165">
        <v>375</v>
      </c>
      <c r="M45" s="165">
        <v>0</v>
      </c>
      <c r="N45" s="165">
        <v>0</v>
      </c>
      <c r="O45" s="165">
        <v>0</v>
      </c>
      <c r="P45" s="165">
        <v>0</v>
      </c>
      <c r="Q45" s="165">
        <v>0</v>
      </c>
      <c r="R45" s="165">
        <v>0</v>
      </c>
      <c r="S45" s="165">
        <f t="shared" si="4"/>
        <v>0</v>
      </c>
      <c r="T45" s="165">
        <v>0</v>
      </c>
      <c r="U45" s="165">
        <v>0</v>
      </c>
      <c r="V45" s="165">
        <v>0</v>
      </c>
      <c r="W45" s="165">
        <v>0</v>
      </c>
      <c r="X45" s="165">
        <v>0</v>
      </c>
      <c r="Y45" s="165">
        <v>0</v>
      </c>
      <c r="Z45" s="165">
        <v>0</v>
      </c>
      <c r="AA45" s="165">
        <v>0</v>
      </c>
      <c r="AB45" s="165">
        <v>0</v>
      </c>
      <c r="AC45" s="165">
        <v>0</v>
      </c>
      <c r="AD45" s="165">
        <v>0</v>
      </c>
      <c r="AE45" s="165">
        <v>0</v>
      </c>
      <c r="AF45" s="165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</row>
    <row r="46" spans="1:53" s="158" customFormat="1" ht="16.25" customHeight="1" x14ac:dyDescent="0.4">
      <c r="A46" s="32"/>
      <c r="B46" s="32" t="s">
        <v>1262</v>
      </c>
      <c r="C46" s="32" t="s">
        <v>1264</v>
      </c>
      <c r="D46" s="32" t="s">
        <v>1271</v>
      </c>
      <c r="E46" s="15" t="s">
        <v>286</v>
      </c>
      <c r="F46" s="244" t="s">
        <v>1276</v>
      </c>
      <c r="G46" s="37"/>
      <c r="H46" s="118"/>
      <c r="I46" s="118"/>
      <c r="J46" s="118"/>
      <c r="K46" s="118"/>
      <c r="L46" s="118">
        <v>100</v>
      </c>
      <c r="M46" s="118">
        <v>100</v>
      </c>
      <c r="N46" s="118">
        <v>0</v>
      </c>
      <c r="O46" s="165">
        <v>0</v>
      </c>
      <c r="P46" s="165">
        <v>0</v>
      </c>
      <c r="Q46" s="165">
        <v>0</v>
      </c>
      <c r="R46" s="165">
        <v>0</v>
      </c>
      <c r="S46" s="165">
        <f t="shared" si="4"/>
        <v>0</v>
      </c>
      <c r="T46" s="165">
        <v>0</v>
      </c>
      <c r="U46" s="165">
        <v>0</v>
      </c>
      <c r="V46" s="165">
        <v>0</v>
      </c>
      <c r="W46" s="165">
        <v>0</v>
      </c>
      <c r="X46" s="165">
        <v>0</v>
      </c>
      <c r="Y46" s="165">
        <v>0</v>
      </c>
      <c r="Z46" s="165">
        <v>0</v>
      </c>
      <c r="AA46" s="165">
        <v>0</v>
      </c>
      <c r="AB46" s="165">
        <v>0</v>
      </c>
      <c r="AC46" s="165">
        <v>0</v>
      </c>
      <c r="AD46" s="165">
        <v>0</v>
      </c>
      <c r="AE46" s="165">
        <v>0</v>
      </c>
      <c r="AF46" s="165"/>
      <c r="AG46" s="34"/>
    </row>
    <row r="47" spans="1:53" s="34" customFormat="1" ht="16.25" customHeight="1" x14ac:dyDescent="0.4">
      <c r="A47" s="32"/>
      <c r="B47" s="32" t="s">
        <v>1262</v>
      </c>
      <c r="C47" s="32" t="s">
        <v>1264</v>
      </c>
      <c r="D47" s="32" t="s">
        <v>1271</v>
      </c>
      <c r="E47" s="15" t="s">
        <v>291</v>
      </c>
      <c r="F47" s="244" t="s">
        <v>1276</v>
      </c>
      <c r="G47" s="39">
        <v>150</v>
      </c>
      <c r="H47" s="118">
        <v>150</v>
      </c>
      <c r="I47" s="118">
        <v>150</v>
      </c>
      <c r="J47" s="165">
        <v>150</v>
      </c>
      <c r="K47" s="165">
        <v>150</v>
      </c>
      <c r="L47" s="165">
        <v>30</v>
      </c>
      <c r="M47" s="165">
        <v>30</v>
      </c>
      <c r="N47" s="165">
        <v>30</v>
      </c>
      <c r="O47" s="165">
        <v>30</v>
      </c>
      <c r="P47" s="165">
        <v>30</v>
      </c>
      <c r="Q47" s="165">
        <v>0</v>
      </c>
      <c r="R47" s="165">
        <v>0</v>
      </c>
      <c r="S47" s="165">
        <f t="shared" si="4"/>
        <v>0</v>
      </c>
      <c r="T47" s="165">
        <v>0</v>
      </c>
      <c r="U47" s="165">
        <v>0</v>
      </c>
      <c r="V47" s="165">
        <v>0</v>
      </c>
      <c r="W47" s="165">
        <v>0</v>
      </c>
      <c r="X47" s="165">
        <v>0</v>
      </c>
      <c r="Y47" s="165">
        <v>0</v>
      </c>
      <c r="Z47" s="165">
        <v>0</v>
      </c>
      <c r="AA47" s="165">
        <v>0</v>
      </c>
      <c r="AB47" s="165">
        <v>0</v>
      </c>
      <c r="AC47" s="165">
        <v>0</v>
      </c>
      <c r="AD47" s="165">
        <v>0</v>
      </c>
      <c r="AE47" s="165">
        <v>0</v>
      </c>
      <c r="AF47" s="165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8"/>
      <c r="AZ47" s="158"/>
      <c r="BA47" s="158"/>
    </row>
    <row r="48" spans="1:53" s="34" customFormat="1" ht="16.25" customHeight="1" x14ac:dyDescent="0.4">
      <c r="A48" s="32"/>
      <c r="B48" s="32" t="s">
        <v>1262</v>
      </c>
      <c r="C48" s="32" t="s">
        <v>1264</v>
      </c>
      <c r="D48" s="32" t="s">
        <v>1271</v>
      </c>
      <c r="E48" s="15" t="s">
        <v>296</v>
      </c>
      <c r="F48" s="244" t="s">
        <v>1276</v>
      </c>
      <c r="G48" s="39">
        <v>150</v>
      </c>
      <c r="H48" s="118">
        <v>150</v>
      </c>
      <c r="I48" s="118">
        <v>150</v>
      </c>
      <c r="J48" s="165">
        <v>150</v>
      </c>
      <c r="K48" s="165">
        <v>150</v>
      </c>
      <c r="L48" s="165">
        <v>150</v>
      </c>
      <c r="M48" s="165">
        <v>150</v>
      </c>
      <c r="N48" s="165">
        <v>150</v>
      </c>
      <c r="O48" s="165">
        <v>150</v>
      </c>
      <c r="P48" s="165">
        <v>0</v>
      </c>
      <c r="Q48" s="165">
        <v>0</v>
      </c>
      <c r="R48" s="165">
        <v>0</v>
      </c>
      <c r="S48" s="165">
        <f t="shared" si="4"/>
        <v>0</v>
      </c>
      <c r="T48" s="165">
        <v>0</v>
      </c>
      <c r="U48" s="165">
        <v>0</v>
      </c>
      <c r="V48" s="165">
        <v>0</v>
      </c>
      <c r="W48" s="165">
        <v>0</v>
      </c>
      <c r="X48" s="165">
        <v>0</v>
      </c>
      <c r="Y48" s="165">
        <v>0</v>
      </c>
      <c r="Z48" s="165">
        <v>0</v>
      </c>
      <c r="AA48" s="165">
        <v>0</v>
      </c>
      <c r="AB48" s="165">
        <v>0</v>
      </c>
      <c r="AC48" s="165">
        <v>0</v>
      </c>
      <c r="AD48" s="165">
        <v>0</v>
      </c>
      <c r="AE48" s="165">
        <v>0</v>
      </c>
      <c r="AF48" s="165"/>
      <c r="AG48" s="158"/>
    </row>
    <row r="49" spans="1:53" s="158" customFormat="1" ht="16.25" customHeight="1" x14ac:dyDescent="0.4">
      <c r="A49" s="32"/>
      <c r="B49" s="32" t="s">
        <v>1262</v>
      </c>
      <c r="C49" s="32" t="s">
        <v>1264</v>
      </c>
      <c r="D49" s="32" t="s">
        <v>1270</v>
      </c>
      <c r="E49" s="36" t="s">
        <v>297</v>
      </c>
      <c r="F49" s="244" t="s">
        <v>1275</v>
      </c>
      <c r="G49" s="39">
        <v>2000</v>
      </c>
      <c r="H49" s="118">
        <v>2000</v>
      </c>
      <c r="I49" s="118">
        <v>2000</v>
      </c>
      <c r="J49" s="118">
        <v>2000</v>
      </c>
      <c r="K49" s="118">
        <v>2000</v>
      </c>
      <c r="L49" s="118">
        <v>2000</v>
      </c>
      <c r="M49" s="118">
        <v>0</v>
      </c>
      <c r="N49" s="118">
        <v>0</v>
      </c>
      <c r="O49" s="165">
        <v>0</v>
      </c>
      <c r="P49" s="165">
        <v>0</v>
      </c>
      <c r="Q49" s="165">
        <v>0</v>
      </c>
      <c r="R49" s="165">
        <v>0</v>
      </c>
      <c r="S49" s="165">
        <f t="shared" si="4"/>
        <v>0</v>
      </c>
      <c r="T49" s="165">
        <v>0</v>
      </c>
      <c r="U49" s="165">
        <v>0</v>
      </c>
      <c r="V49" s="165">
        <v>0</v>
      </c>
      <c r="W49" s="165">
        <v>0</v>
      </c>
      <c r="X49" s="165">
        <v>0</v>
      </c>
      <c r="Y49" s="165">
        <v>0</v>
      </c>
      <c r="Z49" s="165">
        <v>0</v>
      </c>
      <c r="AA49" s="165">
        <v>0</v>
      </c>
      <c r="AB49" s="165">
        <v>0</v>
      </c>
      <c r="AC49" s="165">
        <v>0</v>
      </c>
      <c r="AD49" s="165">
        <v>0</v>
      </c>
      <c r="AE49" s="165">
        <v>0</v>
      </c>
      <c r="AF49" s="34"/>
      <c r="AG49" s="34"/>
    </row>
    <row r="50" spans="1:53" s="158" customFormat="1" ht="16.25" customHeight="1" x14ac:dyDescent="0.4">
      <c r="A50" s="32"/>
      <c r="B50" s="32" t="s">
        <v>1262</v>
      </c>
      <c r="C50" s="32" t="s">
        <v>1264</v>
      </c>
      <c r="D50" s="32" t="s">
        <v>1270</v>
      </c>
      <c r="E50" s="32" t="s">
        <v>300</v>
      </c>
      <c r="F50" s="244" t="s">
        <v>1276</v>
      </c>
      <c r="G50" s="39">
        <v>0</v>
      </c>
      <c r="H50" s="118">
        <v>0</v>
      </c>
      <c r="I50" s="118">
        <v>0</v>
      </c>
      <c r="J50" s="165">
        <v>0</v>
      </c>
      <c r="K50" s="165">
        <v>270</v>
      </c>
      <c r="L50" s="165">
        <v>270</v>
      </c>
      <c r="M50" s="165">
        <v>250</v>
      </c>
      <c r="N50" s="165">
        <v>0</v>
      </c>
      <c r="O50" s="165">
        <v>0</v>
      </c>
      <c r="P50" s="165">
        <v>0</v>
      </c>
      <c r="Q50" s="165">
        <v>0</v>
      </c>
      <c r="R50" s="165">
        <v>0</v>
      </c>
      <c r="S50" s="165">
        <f t="shared" si="4"/>
        <v>0</v>
      </c>
      <c r="T50" s="165">
        <v>0</v>
      </c>
      <c r="U50" s="165">
        <v>0</v>
      </c>
      <c r="V50" s="165">
        <v>0</v>
      </c>
      <c r="W50" s="165">
        <v>0</v>
      </c>
      <c r="X50" s="165">
        <v>0</v>
      </c>
      <c r="Y50" s="165">
        <v>0</v>
      </c>
      <c r="Z50" s="165">
        <v>0</v>
      </c>
      <c r="AA50" s="165">
        <v>0</v>
      </c>
      <c r="AB50" s="165">
        <v>0</v>
      </c>
      <c r="AC50" s="165">
        <v>0</v>
      </c>
      <c r="AD50" s="165">
        <v>0</v>
      </c>
      <c r="AE50" s="165">
        <v>0</v>
      </c>
      <c r="AF50" s="165"/>
    </row>
    <row r="51" spans="1:53" s="158" customFormat="1" ht="16.25" customHeight="1" x14ac:dyDescent="0.4">
      <c r="A51" s="32"/>
      <c r="B51" s="32" t="s">
        <v>1262</v>
      </c>
      <c r="C51" s="32" t="s">
        <v>1264</v>
      </c>
      <c r="D51" s="32" t="s">
        <v>1270</v>
      </c>
      <c r="E51" s="36" t="s">
        <v>306</v>
      </c>
      <c r="F51" s="244" t="s">
        <v>1276</v>
      </c>
      <c r="G51" s="39"/>
      <c r="H51" s="118"/>
      <c r="I51" s="118">
        <v>2000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65">
        <v>0</v>
      </c>
      <c r="P51" s="165">
        <v>0</v>
      </c>
      <c r="Q51" s="165">
        <v>0</v>
      </c>
      <c r="R51" s="165">
        <v>0</v>
      </c>
      <c r="S51" s="165">
        <f t="shared" si="4"/>
        <v>0</v>
      </c>
      <c r="T51" s="165">
        <v>0</v>
      </c>
      <c r="U51" s="165">
        <v>0</v>
      </c>
      <c r="V51" s="165">
        <v>0</v>
      </c>
      <c r="W51" s="165">
        <v>0</v>
      </c>
      <c r="X51" s="165">
        <v>0</v>
      </c>
      <c r="Y51" s="165">
        <v>0</v>
      </c>
      <c r="Z51" s="165">
        <v>0</v>
      </c>
      <c r="AA51" s="165">
        <v>0</v>
      </c>
      <c r="AB51" s="165">
        <v>0</v>
      </c>
      <c r="AC51" s="165">
        <v>0</v>
      </c>
      <c r="AD51" s="165">
        <v>0</v>
      </c>
      <c r="AE51" s="165">
        <v>0</v>
      </c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</row>
    <row r="52" spans="1:53" s="158" customFormat="1" ht="16.25" customHeight="1" x14ac:dyDescent="0.4">
      <c r="A52" s="32"/>
      <c r="B52" s="32" t="s">
        <v>1262</v>
      </c>
      <c r="C52" s="32" t="s">
        <v>1264</v>
      </c>
      <c r="D52" s="32" t="s">
        <v>1270</v>
      </c>
      <c r="E52" s="32" t="s">
        <v>306</v>
      </c>
      <c r="F52" s="244" t="s">
        <v>1276</v>
      </c>
      <c r="G52" s="39">
        <v>1800</v>
      </c>
      <c r="H52" s="118">
        <v>1800</v>
      </c>
      <c r="I52" s="118">
        <v>0</v>
      </c>
      <c r="J52" s="165">
        <v>1000</v>
      </c>
      <c r="K52" s="165">
        <v>500</v>
      </c>
      <c r="L52" s="165">
        <v>250</v>
      </c>
      <c r="M52" s="165">
        <v>0</v>
      </c>
      <c r="N52" s="165">
        <v>0</v>
      </c>
      <c r="O52" s="165">
        <v>0</v>
      </c>
      <c r="P52" s="165">
        <v>0</v>
      </c>
      <c r="Q52" s="165">
        <v>0</v>
      </c>
      <c r="R52" s="165">
        <v>0</v>
      </c>
      <c r="S52" s="165">
        <f t="shared" si="4"/>
        <v>0</v>
      </c>
      <c r="T52" s="165">
        <v>0</v>
      </c>
      <c r="U52" s="165">
        <v>0</v>
      </c>
      <c r="V52" s="165">
        <v>0</v>
      </c>
      <c r="W52" s="165">
        <v>0</v>
      </c>
      <c r="X52" s="165">
        <v>0</v>
      </c>
      <c r="Y52" s="165">
        <v>0</v>
      </c>
      <c r="Z52" s="165">
        <v>0</v>
      </c>
      <c r="AA52" s="165">
        <v>0</v>
      </c>
      <c r="AB52" s="165">
        <v>0</v>
      </c>
      <c r="AC52" s="165">
        <v>0</v>
      </c>
      <c r="AD52" s="165">
        <v>0</v>
      </c>
      <c r="AE52" s="165">
        <v>0</v>
      </c>
      <c r="AF52" s="165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</row>
    <row r="53" spans="1:53" s="158" customFormat="1" ht="16.25" customHeight="1" x14ac:dyDescent="0.4">
      <c r="A53" s="32"/>
      <c r="B53" s="32" t="s">
        <v>1262</v>
      </c>
      <c r="C53" s="32" t="s">
        <v>1264</v>
      </c>
      <c r="D53" s="32" t="s">
        <v>1270</v>
      </c>
      <c r="E53" s="36" t="s">
        <v>313</v>
      </c>
      <c r="F53" s="244" t="s">
        <v>1276</v>
      </c>
      <c r="G53" s="39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65">
        <v>0</v>
      </c>
      <c r="P53" s="165">
        <v>0</v>
      </c>
      <c r="Q53" s="165">
        <v>0</v>
      </c>
      <c r="R53" s="165">
        <v>0</v>
      </c>
      <c r="S53" s="165">
        <f t="shared" si="4"/>
        <v>0</v>
      </c>
      <c r="T53" s="165">
        <v>0</v>
      </c>
      <c r="U53" s="165">
        <v>0</v>
      </c>
      <c r="V53" s="165">
        <v>0</v>
      </c>
      <c r="W53" s="165">
        <v>0</v>
      </c>
      <c r="X53" s="165">
        <v>0</v>
      </c>
      <c r="Y53" s="165">
        <v>0</v>
      </c>
      <c r="Z53" s="165">
        <v>0</v>
      </c>
      <c r="AA53" s="165">
        <v>0</v>
      </c>
      <c r="AB53" s="165">
        <v>0</v>
      </c>
      <c r="AC53" s="165">
        <v>0</v>
      </c>
      <c r="AD53" s="165">
        <v>0</v>
      </c>
      <c r="AE53" s="165">
        <v>0</v>
      </c>
      <c r="AF53" s="34"/>
      <c r="AG53" s="34"/>
    </row>
    <row r="54" spans="1:53" s="158" customFormat="1" ht="16.25" customHeight="1" x14ac:dyDescent="0.4">
      <c r="A54" s="32"/>
      <c r="B54" s="32" t="s">
        <v>1262</v>
      </c>
      <c r="C54" s="32" t="s">
        <v>1264</v>
      </c>
      <c r="D54" s="32" t="s">
        <v>1270</v>
      </c>
      <c r="E54" s="36" t="s">
        <v>319</v>
      </c>
      <c r="F54" s="244" t="s">
        <v>1276</v>
      </c>
      <c r="G54" s="39"/>
      <c r="H54" s="118"/>
      <c r="I54" s="118">
        <v>600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65">
        <v>0</v>
      </c>
      <c r="P54" s="165">
        <v>0</v>
      </c>
      <c r="Q54" s="165">
        <v>0</v>
      </c>
      <c r="R54" s="165">
        <v>0</v>
      </c>
      <c r="S54" s="165">
        <f t="shared" si="4"/>
        <v>0</v>
      </c>
      <c r="T54" s="165">
        <v>0</v>
      </c>
      <c r="U54" s="165">
        <v>0</v>
      </c>
      <c r="V54" s="165">
        <v>0</v>
      </c>
      <c r="W54" s="165">
        <v>0</v>
      </c>
      <c r="X54" s="165">
        <v>0</v>
      </c>
      <c r="Y54" s="165">
        <v>0</v>
      </c>
      <c r="Z54" s="165">
        <v>0</v>
      </c>
      <c r="AA54" s="165">
        <v>0</v>
      </c>
      <c r="AB54" s="165">
        <v>0</v>
      </c>
      <c r="AC54" s="165">
        <v>0</v>
      </c>
      <c r="AD54" s="165">
        <v>0</v>
      </c>
      <c r="AE54" s="165">
        <v>0</v>
      </c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</row>
    <row r="55" spans="1:53" s="158" customFormat="1" ht="16.25" customHeight="1" x14ac:dyDescent="0.4">
      <c r="A55" s="32"/>
      <c r="B55" s="32" t="s">
        <v>1262</v>
      </c>
      <c r="C55" s="32" t="s">
        <v>1264</v>
      </c>
      <c r="D55" s="32" t="s">
        <v>1270</v>
      </c>
      <c r="E55" s="32" t="s">
        <v>319</v>
      </c>
      <c r="F55" s="244" t="s">
        <v>1276</v>
      </c>
      <c r="G55" s="39">
        <v>300</v>
      </c>
      <c r="H55" s="118">
        <v>300</v>
      </c>
      <c r="I55" s="118">
        <v>0</v>
      </c>
      <c r="J55" s="165">
        <v>0</v>
      </c>
      <c r="K55" s="165">
        <v>0</v>
      </c>
      <c r="L55" s="165">
        <v>0</v>
      </c>
      <c r="M55" s="165">
        <v>0</v>
      </c>
      <c r="N55" s="165">
        <v>0</v>
      </c>
      <c r="O55" s="165">
        <v>0</v>
      </c>
      <c r="P55" s="165">
        <v>0</v>
      </c>
      <c r="Q55" s="165">
        <v>0</v>
      </c>
      <c r="R55" s="165">
        <v>0</v>
      </c>
      <c r="S55" s="165">
        <f t="shared" si="4"/>
        <v>0</v>
      </c>
      <c r="T55" s="165">
        <v>0</v>
      </c>
      <c r="U55" s="165">
        <v>0</v>
      </c>
      <c r="V55" s="165">
        <v>0</v>
      </c>
      <c r="W55" s="165">
        <v>0</v>
      </c>
      <c r="X55" s="165">
        <v>0</v>
      </c>
      <c r="Y55" s="165">
        <v>0</v>
      </c>
      <c r="Z55" s="165">
        <v>0</v>
      </c>
      <c r="AA55" s="165">
        <v>0</v>
      </c>
      <c r="AB55" s="165">
        <v>0</v>
      </c>
      <c r="AC55" s="165">
        <v>0</v>
      </c>
      <c r="AD55" s="165">
        <v>0</v>
      </c>
      <c r="AE55" s="165">
        <v>0</v>
      </c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</row>
    <row r="56" spans="1:53" s="158" customFormat="1" ht="16.25" customHeight="1" x14ac:dyDescent="0.4">
      <c r="A56" s="32"/>
      <c r="B56" s="32" t="s">
        <v>1262</v>
      </c>
      <c r="C56" s="32" t="s">
        <v>1264</v>
      </c>
      <c r="D56" s="32" t="s">
        <v>1270</v>
      </c>
      <c r="E56" s="36" t="s">
        <v>323</v>
      </c>
      <c r="F56" s="244" t="s">
        <v>1276</v>
      </c>
      <c r="G56" s="39">
        <v>1000</v>
      </c>
      <c r="H56" s="118">
        <v>1000</v>
      </c>
      <c r="I56" s="118">
        <v>1000</v>
      </c>
      <c r="J56" s="118">
        <v>1000</v>
      </c>
      <c r="K56" s="118">
        <v>1000</v>
      </c>
      <c r="L56" s="118">
        <v>0</v>
      </c>
      <c r="M56" s="118">
        <v>0</v>
      </c>
      <c r="N56" s="118">
        <v>0</v>
      </c>
      <c r="O56" s="165">
        <v>0</v>
      </c>
      <c r="P56" s="165">
        <v>0</v>
      </c>
      <c r="Q56" s="165">
        <v>0</v>
      </c>
      <c r="R56" s="165">
        <v>0</v>
      </c>
      <c r="S56" s="165">
        <f t="shared" si="4"/>
        <v>0</v>
      </c>
      <c r="T56" s="165">
        <v>0</v>
      </c>
      <c r="U56" s="165">
        <v>0</v>
      </c>
      <c r="V56" s="165">
        <v>0</v>
      </c>
      <c r="W56" s="165">
        <v>0</v>
      </c>
      <c r="X56" s="165">
        <v>0</v>
      </c>
      <c r="Y56" s="165">
        <v>0</v>
      </c>
      <c r="Z56" s="165">
        <v>0</v>
      </c>
      <c r="AA56" s="165">
        <v>0</v>
      </c>
      <c r="AB56" s="165">
        <v>0</v>
      </c>
      <c r="AC56" s="165">
        <v>0</v>
      </c>
      <c r="AD56" s="165">
        <v>0</v>
      </c>
      <c r="AE56" s="165">
        <v>0</v>
      </c>
      <c r="AF56" s="34"/>
      <c r="AG56" s="34"/>
    </row>
    <row r="57" spans="1:53" s="34" customFormat="1" ht="16.25" customHeight="1" x14ac:dyDescent="0.4">
      <c r="A57" s="32"/>
      <c r="B57" s="32" t="s">
        <v>1262</v>
      </c>
      <c r="C57" s="32" t="s">
        <v>1264</v>
      </c>
      <c r="D57" s="32" t="s">
        <v>1270</v>
      </c>
      <c r="E57" s="32" t="s">
        <v>328</v>
      </c>
      <c r="F57" s="244" t="s">
        <v>1276</v>
      </c>
      <c r="G57" s="39">
        <v>0</v>
      </c>
      <c r="H57" s="118">
        <v>0</v>
      </c>
      <c r="I57" s="118">
        <v>0</v>
      </c>
      <c r="J57" s="165">
        <v>0</v>
      </c>
      <c r="K57" s="165">
        <v>0</v>
      </c>
      <c r="L57" s="165">
        <v>0</v>
      </c>
      <c r="M57" s="165">
        <v>0</v>
      </c>
      <c r="N57" s="165">
        <v>0</v>
      </c>
      <c r="O57" s="165">
        <v>0</v>
      </c>
      <c r="P57" s="165">
        <v>0</v>
      </c>
      <c r="Q57" s="165">
        <v>0</v>
      </c>
      <c r="R57" s="165">
        <v>0</v>
      </c>
      <c r="S57" s="165">
        <f t="shared" si="4"/>
        <v>0</v>
      </c>
      <c r="T57" s="165">
        <v>0</v>
      </c>
      <c r="U57" s="165">
        <v>0</v>
      </c>
      <c r="V57" s="165">
        <v>0</v>
      </c>
      <c r="W57" s="165">
        <v>0</v>
      </c>
      <c r="X57" s="165">
        <v>0</v>
      </c>
      <c r="Y57" s="165">
        <v>0</v>
      </c>
      <c r="Z57" s="165">
        <v>0</v>
      </c>
      <c r="AA57" s="165">
        <v>0</v>
      </c>
      <c r="AB57" s="165">
        <v>0</v>
      </c>
      <c r="AC57" s="165">
        <v>0</v>
      </c>
      <c r="AD57" s="165">
        <v>0</v>
      </c>
      <c r="AE57" s="165">
        <v>0</v>
      </c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/>
      <c r="AQ57" s="158"/>
      <c r="AR57" s="158"/>
      <c r="AS57" s="158"/>
      <c r="AT57" s="158"/>
      <c r="AU57" s="158"/>
      <c r="AV57" s="158"/>
      <c r="AW57" s="158"/>
      <c r="AX57" s="158"/>
      <c r="AY57" s="158"/>
      <c r="AZ57" s="158"/>
      <c r="BA57" s="158"/>
    </row>
    <row r="58" spans="1:53" s="34" customFormat="1" ht="16.25" customHeight="1" x14ac:dyDescent="0.4">
      <c r="A58" s="32"/>
      <c r="B58" s="32" t="s">
        <v>1262</v>
      </c>
      <c r="C58" s="32" t="s">
        <v>1264</v>
      </c>
      <c r="D58" s="32" t="s">
        <v>1270</v>
      </c>
      <c r="E58" s="32" t="s">
        <v>335</v>
      </c>
      <c r="F58" s="246" t="s">
        <v>1179</v>
      </c>
      <c r="G58" s="39">
        <v>125</v>
      </c>
      <c r="H58" s="118">
        <v>125</v>
      </c>
      <c r="I58" s="118">
        <v>0</v>
      </c>
      <c r="J58" s="165">
        <v>0</v>
      </c>
      <c r="K58" s="165">
        <v>0</v>
      </c>
      <c r="L58" s="165">
        <v>0</v>
      </c>
      <c r="M58" s="165">
        <v>0</v>
      </c>
      <c r="N58" s="165">
        <v>0</v>
      </c>
      <c r="O58" s="165">
        <v>0</v>
      </c>
      <c r="P58" s="165">
        <v>0</v>
      </c>
      <c r="Q58" s="165">
        <v>0</v>
      </c>
      <c r="R58" s="165">
        <v>0</v>
      </c>
      <c r="S58" s="165">
        <f t="shared" si="4"/>
        <v>0</v>
      </c>
      <c r="T58" s="165">
        <v>0</v>
      </c>
      <c r="U58" s="165">
        <v>0</v>
      </c>
      <c r="V58" s="165">
        <v>0</v>
      </c>
      <c r="W58" s="165">
        <v>0</v>
      </c>
      <c r="X58" s="165">
        <v>0</v>
      </c>
      <c r="Y58" s="165">
        <v>0</v>
      </c>
      <c r="Z58" s="165">
        <v>0</v>
      </c>
      <c r="AA58" s="165">
        <v>0</v>
      </c>
      <c r="AB58" s="165">
        <v>0</v>
      </c>
      <c r="AC58" s="165">
        <v>0</v>
      </c>
      <c r="AD58" s="165">
        <v>0</v>
      </c>
      <c r="AE58" s="165">
        <v>0</v>
      </c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8"/>
      <c r="AU58" s="158"/>
      <c r="AV58" s="158"/>
      <c r="AW58" s="158"/>
      <c r="AX58" s="158"/>
      <c r="AY58" s="158"/>
      <c r="AZ58" s="158"/>
      <c r="BA58" s="158"/>
    </row>
    <row r="59" spans="1:53" s="158" customFormat="1" ht="16.25" customHeight="1" x14ac:dyDescent="0.4">
      <c r="A59" s="32"/>
      <c r="B59" s="32" t="s">
        <v>1262</v>
      </c>
      <c r="C59" s="32" t="s">
        <v>1264</v>
      </c>
      <c r="D59" s="32" t="s">
        <v>1270</v>
      </c>
      <c r="E59" s="32" t="s">
        <v>338</v>
      </c>
      <c r="F59" s="244" t="s">
        <v>1185</v>
      </c>
      <c r="G59" s="39">
        <v>150</v>
      </c>
      <c r="H59" s="118">
        <v>150</v>
      </c>
      <c r="I59" s="118">
        <v>150</v>
      </c>
      <c r="J59" s="165">
        <v>150</v>
      </c>
      <c r="K59" s="165">
        <v>150</v>
      </c>
      <c r="L59" s="165">
        <v>150</v>
      </c>
      <c r="M59" s="165">
        <v>150</v>
      </c>
      <c r="N59" s="165">
        <v>150</v>
      </c>
      <c r="O59" s="165">
        <v>150</v>
      </c>
      <c r="P59" s="165">
        <v>45</v>
      </c>
      <c r="Q59" s="165">
        <v>0</v>
      </c>
      <c r="R59" s="165">
        <v>0</v>
      </c>
      <c r="S59" s="165">
        <f t="shared" si="4"/>
        <v>0</v>
      </c>
      <c r="T59" s="165">
        <v>0</v>
      </c>
      <c r="U59" s="165">
        <v>0</v>
      </c>
      <c r="V59" s="165">
        <v>0</v>
      </c>
      <c r="W59" s="165">
        <v>0</v>
      </c>
      <c r="X59" s="165">
        <v>0</v>
      </c>
      <c r="Y59" s="165">
        <v>0</v>
      </c>
      <c r="Z59" s="165">
        <v>0</v>
      </c>
      <c r="AA59" s="165">
        <v>0</v>
      </c>
      <c r="AB59" s="165">
        <v>0</v>
      </c>
      <c r="AC59" s="165">
        <v>0</v>
      </c>
      <c r="AD59" s="165">
        <v>0</v>
      </c>
      <c r="AE59" s="165">
        <v>0</v>
      </c>
      <c r="AF59" s="165"/>
    </row>
    <row r="60" spans="1:53" s="158" customFormat="1" ht="16.25" customHeight="1" x14ac:dyDescent="0.4">
      <c r="A60" s="32"/>
      <c r="B60" s="32" t="s">
        <v>1262</v>
      </c>
      <c r="C60" s="32" t="s">
        <v>1264</v>
      </c>
      <c r="D60" s="32" t="s">
        <v>1271</v>
      </c>
      <c r="E60" s="15" t="s">
        <v>340</v>
      </c>
      <c r="F60" s="244" t="s">
        <v>1276</v>
      </c>
      <c r="G60" s="39">
        <v>300</v>
      </c>
      <c r="H60" s="118">
        <v>300</v>
      </c>
      <c r="I60" s="118">
        <v>300</v>
      </c>
      <c r="J60" s="165">
        <v>300</v>
      </c>
      <c r="K60" s="165">
        <v>300</v>
      </c>
      <c r="L60" s="165">
        <v>450</v>
      </c>
      <c r="M60" s="165">
        <v>49.5</v>
      </c>
      <c r="N60" s="165">
        <v>49.5</v>
      </c>
      <c r="O60" s="165">
        <v>0</v>
      </c>
      <c r="P60" s="165">
        <v>0</v>
      </c>
      <c r="Q60" s="165">
        <v>0</v>
      </c>
      <c r="R60" s="165">
        <v>0</v>
      </c>
      <c r="S60" s="165">
        <f t="shared" si="4"/>
        <v>0</v>
      </c>
      <c r="T60" s="165">
        <v>0</v>
      </c>
      <c r="U60" s="165">
        <v>0</v>
      </c>
      <c r="V60" s="165">
        <v>0</v>
      </c>
      <c r="W60" s="165">
        <v>0</v>
      </c>
      <c r="X60" s="165">
        <v>0</v>
      </c>
      <c r="Y60" s="165">
        <v>0</v>
      </c>
      <c r="Z60" s="165">
        <v>0</v>
      </c>
      <c r="AA60" s="165">
        <v>0</v>
      </c>
      <c r="AB60" s="165">
        <v>0</v>
      </c>
      <c r="AC60" s="165">
        <v>0</v>
      </c>
      <c r="AD60" s="165">
        <v>0</v>
      </c>
      <c r="AE60" s="165">
        <v>0</v>
      </c>
      <c r="AF60" s="165"/>
    </row>
    <row r="61" spans="1:53" s="34" customFormat="1" ht="16.25" customHeight="1" x14ac:dyDescent="0.4">
      <c r="A61" s="32"/>
      <c r="B61" s="32" t="s">
        <v>1262</v>
      </c>
      <c r="C61" s="32" t="s">
        <v>1264</v>
      </c>
      <c r="D61" s="32" t="s">
        <v>1271</v>
      </c>
      <c r="E61" s="15" t="s">
        <v>344</v>
      </c>
      <c r="F61" s="244" t="s">
        <v>1276</v>
      </c>
      <c r="G61" s="37">
        <v>200</v>
      </c>
      <c r="H61" s="118">
        <v>200</v>
      </c>
      <c r="I61" s="118">
        <v>200</v>
      </c>
      <c r="J61" s="165">
        <v>200</v>
      </c>
      <c r="K61" s="165">
        <v>200</v>
      </c>
      <c r="L61" s="165">
        <v>0</v>
      </c>
      <c r="M61" s="165">
        <v>0</v>
      </c>
      <c r="N61" s="165">
        <v>0</v>
      </c>
      <c r="O61" s="165">
        <v>0</v>
      </c>
      <c r="P61" s="165">
        <v>0</v>
      </c>
      <c r="Q61" s="165">
        <v>0</v>
      </c>
      <c r="R61" s="165">
        <v>0</v>
      </c>
      <c r="S61" s="165">
        <f t="shared" si="4"/>
        <v>0</v>
      </c>
      <c r="T61" s="165">
        <v>0</v>
      </c>
      <c r="U61" s="165">
        <v>0</v>
      </c>
      <c r="V61" s="165">
        <v>0</v>
      </c>
      <c r="W61" s="165">
        <v>0</v>
      </c>
      <c r="X61" s="165">
        <v>0</v>
      </c>
      <c r="Y61" s="165">
        <v>0</v>
      </c>
      <c r="Z61" s="165">
        <v>0</v>
      </c>
      <c r="AA61" s="165">
        <v>0</v>
      </c>
      <c r="AB61" s="165">
        <v>0</v>
      </c>
      <c r="AC61" s="165">
        <v>0</v>
      </c>
      <c r="AD61" s="165">
        <v>0</v>
      </c>
      <c r="AE61" s="165">
        <v>0</v>
      </c>
      <c r="AF61" s="165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</row>
    <row r="62" spans="1:53" s="34" customFormat="1" ht="16.25" customHeight="1" x14ac:dyDescent="0.4">
      <c r="A62" s="32"/>
      <c r="B62" s="32" t="s">
        <v>1262</v>
      </c>
      <c r="C62" s="32" t="s">
        <v>1264</v>
      </c>
      <c r="D62" s="32" t="s">
        <v>1274</v>
      </c>
      <c r="E62" s="15" t="s">
        <v>349</v>
      </c>
      <c r="F62" s="246" t="s">
        <v>1179</v>
      </c>
      <c r="G62" s="37">
        <v>0</v>
      </c>
      <c r="H62" s="118">
        <v>1400</v>
      </c>
      <c r="I62" s="118">
        <v>1400</v>
      </c>
      <c r="J62" s="165">
        <v>0</v>
      </c>
      <c r="K62" s="165">
        <v>0</v>
      </c>
      <c r="L62" s="165">
        <v>0</v>
      </c>
      <c r="M62" s="165">
        <v>0</v>
      </c>
      <c r="N62" s="165">
        <v>0</v>
      </c>
      <c r="O62" s="165">
        <v>0</v>
      </c>
      <c r="P62" s="165">
        <v>0</v>
      </c>
      <c r="Q62" s="165">
        <v>0</v>
      </c>
      <c r="R62" s="165">
        <v>0</v>
      </c>
      <c r="S62" s="165">
        <f t="shared" si="4"/>
        <v>0</v>
      </c>
      <c r="T62" s="165">
        <v>0</v>
      </c>
      <c r="U62" s="165">
        <v>0</v>
      </c>
      <c r="V62" s="165">
        <v>0</v>
      </c>
      <c r="W62" s="165">
        <v>0</v>
      </c>
      <c r="X62" s="165">
        <v>0</v>
      </c>
      <c r="Y62" s="165">
        <v>0</v>
      </c>
      <c r="Z62" s="165">
        <v>0</v>
      </c>
      <c r="AA62" s="165">
        <v>0</v>
      </c>
      <c r="AB62" s="165">
        <v>0</v>
      </c>
      <c r="AC62" s="165">
        <v>0</v>
      </c>
      <c r="AD62" s="165">
        <v>0</v>
      </c>
      <c r="AE62" s="165">
        <v>0</v>
      </c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</row>
    <row r="63" spans="1:53" s="158" customFormat="1" ht="16.25" customHeight="1" x14ac:dyDescent="0.4">
      <c r="A63" s="32"/>
      <c r="B63" s="32" t="s">
        <v>1262</v>
      </c>
      <c r="C63" s="32" t="s">
        <v>1264</v>
      </c>
      <c r="D63" s="32" t="s">
        <v>1270</v>
      </c>
      <c r="E63" s="32" t="s">
        <v>352</v>
      </c>
      <c r="F63" s="244" t="s">
        <v>1276</v>
      </c>
      <c r="G63" s="39"/>
      <c r="H63" s="118"/>
      <c r="I63" s="118"/>
      <c r="J63" s="165"/>
      <c r="K63" s="165">
        <v>0</v>
      </c>
      <c r="L63" s="165">
        <v>250</v>
      </c>
      <c r="M63" s="165">
        <v>378</v>
      </c>
      <c r="N63" s="165">
        <v>378</v>
      </c>
      <c r="O63" s="165">
        <v>150</v>
      </c>
      <c r="P63" s="165">
        <v>90</v>
      </c>
      <c r="Q63" s="165">
        <v>0</v>
      </c>
      <c r="R63" s="165">
        <v>0</v>
      </c>
      <c r="S63" s="165">
        <f t="shared" si="4"/>
        <v>0</v>
      </c>
      <c r="T63" s="165">
        <v>0</v>
      </c>
      <c r="U63" s="165">
        <v>0</v>
      </c>
      <c r="V63" s="165">
        <v>0</v>
      </c>
      <c r="W63" s="165">
        <v>0</v>
      </c>
      <c r="X63" s="165">
        <v>0</v>
      </c>
      <c r="Y63" s="165">
        <v>0</v>
      </c>
      <c r="Z63" s="165">
        <v>0</v>
      </c>
      <c r="AA63" s="165">
        <v>0</v>
      </c>
      <c r="AB63" s="165">
        <v>0</v>
      </c>
      <c r="AC63" s="165">
        <v>0</v>
      </c>
      <c r="AD63" s="165">
        <v>0</v>
      </c>
      <c r="AE63" s="165">
        <v>0</v>
      </c>
      <c r="AF63" s="165"/>
    </row>
    <row r="64" spans="1:53" s="158" customFormat="1" ht="13.5" customHeight="1" x14ac:dyDescent="0.4">
      <c r="A64" s="32"/>
      <c r="B64" s="32" t="s">
        <v>1262</v>
      </c>
      <c r="C64" s="32" t="s">
        <v>1264</v>
      </c>
      <c r="D64" s="32" t="s">
        <v>1271</v>
      </c>
      <c r="E64" s="32" t="s">
        <v>211</v>
      </c>
      <c r="F64" s="244" t="s">
        <v>1276</v>
      </c>
      <c r="G64" s="39"/>
      <c r="H64" s="118"/>
      <c r="I64" s="118"/>
      <c r="J64" s="118"/>
      <c r="K64" s="118"/>
      <c r="L64" s="165">
        <v>99.9</v>
      </c>
      <c r="M64" s="165">
        <v>99.9</v>
      </c>
      <c r="N64" s="165">
        <v>150</v>
      </c>
      <c r="O64" s="165">
        <v>150</v>
      </c>
      <c r="P64" s="165">
        <v>0</v>
      </c>
      <c r="Q64" s="165">
        <v>46</v>
      </c>
      <c r="R64" s="165">
        <v>0</v>
      </c>
      <c r="S64" s="165">
        <f>SUM(T64:AE64)</f>
        <v>0</v>
      </c>
      <c r="T64" s="165">
        <v>0</v>
      </c>
      <c r="U64" s="165">
        <v>0</v>
      </c>
      <c r="V64" s="165">
        <v>0</v>
      </c>
      <c r="W64" s="165">
        <v>0</v>
      </c>
      <c r="X64" s="165">
        <v>0</v>
      </c>
      <c r="Y64" s="165">
        <v>0</v>
      </c>
      <c r="Z64" s="165">
        <v>0</v>
      </c>
      <c r="AA64" s="165">
        <v>0</v>
      </c>
      <c r="AB64" s="165">
        <v>0</v>
      </c>
      <c r="AC64" s="165">
        <v>0</v>
      </c>
      <c r="AD64" s="165">
        <v>0</v>
      </c>
      <c r="AE64" s="165">
        <v>0</v>
      </c>
      <c r="AF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</row>
    <row r="65" spans="1:53" s="34" customFormat="1" ht="16.25" customHeight="1" x14ac:dyDescent="0.4">
      <c r="A65" s="32"/>
      <c r="B65" s="32" t="s">
        <v>1262</v>
      </c>
      <c r="C65" s="32" t="s">
        <v>1264</v>
      </c>
      <c r="D65" s="32" t="s">
        <v>1274</v>
      </c>
      <c r="E65" s="32" t="s">
        <v>359</v>
      </c>
      <c r="F65" s="246" t="s">
        <v>1179</v>
      </c>
      <c r="G65" s="45"/>
      <c r="H65" s="118"/>
      <c r="I65" s="118"/>
      <c r="J65" s="165"/>
      <c r="K65" s="165"/>
      <c r="L65" s="165"/>
      <c r="M65" s="165"/>
      <c r="N65" s="165"/>
      <c r="O65" s="165">
        <v>300</v>
      </c>
      <c r="P65" s="165">
        <v>0</v>
      </c>
      <c r="Q65" s="165">
        <v>0</v>
      </c>
      <c r="R65" s="165">
        <v>0</v>
      </c>
      <c r="S65" s="165">
        <f t="shared" ref="S65:S75" si="5">SUM(T65:AE65)</f>
        <v>0</v>
      </c>
      <c r="T65" s="165"/>
      <c r="U65" s="165"/>
      <c r="V65" s="165"/>
      <c r="W65" s="165"/>
      <c r="X65" s="165"/>
      <c r="Y65" s="165"/>
      <c r="Z65" s="165"/>
      <c r="AA65" s="165"/>
      <c r="AB65" s="165"/>
      <c r="AC65" s="165">
        <v>0</v>
      </c>
      <c r="AD65" s="165">
        <v>0</v>
      </c>
      <c r="AE65" s="165">
        <v>0</v>
      </c>
      <c r="AF65" s="165"/>
      <c r="AG65" s="158"/>
    </row>
    <row r="66" spans="1:53" s="34" customFormat="1" ht="16.25" customHeight="1" x14ac:dyDescent="0.4">
      <c r="A66" s="32"/>
      <c r="B66" s="32" t="s">
        <v>1262</v>
      </c>
      <c r="C66" s="32" t="s">
        <v>1264</v>
      </c>
      <c r="D66" s="32" t="s">
        <v>1274</v>
      </c>
      <c r="E66" s="32" t="s">
        <v>360</v>
      </c>
      <c r="F66" s="244" t="s">
        <v>1185</v>
      </c>
      <c r="G66" s="39"/>
      <c r="H66" s="118"/>
      <c r="I66" s="118"/>
      <c r="J66" s="118"/>
      <c r="K66" s="118"/>
      <c r="L66" s="165"/>
      <c r="M66" s="165"/>
      <c r="N66" s="165"/>
      <c r="O66" s="165">
        <v>250</v>
      </c>
      <c r="P66" s="165">
        <v>0</v>
      </c>
      <c r="Q66" s="165">
        <v>0</v>
      </c>
      <c r="R66" s="165">
        <v>208</v>
      </c>
      <c r="S66" s="165">
        <f t="shared" si="5"/>
        <v>208</v>
      </c>
      <c r="T66" s="165"/>
      <c r="U66" s="165"/>
      <c r="V66" s="165"/>
      <c r="W66" s="165"/>
      <c r="X66" s="165"/>
      <c r="Y66" s="165"/>
      <c r="Z66" s="165"/>
      <c r="AA66" s="165"/>
      <c r="AB66" s="165"/>
      <c r="AC66" s="165">
        <v>0</v>
      </c>
      <c r="AD66" s="165">
        <v>0</v>
      </c>
      <c r="AE66" s="165">
        <v>208</v>
      </c>
      <c r="AG66" s="165"/>
      <c r="AH66" s="158"/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  <c r="AT66" s="158"/>
      <c r="AU66" s="158"/>
      <c r="AV66" s="158"/>
      <c r="AW66" s="158"/>
      <c r="AX66" s="158"/>
      <c r="AY66" s="158"/>
      <c r="AZ66" s="158"/>
      <c r="BA66" s="158"/>
    </row>
    <row r="67" spans="1:53" s="158" customFormat="1" ht="16.25" customHeight="1" x14ac:dyDescent="0.35">
      <c r="A67" s="32"/>
      <c r="B67" s="32" t="s">
        <v>1262</v>
      </c>
      <c r="C67" s="32" t="s">
        <v>1264</v>
      </c>
      <c r="D67" s="32" t="s">
        <v>1274</v>
      </c>
      <c r="E67" s="32" t="s">
        <v>362</v>
      </c>
      <c r="F67" s="244" t="s">
        <v>1185</v>
      </c>
      <c r="G67" s="44"/>
      <c r="H67" s="39"/>
      <c r="I67" s="39"/>
      <c r="J67" s="39"/>
      <c r="K67" s="39"/>
      <c r="L67" s="39"/>
      <c r="M67" s="39"/>
      <c r="N67" s="39"/>
      <c r="O67" s="165"/>
      <c r="P67" s="165">
        <v>206</v>
      </c>
      <c r="Q67" s="165">
        <v>130</v>
      </c>
      <c r="R67" s="165">
        <v>0</v>
      </c>
      <c r="S67" s="165">
        <f t="shared" si="5"/>
        <v>0</v>
      </c>
      <c r="T67" s="34"/>
      <c r="U67" s="34"/>
      <c r="V67" s="34"/>
      <c r="W67" s="34"/>
      <c r="X67" s="34"/>
      <c r="Y67" s="34"/>
      <c r="Z67" s="34"/>
      <c r="AA67" s="34"/>
      <c r="AB67" s="34"/>
      <c r="AC67" s="165">
        <v>0</v>
      </c>
      <c r="AD67" s="165">
        <v>0</v>
      </c>
      <c r="AE67" s="165">
        <v>0</v>
      </c>
      <c r="AF67" s="115"/>
      <c r="AG67" s="115"/>
    </row>
    <row r="68" spans="1:53" s="158" customFormat="1" ht="16.25" customHeight="1" x14ac:dyDescent="0.4">
      <c r="A68" s="32"/>
      <c r="B68" s="32" t="s">
        <v>1262</v>
      </c>
      <c r="C68" s="32" t="s">
        <v>1264</v>
      </c>
      <c r="D68" s="32" t="s">
        <v>1270</v>
      </c>
      <c r="E68" s="36" t="s">
        <v>363</v>
      </c>
      <c r="F68" s="244" t="s">
        <v>1275</v>
      </c>
      <c r="G68" s="39">
        <v>2000</v>
      </c>
      <c r="H68" s="118">
        <v>2000</v>
      </c>
      <c r="I68" s="118">
        <v>1000</v>
      </c>
      <c r="J68" s="118">
        <v>0</v>
      </c>
      <c r="K68" s="118">
        <v>0</v>
      </c>
      <c r="L68" s="118">
        <v>0</v>
      </c>
      <c r="M68" s="118">
        <v>0</v>
      </c>
      <c r="N68" s="118">
        <v>0</v>
      </c>
      <c r="O68" s="165">
        <v>0</v>
      </c>
      <c r="P68" s="165">
        <v>0</v>
      </c>
      <c r="Q68" s="165">
        <v>0</v>
      </c>
      <c r="R68" s="165">
        <v>0</v>
      </c>
      <c r="S68" s="165">
        <f t="shared" si="5"/>
        <v>0</v>
      </c>
      <c r="T68" s="165">
        <v>0</v>
      </c>
      <c r="U68" s="165">
        <v>0</v>
      </c>
      <c r="V68" s="165">
        <v>0</v>
      </c>
      <c r="W68" s="165">
        <v>0</v>
      </c>
      <c r="X68" s="165">
        <v>0</v>
      </c>
      <c r="Y68" s="165">
        <v>0</v>
      </c>
      <c r="Z68" s="165">
        <v>0</v>
      </c>
      <c r="AA68" s="165">
        <v>0</v>
      </c>
      <c r="AB68" s="165">
        <v>0</v>
      </c>
      <c r="AC68" s="165">
        <v>0</v>
      </c>
      <c r="AD68" s="165">
        <v>0</v>
      </c>
      <c r="AE68" s="165">
        <v>0</v>
      </c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</row>
    <row r="69" spans="1:53" s="158" customFormat="1" ht="16.25" customHeight="1" x14ac:dyDescent="0.4">
      <c r="A69" s="32"/>
      <c r="B69" s="32" t="s">
        <v>1262</v>
      </c>
      <c r="C69" s="32" t="s">
        <v>1264</v>
      </c>
      <c r="D69" s="32" t="s">
        <v>1271</v>
      </c>
      <c r="E69" s="53" t="s">
        <v>363</v>
      </c>
      <c r="F69" s="244" t="s">
        <v>1276</v>
      </c>
      <c r="G69" s="37"/>
      <c r="H69" s="118">
        <v>315</v>
      </c>
      <c r="I69" s="118">
        <v>315</v>
      </c>
      <c r="J69" s="118">
        <v>0</v>
      </c>
      <c r="K69" s="118">
        <v>0</v>
      </c>
      <c r="L69" s="118">
        <v>0</v>
      </c>
      <c r="M69" s="118">
        <v>0</v>
      </c>
      <c r="N69" s="118">
        <v>0</v>
      </c>
      <c r="O69" s="165">
        <v>0</v>
      </c>
      <c r="P69" s="165">
        <v>0</v>
      </c>
      <c r="Q69" s="165">
        <v>0</v>
      </c>
      <c r="R69" s="165">
        <v>0</v>
      </c>
      <c r="S69" s="165">
        <f t="shared" si="5"/>
        <v>0</v>
      </c>
      <c r="T69" s="165">
        <v>0</v>
      </c>
      <c r="U69" s="165">
        <v>0</v>
      </c>
      <c r="V69" s="165">
        <v>0</v>
      </c>
      <c r="W69" s="165">
        <v>0</v>
      </c>
      <c r="X69" s="165">
        <v>0</v>
      </c>
      <c r="Y69" s="165">
        <v>0</v>
      </c>
      <c r="Z69" s="165">
        <v>0</v>
      </c>
      <c r="AA69" s="165">
        <v>0</v>
      </c>
      <c r="AB69" s="165">
        <v>0</v>
      </c>
      <c r="AC69" s="165">
        <v>0</v>
      </c>
      <c r="AD69" s="165">
        <v>0</v>
      </c>
      <c r="AE69" s="165">
        <v>0</v>
      </c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</row>
    <row r="70" spans="1:53" s="158" customFormat="1" ht="16.25" customHeight="1" x14ac:dyDescent="0.4">
      <c r="A70" s="32"/>
      <c r="B70" s="32" t="s">
        <v>1262</v>
      </c>
      <c r="C70" s="32" t="s">
        <v>1264</v>
      </c>
      <c r="D70" s="32" t="s">
        <v>1271</v>
      </c>
      <c r="E70" s="36" t="s">
        <v>193</v>
      </c>
      <c r="F70" s="244" t="s">
        <v>1275</v>
      </c>
      <c r="G70" s="39">
        <v>500</v>
      </c>
      <c r="H70" s="118">
        <v>500</v>
      </c>
      <c r="I70" s="118">
        <v>500</v>
      </c>
      <c r="J70" s="118">
        <v>0</v>
      </c>
      <c r="K70" s="118">
        <v>0</v>
      </c>
      <c r="L70" s="118">
        <v>0</v>
      </c>
      <c r="M70" s="118">
        <v>0</v>
      </c>
      <c r="N70" s="118">
        <v>0</v>
      </c>
      <c r="O70" s="165">
        <v>0</v>
      </c>
      <c r="P70" s="165">
        <v>0</v>
      </c>
      <c r="Q70" s="165">
        <v>0</v>
      </c>
      <c r="R70" s="165">
        <v>0</v>
      </c>
      <c r="S70" s="165">
        <f t="shared" si="5"/>
        <v>0</v>
      </c>
      <c r="T70" s="165">
        <v>0</v>
      </c>
      <c r="U70" s="165">
        <v>0</v>
      </c>
      <c r="V70" s="165">
        <v>0</v>
      </c>
      <c r="W70" s="165">
        <v>0</v>
      </c>
      <c r="X70" s="165">
        <v>0</v>
      </c>
      <c r="Y70" s="165">
        <v>0</v>
      </c>
      <c r="Z70" s="165">
        <v>0</v>
      </c>
      <c r="AA70" s="165">
        <v>0</v>
      </c>
      <c r="AB70" s="165">
        <v>0</v>
      </c>
      <c r="AC70" s="165">
        <v>0</v>
      </c>
      <c r="AD70" s="165">
        <v>0</v>
      </c>
      <c r="AE70" s="165">
        <v>0</v>
      </c>
      <c r="AF70" s="34"/>
      <c r="AG70" s="34"/>
    </row>
    <row r="71" spans="1:53" s="158" customFormat="1" ht="16.25" customHeight="1" x14ac:dyDescent="0.4">
      <c r="A71" s="32"/>
      <c r="B71" s="32" t="s">
        <v>1262</v>
      </c>
      <c r="C71" s="32" t="s">
        <v>1264</v>
      </c>
      <c r="D71" s="32" t="s">
        <v>1271</v>
      </c>
      <c r="E71" s="36" t="s">
        <v>193</v>
      </c>
      <c r="F71" s="244" t="s">
        <v>1275</v>
      </c>
      <c r="G71" s="39">
        <v>2000</v>
      </c>
      <c r="H71" s="118">
        <v>2000</v>
      </c>
      <c r="I71" s="118">
        <v>2000</v>
      </c>
      <c r="J71" s="118">
        <v>0</v>
      </c>
      <c r="K71" s="118">
        <v>0</v>
      </c>
      <c r="L71" s="118">
        <v>0</v>
      </c>
      <c r="M71" s="118">
        <v>0</v>
      </c>
      <c r="N71" s="118">
        <v>0</v>
      </c>
      <c r="O71" s="165">
        <v>0</v>
      </c>
      <c r="P71" s="165">
        <v>0</v>
      </c>
      <c r="Q71" s="165">
        <v>0</v>
      </c>
      <c r="R71" s="165">
        <v>0</v>
      </c>
      <c r="S71" s="165">
        <f t="shared" si="5"/>
        <v>0</v>
      </c>
      <c r="T71" s="165">
        <v>0</v>
      </c>
      <c r="U71" s="165">
        <v>0</v>
      </c>
      <c r="V71" s="165">
        <v>0</v>
      </c>
      <c r="W71" s="165">
        <v>0</v>
      </c>
      <c r="X71" s="165">
        <v>0</v>
      </c>
      <c r="Y71" s="165">
        <v>0</v>
      </c>
      <c r="Z71" s="165">
        <v>0</v>
      </c>
      <c r="AA71" s="165">
        <v>0</v>
      </c>
      <c r="AB71" s="165">
        <v>0</v>
      </c>
      <c r="AC71" s="165">
        <v>0</v>
      </c>
      <c r="AD71" s="165">
        <v>0</v>
      </c>
      <c r="AE71" s="165">
        <v>0</v>
      </c>
      <c r="AF71" s="34"/>
      <c r="AG71" s="34"/>
    </row>
    <row r="72" spans="1:53" s="158" customFormat="1" ht="16.25" customHeight="1" x14ac:dyDescent="0.4">
      <c r="A72" s="32"/>
      <c r="B72" s="32" t="s">
        <v>1262</v>
      </c>
      <c r="C72" s="32" t="s">
        <v>1264</v>
      </c>
      <c r="D72" s="32" t="s">
        <v>1271</v>
      </c>
      <c r="E72" s="36" t="s">
        <v>193</v>
      </c>
      <c r="F72" s="244" t="s">
        <v>1276</v>
      </c>
      <c r="G72" s="39"/>
      <c r="H72" s="118">
        <v>0</v>
      </c>
      <c r="I72" s="118">
        <v>100</v>
      </c>
      <c r="J72" s="118">
        <v>100</v>
      </c>
      <c r="K72" s="118">
        <v>100</v>
      </c>
      <c r="L72" s="118">
        <v>0</v>
      </c>
      <c r="M72" s="118">
        <v>0</v>
      </c>
      <c r="N72" s="118">
        <v>0</v>
      </c>
      <c r="O72" s="165">
        <v>0</v>
      </c>
      <c r="P72" s="165">
        <v>0</v>
      </c>
      <c r="Q72" s="165">
        <v>0</v>
      </c>
      <c r="R72" s="165">
        <v>0</v>
      </c>
      <c r="S72" s="165">
        <f t="shared" si="5"/>
        <v>0</v>
      </c>
      <c r="T72" s="165">
        <v>0</v>
      </c>
      <c r="U72" s="165">
        <v>0</v>
      </c>
      <c r="V72" s="165">
        <v>0</v>
      </c>
      <c r="W72" s="165">
        <v>0</v>
      </c>
      <c r="X72" s="165">
        <v>0</v>
      </c>
      <c r="Y72" s="165">
        <v>0</v>
      </c>
      <c r="Z72" s="165">
        <v>0</v>
      </c>
      <c r="AA72" s="165">
        <v>0</v>
      </c>
      <c r="AB72" s="165">
        <v>0</v>
      </c>
      <c r="AC72" s="165">
        <v>0</v>
      </c>
      <c r="AD72" s="165">
        <v>0</v>
      </c>
      <c r="AE72" s="165">
        <v>0</v>
      </c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</row>
    <row r="73" spans="1:53" s="158" customFormat="1" ht="16.25" customHeight="1" x14ac:dyDescent="0.4">
      <c r="A73" s="32"/>
      <c r="B73" s="32" t="s">
        <v>1262</v>
      </c>
      <c r="C73" s="32" t="s">
        <v>1264</v>
      </c>
      <c r="D73" s="32" t="s">
        <v>1271</v>
      </c>
      <c r="E73" s="32" t="s">
        <v>193</v>
      </c>
      <c r="F73" s="244" t="s">
        <v>1275</v>
      </c>
      <c r="G73" s="39">
        <v>500</v>
      </c>
      <c r="H73" s="118">
        <v>500</v>
      </c>
      <c r="I73" s="118">
        <v>500</v>
      </c>
      <c r="J73" s="118">
        <v>500</v>
      </c>
      <c r="K73" s="118">
        <v>500</v>
      </c>
      <c r="L73" s="118">
        <v>500</v>
      </c>
      <c r="M73" s="118">
        <v>500</v>
      </c>
      <c r="N73" s="118">
        <v>500</v>
      </c>
      <c r="O73" s="165">
        <v>0</v>
      </c>
      <c r="P73" s="165">
        <v>0</v>
      </c>
      <c r="Q73" s="165">
        <v>0</v>
      </c>
      <c r="R73" s="165">
        <v>0</v>
      </c>
      <c r="S73" s="165">
        <f t="shared" si="5"/>
        <v>0</v>
      </c>
      <c r="T73" s="165">
        <v>0</v>
      </c>
      <c r="U73" s="165">
        <v>0</v>
      </c>
      <c r="V73" s="165">
        <v>0</v>
      </c>
      <c r="W73" s="165">
        <v>0</v>
      </c>
      <c r="X73" s="165">
        <v>0</v>
      </c>
      <c r="Y73" s="165">
        <v>0</v>
      </c>
      <c r="Z73" s="165">
        <v>0</v>
      </c>
      <c r="AA73" s="165">
        <v>0</v>
      </c>
      <c r="AB73" s="165">
        <v>0</v>
      </c>
      <c r="AC73" s="165">
        <v>0</v>
      </c>
      <c r="AD73" s="165">
        <v>0</v>
      </c>
      <c r="AE73" s="165">
        <v>0</v>
      </c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</row>
    <row r="74" spans="1:53" s="158" customFormat="1" ht="16.25" customHeight="1" x14ac:dyDescent="0.4">
      <c r="A74" s="32"/>
      <c r="B74" s="32" t="s">
        <v>1262</v>
      </c>
      <c r="C74" s="32" t="s">
        <v>1264</v>
      </c>
      <c r="D74" s="32" t="s">
        <v>1271</v>
      </c>
      <c r="E74" s="15" t="s">
        <v>193</v>
      </c>
      <c r="F74" s="244" t="s">
        <v>1276</v>
      </c>
      <c r="G74" s="39">
        <v>0</v>
      </c>
      <c r="H74" s="118">
        <v>0</v>
      </c>
      <c r="I74" s="118">
        <v>0</v>
      </c>
      <c r="J74" s="165">
        <v>0</v>
      </c>
      <c r="K74" s="165">
        <v>0</v>
      </c>
      <c r="L74" s="165">
        <v>0</v>
      </c>
      <c r="M74" s="165">
        <v>0</v>
      </c>
      <c r="N74" s="165">
        <v>0</v>
      </c>
      <c r="O74" s="165">
        <v>0</v>
      </c>
      <c r="P74" s="165">
        <v>0</v>
      </c>
      <c r="Q74" s="165">
        <v>0</v>
      </c>
      <c r="R74" s="165">
        <v>0</v>
      </c>
      <c r="S74" s="165">
        <f t="shared" si="5"/>
        <v>0</v>
      </c>
      <c r="T74" s="165">
        <v>0</v>
      </c>
      <c r="U74" s="165">
        <v>0</v>
      </c>
      <c r="V74" s="165">
        <v>0</v>
      </c>
      <c r="W74" s="165">
        <v>0</v>
      </c>
      <c r="X74" s="165">
        <v>0</v>
      </c>
      <c r="Y74" s="165">
        <v>0</v>
      </c>
      <c r="Z74" s="165">
        <v>0</v>
      </c>
      <c r="AA74" s="165">
        <v>0</v>
      </c>
      <c r="AB74" s="165">
        <v>0</v>
      </c>
      <c r="AC74" s="165">
        <v>0</v>
      </c>
      <c r="AD74" s="165">
        <v>0</v>
      </c>
      <c r="AE74" s="165">
        <v>0</v>
      </c>
    </row>
    <row r="75" spans="1:53" s="158" customFormat="1" ht="16.25" customHeight="1" x14ac:dyDescent="0.4">
      <c r="A75" s="32"/>
      <c r="B75" s="32" t="s">
        <v>1262</v>
      </c>
      <c r="C75" s="32" t="s">
        <v>1264</v>
      </c>
      <c r="D75" s="32" t="s">
        <v>1271</v>
      </c>
      <c r="E75" s="15" t="s">
        <v>193</v>
      </c>
      <c r="F75" s="244" t="s">
        <v>1276</v>
      </c>
      <c r="G75" s="37">
        <v>0</v>
      </c>
      <c r="H75" s="118">
        <v>0</v>
      </c>
      <c r="I75" s="118">
        <v>0</v>
      </c>
      <c r="J75" s="165">
        <v>0</v>
      </c>
      <c r="K75" s="165">
        <v>0</v>
      </c>
      <c r="L75" s="165">
        <v>0</v>
      </c>
      <c r="M75" s="165">
        <v>0</v>
      </c>
      <c r="N75" s="165">
        <v>0</v>
      </c>
      <c r="O75" s="165">
        <v>0</v>
      </c>
      <c r="P75" s="165">
        <v>0</v>
      </c>
      <c r="Q75" s="165">
        <v>0</v>
      </c>
      <c r="R75" s="165">
        <v>0</v>
      </c>
      <c r="S75" s="165">
        <f t="shared" si="5"/>
        <v>0</v>
      </c>
      <c r="T75" s="165">
        <v>0</v>
      </c>
      <c r="U75" s="165">
        <v>0</v>
      </c>
      <c r="V75" s="165">
        <v>0</v>
      </c>
      <c r="W75" s="165">
        <v>0</v>
      </c>
      <c r="X75" s="165">
        <v>0</v>
      </c>
      <c r="Y75" s="165">
        <v>0</v>
      </c>
      <c r="Z75" s="165">
        <v>0</v>
      </c>
      <c r="AA75" s="165">
        <v>0</v>
      </c>
      <c r="AB75" s="165">
        <v>0</v>
      </c>
      <c r="AC75" s="165">
        <v>0</v>
      </c>
      <c r="AD75" s="165">
        <v>0</v>
      </c>
      <c r="AE75" s="165">
        <v>0</v>
      </c>
    </row>
    <row r="76" spans="1:53" s="158" customFormat="1" ht="16.25" customHeight="1" x14ac:dyDescent="0.4">
      <c r="A76" s="32" t="s">
        <v>1278</v>
      </c>
      <c r="B76" s="32" t="s">
        <v>1262</v>
      </c>
      <c r="C76" s="32" t="s">
        <v>1265</v>
      </c>
      <c r="D76" s="32" t="s">
        <v>1269</v>
      </c>
      <c r="E76" s="15" t="s">
        <v>392</v>
      </c>
      <c r="F76" s="244" t="s">
        <v>1276</v>
      </c>
      <c r="G76" s="37"/>
      <c r="H76" s="118"/>
      <c r="I76" s="118"/>
      <c r="J76" s="165">
        <v>0</v>
      </c>
      <c r="K76" s="165">
        <v>-0.33700000000000002</v>
      </c>
      <c r="L76" s="165">
        <v>-0.33700000000000002</v>
      </c>
      <c r="M76" s="165">
        <v>-0.33700000000000002</v>
      </c>
      <c r="N76" s="165">
        <v>1.8810000000000002</v>
      </c>
      <c r="O76" s="165">
        <v>1.8810000000000002</v>
      </c>
      <c r="P76" s="165">
        <v>1.8810000000000002</v>
      </c>
      <c r="Q76" s="165">
        <v>1.8810000000000002</v>
      </c>
      <c r="R76" s="165">
        <v>1.8810000000000002</v>
      </c>
      <c r="S76" s="165">
        <f t="shared" ref="S76:S100" si="6">SUM(T76:AE76)</f>
        <v>1.8810000000000002</v>
      </c>
      <c r="T76" s="165">
        <v>0</v>
      </c>
      <c r="U76" s="165">
        <v>-0.33700000000000002</v>
      </c>
      <c r="V76" s="165">
        <v>0</v>
      </c>
      <c r="W76" s="165">
        <v>0</v>
      </c>
      <c r="X76" s="165">
        <v>1.2210000000000001</v>
      </c>
      <c r="Y76" s="165">
        <v>0.997</v>
      </c>
      <c r="Z76" s="165">
        <v>0</v>
      </c>
      <c r="AA76" s="165">
        <v>0</v>
      </c>
      <c r="AB76" s="165">
        <v>0</v>
      </c>
      <c r="AC76" s="165">
        <v>0</v>
      </c>
      <c r="AD76" s="165">
        <v>0</v>
      </c>
      <c r="AE76" s="165">
        <v>0</v>
      </c>
      <c r="AF76" s="165"/>
      <c r="AG76" s="165"/>
    </row>
    <row r="77" spans="1:53" s="158" customFormat="1" ht="16.25" customHeight="1" x14ac:dyDescent="0.4">
      <c r="A77" s="32" t="s">
        <v>1278</v>
      </c>
      <c r="B77" s="32" t="s">
        <v>1262</v>
      </c>
      <c r="C77" s="32" t="s">
        <v>1265</v>
      </c>
      <c r="D77" s="32" t="s">
        <v>1269</v>
      </c>
      <c r="E77" s="15" t="s">
        <v>394</v>
      </c>
      <c r="F77" s="244" t="s">
        <v>1276</v>
      </c>
      <c r="G77" s="37">
        <v>238</v>
      </c>
      <c r="H77" s="118">
        <v>238</v>
      </c>
      <c r="I77" s="118">
        <v>249.93600000000001</v>
      </c>
      <c r="J77" s="165">
        <v>249.93600000000001</v>
      </c>
      <c r="K77" s="165">
        <v>251.423</v>
      </c>
      <c r="L77" s="165">
        <v>260.226</v>
      </c>
      <c r="M77" s="165">
        <v>135</v>
      </c>
      <c r="N77" s="165">
        <v>129.91299999999998</v>
      </c>
      <c r="O77" s="165">
        <v>129.91299999999998</v>
      </c>
      <c r="P77" s="165">
        <v>129.91299999999998</v>
      </c>
      <c r="Q77" s="165">
        <v>129.91299999999998</v>
      </c>
      <c r="R77" s="165">
        <v>129.91299999999998</v>
      </c>
      <c r="S77" s="165">
        <f t="shared" si="6"/>
        <v>129.91299999999998</v>
      </c>
      <c r="T77" s="165">
        <v>6.6040000000000001</v>
      </c>
      <c r="U77" s="165">
        <v>5.5780000000000003</v>
      </c>
      <c r="V77" s="165">
        <v>22.241</v>
      </c>
      <c r="W77" s="165">
        <v>8.8000000000000007</v>
      </c>
      <c r="X77" s="165">
        <v>5.9950000000000001</v>
      </c>
      <c r="Y77" s="165">
        <v>80.694999999999993</v>
      </c>
      <c r="Z77" s="165">
        <v>0</v>
      </c>
      <c r="AA77" s="165">
        <v>0</v>
      </c>
      <c r="AB77" s="165">
        <v>0</v>
      </c>
      <c r="AC77" s="165">
        <v>0</v>
      </c>
      <c r="AD77" s="165">
        <v>0</v>
      </c>
      <c r="AE77" s="165">
        <v>0</v>
      </c>
      <c r="AF77" s="165"/>
      <c r="AG77" s="165"/>
    </row>
    <row r="78" spans="1:53" s="158" customFormat="1" ht="16.25" customHeight="1" x14ac:dyDescent="0.4">
      <c r="A78" s="32" t="s">
        <v>1278</v>
      </c>
      <c r="B78" s="32" t="s">
        <v>1262</v>
      </c>
      <c r="C78" s="32" t="s">
        <v>1265</v>
      </c>
      <c r="D78" s="32" t="s">
        <v>1271</v>
      </c>
      <c r="E78" s="15" t="s">
        <v>398</v>
      </c>
      <c r="F78" s="244" t="s">
        <v>1276</v>
      </c>
      <c r="G78" s="37"/>
      <c r="H78" s="118"/>
      <c r="I78" s="118"/>
      <c r="J78" s="165">
        <v>0</v>
      </c>
      <c r="K78" s="165">
        <v>-1.9E-2</v>
      </c>
      <c r="L78" s="165">
        <v>-1.9E-2</v>
      </c>
      <c r="M78" s="165">
        <v>-1.9E-2</v>
      </c>
      <c r="N78" s="165">
        <v>-1.9E-2</v>
      </c>
      <c r="O78" s="165">
        <v>-1.9E-2</v>
      </c>
      <c r="P78" s="165">
        <v>-1.9E-2</v>
      </c>
      <c r="Q78" s="165">
        <v>-1.9E-2</v>
      </c>
      <c r="R78" s="165">
        <v>-1.9E-2</v>
      </c>
      <c r="S78" s="165">
        <f t="shared" si="6"/>
        <v>-1.9E-2</v>
      </c>
      <c r="T78" s="165">
        <v>0</v>
      </c>
      <c r="U78" s="165">
        <v>-1.9E-2</v>
      </c>
      <c r="V78" s="165">
        <v>0</v>
      </c>
      <c r="W78" s="165">
        <v>0</v>
      </c>
      <c r="X78" s="165">
        <v>0</v>
      </c>
      <c r="Y78" s="165">
        <v>0</v>
      </c>
      <c r="Z78" s="165">
        <v>0</v>
      </c>
      <c r="AA78" s="165">
        <v>0</v>
      </c>
      <c r="AB78" s="165">
        <v>0</v>
      </c>
      <c r="AC78" s="165">
        <v>0</v>
      </c>
      <c r="AD78" s="165">
        <v>0</v>
      </c>
      <c r="AE78" s="165">
        <v>0</v>
      </c>
      <c r="AF78" s="165"/>
      <c r="AG78" s="165"/>
    </row>
    <row r="79" spans="1:53" s="142" customFormat="1" ht="16.25" customHeight="1" x14ac:dyDescent="0.4">
      <c r="A79" s="32" t="s">
        <v>1278</v>
      </c>
      <c r="B79" s="32" t="s">
        <v>1262</v>
      </c>
      <c r="C79" s="32" t="s">
        <v>1265</v>
      </c>
      <c r="D79" s="32" t="s">
        <v>1271</v>
      </c>
      <c r="E79" s="15" t="s">
        <v>400</v>
      </c>
      <c r="F79" s="244" t="s">
        <v>1275</v>
      </c>
      <c r="G79" s="37">
        <v>129</v>
      </c>
      <c r="H79" s="118">
        <v>145.97999999999999</v>
      </c>
      <c r="I79" s="118">
        <v>145.97999999999999</v>
      </c>
      <c r="J79" s="165">
        <v>145.97999999999999</v>
      </c>
      <c r="K79" s="165">
        <v>146.70000000000002</v>
      </c>
      <c r="L79" s="165">
        <v>146.70000000000002</v>
      </c>
      <c r="M79" s="165">
        <v>146.70000000000002</v>
      </c>
      <c r="N79" s="165">
        <v>147.00399999999999</v>
      </c>
      <c r="O79" s="165">
        <v>157.52000000000001</v>
      </c>
      <c r="P79" s="165">
        <v>157.52000000000001</v>
      </c>
      <c r="Q79" s="165">
        <v>157.52000000000001</v>
      </c>
      <c r="R79" s="165">
        <v>104.37100000000001</v>
      </c>
      <c r="S79" s="165">
        <f t="shared" si="6"/>
        <v>104.37100000000001</v>
      </c>
      <c r="T79" s="165">
        <v>26.600999999999999</v>
      </c>
      <c r="U79" s="165">
        <v>1.5389999999999999</v>
      </c>
      <c r="V79" s="165">
        <v>-26.234000000000002</v>
      </c>
      <c r="W79" s="165">
        <v>29.106000000000002</v>
      </c>
      <c r="X79" s="165">
        <v>2.5960000000000001</v>
      </c>
      <c r="Y79" s="165">
        <v>16.396000000000001</v>
      </c>
      <c r="Z79" s="165">
        <v>1.867</v>
      </c>
      <c r="AA79" s="165">
        <v>0.5</v>
      </c>
      <c r="AB79" s="165">
        <v>2</v>
      </c>
      <c r="AC79" s="165">
        <v>0</v>
      </c>
      <c r="AD79" s="165">
        <v>30</v>
      </c>
      <c r="AE79" s="165">
        <v>20</v>
      </c>
      <c r="AF79" s="165"/>
      <c r="AG79" s="165"/>
    </row>
    <row r="80" spans="1:53" s="142" customFormat="1" ht="16.25" customHeight="1" x14ac:dyDescent="0.4">
      <c r="A80" s="32" t="s">
        <v>1280</v>
      </c>
      <c r="B80" s="32" t="s">
        <v>1262</v>
      </c>
      <c r="C80" s="32" t="s">
        <v>1265</v>
      </c>
      <c r="D80" s="32" t="s">
        <v>1271</v>
      </c>
      <c r="E80" s="15" t="s">
        <v>403</v>
      </c>
      <c r="F80" s="244" t="s">
        <v>1276</v>
      </c>
      <c r="G80" s="37">
        <v>463.5</v>
      </c>
      <c r="H80" s="118">
        <v>454.29660000000001</v>
      </c>
      <c r="I80" s="118">
        <v>454.29660000000001</v>
      </c>
      <c r="J80" s="165">
        <v>454.29660000000001</v>
      </c>
      <c r="K80" s="165">
        <v>435.73700000000002</v>
      </c>
      <c r="L80" s="165">
        <v>435.73700000000002</v>
      </c>
      <c r="M80" s="165">
        <v>455</v>
      </c>
      <c r="N80" s="165">
        <v>457.29399999999998</v>
      </c>
      <c r="O80" s="165">
        <v>432.202</v>
      </c>
      <c r="P80" s="165">
        <v>419.00900000000001</v>
      </c>
      <c r="Q80" s="165">
        <v>418.41800000000001</v>
      </c>
      <c r="R80" s="165">
        <v>402.02500000000003</v>
      </c>
      <c r="S80" s="165">
        <f t="shared" si="6"/>
        <v>402.02500000000003</v>
      </c>
      <c r="T80" s="165">
        <v>3.8450000000000002</v>
      </c>
      <c r="U80" s="165">
        <v>80.988</v>
      </c>
      <c r="V80" s="165">
        <v>23.904</v>
      </c>
      <c r="W80" s="165">
        <v>-54.643999999999998</v>
      </c>
      <c r="X80" s="165">
        <v>40.353000000000002</v>
      </c>
      <c r="Y80" s="165">
        <v>56.883000000000003</v>
      </c>
      <c r="Z80" s="165">
        <v>21.832000000000001</v>
      </c>
      <c r="AA80" s="165">
        <v>22.257000000000001</v>
      </c>
      <c r="AB80" s="165">
        <v>10</v>
      </c>
      <c r="AC80" s="165">
        <v>51.42</v>
      </c>
      <c r="AD80" s="165">
        <v>90.7</v>
      </c>
      <c r="AE80" s="165">
        <v>54.487000000000002</v>
      </c>
      <c r="AF80" s="165"/>
      <c r="AG80" s="165"/>
    </row>
    <row r="81" spans="1:33" s="158" customFormat="1" ht="16.25" customHeight="1" x14ac:dyDescent="0.4">
      <c r="A81" s="32" t="s">
        <v>1285</v>
      </c>
      <c r="B81" s="32" t="s">
        <v>1262</v>
      </c>
      <c r="C81" s="32" t="s">
        <v>1265</v>
      </c>
      <c r="D81" s="32" t="s">
        <v>1269</v>
      </c>
      <c r="E81" s="15" t="s">
        <v>406</v>
      </c>
      <c r="F81" s="244" t="s">
        <v>1275</v>
      </c>
      <c r="G81" s="45">
        <v>502.2</v>
      </c>
      <c r="H81" s="118">
        <v>509.49990000000003</v>
      </c>
      <c r="I81" s="118">
        <v>509.49990000000003</v>
      </c>
      <c r="J81" s="165">
        <v>509.49990000000003</v>
      </c>
      <c r="K81" s="165">
        <v>507.89100000000002</v>
      </c>
      <c r="L81" s="165">
        <v>508.053</v>
      </c>
      <c r="M81" s="165">
        <v>501</v>
      </c>
      <c r="N81" s="165">
        <v>502.30700000000002</v>
      </c>
      <c r="O81" s="165">
        <v>502.30700000000002</v>
      </c>
      <c r="P81" s="165">
        <v>501</v>
      </c>
      <c r="Q81" s="165">
        <v>501</v>
      </c>
      <c r="R81" s="165">
        <v>512.43300000000011</v>
      </c>
      <c r="S81" s="165">
        <f t="shared" si="6"/>
        <v>512.43300000000011</v>
      </c>
      <c r="T81" s="165">
        <v>0</v>
      </c>
      <c r="U81" s="165">
        <v>53.314</v>
      </c>
      <c r="V81" s="165">
        <v>11.577</v>
      </c>
      <c r="W81" s="165">
        <v>217.16200000000001</v>
      </c>
      <c r="X81" s="165">
        <v>13.807</v>
      </c>
      <c r="Y81" s="165">
        <v>57.023000000000003</v>
      </c>
      <c r="Z81" s="165">
        <v>17.170000000000002</v>
      </c>
      <c r="AA81" s="165">
        <v>42.381</v>
      </c>
      <c r="AB81" s="165">
        <v>15</v>
      </c>
      <c r="AC81" s="165">
        <v>12.298999999999999</v>
      </c>
      <c r="AD81" s="165">
        <v>65.314999999999998</v>
      </c>
      <c r="AE81" s="165">
        <v>7.3849999999999998</v>
      </c>
      <c r="AF81" s="165"/>
      <c r="AG81" s="165"/>
    </row>
    <row r="82" spans="1:33" s="158" customFormat="1" ht="15" customHeight="1" x14ac:dyDescent="0.4">
      <c r="A82" s="32" t="s">
        <v>1282</v>
      </c>
      <c r="B82" s="32" t="s">
        <v>1262</v>
      </c>
      <c r="C82" s="32" t="s">
        <v>1265</v>
      </c>
      <c r="D82" s="32" t="s">
        <v>1269</v>
      </c>
      <c r="E82" s="15" t="s">
        <v>408</v>
      </c>
      <c r="F82" s="244" t="s">
        <v>1275</v>
      </c>
      <c r="G82" s="45">
        <v>1896.3</v>
      </c>
      <c r="H82" s="118">
        <v>1896.3</v>
      </c>
      <c r="I82" s="118">
        <v>1896.3</v>
      </c>
      <c r="J82" s="165">
        <v>1905.3</v>
      </c>
      <c r="K82" s="165">
        <v>1905.934</v>
      </c>
      <c r="L82" s="165">
        <v>1905.8530000000001</v>
      </c>
      <c r="M82" s="165">
        <v>1905.8530000000001</v>
      </c>
      <c r="N82" s="165">
        <v>1289.3020000000001</v>
      </c>
      <c r="O82" s="165">
        <v>1772</v>
      </c>
      <c r="P82" s="165">
        <v>1525.402</v>
      </c>
      <c r="Q82" s="165">
        <v>1525.402</v>
      </c>
      <c r="R82" s="165">
        <v>1523.8620000000001</v>
      </c>
      <c r="S82" s="165">
        <f t="shared" si="6"/>
        <v>1523.8620000000001</v>
      </c>
      <c r="T82" s="165">
        <v>53.935000000000002</v>
      </c>
      <c r="U82" s="165">
        <v>74.879000000000005</v>
      </c>
      <c r="V82" s="165">
        <v>78.12</v>
      </c>
      <c r="W82" s="165">
        <v>83.918999999999997</v>
      </c>
      <c r="X82" s="165">
        <v>38.848999999999997</v>
      </c>
      <c r="Y82" s="165">
        <v>208.72800000000001</v>
      </c>
      <c r="Z82" s="165">
        <v>15.972</v>
      </c>
      <c r="AA82" s="165">
        <v>116</v>
      </c>
      <c r="AB82" s="165">
        <v>297</v>
      </c>
      <c r="AC82" s="165">
        <v>171.46</v>
      </c>
      <c r="AD82" s="165">
        <v>231</v>
      </c>
      <c r="AE82" s="165">
        <v>154</v>
      </c>
      <c r="AF82" s="165"/>
      <c r="AG82" s="165"/>
    </row>
    <row r="83" spans="1:33" s="158" customFormat="1" ht="15" customHeight="1" x14ac:dyDescent="0.4">
      <c r="A83" s="32" t="s">
        <v>1284</v>
      </c>
      <c r="B83" s="32" t="s">
        <v>1262</v>
      </c>
      <c r="C83" s="32" t="s">
        <v>1265</v>
      </c>
      <c r="D83" s="32" t="s">
        <v>1271</v>
      </c>
      <c r="E83" s="32" t="s">
        <v>416</v>
      </c>
      <c r="F83" s="244" t="s">
        <v>1275</v>
      </c>
      <c r="G83" s="45">
        <v>0</v>
      </c>
      <c r="H83" s="118">
        <v>0</v>
      </c>
      <c r="I83" s="118">
        <v>0</v>
      </c>
      <c r="J83" s="165">
        <v>0</v>
      </c>
      <c r="K83" s="165">
        <v>0</v>
      </c>
      <c r="L83" s="165">
        <v>0</v>
      </c>
      <c r="M83" s="165">
        <v>0</v>
      </c>
      <c r="N83" s="165">
        <v>0</v>
      </c>
      <c r="O83" s="165">
        <v>0</v>
      </c>
      <c r="P83" s="165">
        <v>0</v>
      </c>
      <c r="Q83" s="165">
        <v>0</v>
      </c>
      <c r="R83" s="165">
        <v>0</v>
      </c>
      <c r="S83" s="165">
        <f t="shared" si="6"/>
        <v>0</v>
      </c>
      <c r="T83" s="165">
        <v>0</v>
      </c>
      <c r="U83" s="165">
        <v>0</v>
      </c>
      <c r="V83" s="165">
        <v>0</v>
      </c>
      <c r="W83" s="165">
        <v>0</v>
      </c>
      <c r="X83" s="165">
        <v>0</v>
      </c>
      <c r="Y83" s="165">
        <v>0</v>
      </c>
      <c r="Z83" s="165">
        <v>0</v>
      </c>
      <c r="AA83" s="165">
        <v>0</v>
      </c>
      <c r="AB83" s="165">
        <v>0</v>
      </c>
      <c r="AC83" s="165">
        <v>0</v>
      </c>
      <c r="AD83" s="165">
        <v>0</v>
      </c>
      <c r="AE83" s="165">
        <v>0</v>
      </c>
    </row>
    <row r="84" spans="1:33" s="158" customFormat="1" ht="16.25" customHeight="1" x14ac:dyDescent="0.4">
      <c r="A84" s="32" t="s">
        <v>1284</v>
      </c>
      <c r="B84" s="32" t="s">
        <v>1262</v>
      </c>
      <c r="C84" s="32" t="s">
        <v>1265</v>
      </c>
      <c r="D84" s="32" t="s">
        <v>1271</v>
      </c>
      <c r="E84" s="15" t="s">
        <v>416</v>
      </c>
      <c r="F84" s="244" t="s">
        <v>1275</v>
      </c>
      <c r="G84" s="37">
        <v>639.9</v>
      </c>
      <c r="H84" s="118">
        <v>686</v>
      </c>
      <c r="I84" s="118">
        <v>686</v>
      </c>
      <c r="J84" s="165">
        <v>686</v>
      </c>
      <c r="K84" s="165">
        <v>685.47</v>
      </c>
      <c r="L84" s="165">
        <v>686.25</v>
      </c>
      <c r="M84" s="165">
        <v>551</v>
      </c>
      <c r="N84" s="165">
        <v>553.79199999999992</v>
      </c>
      <c r="O84" s="165">
        <v>553.79199999999992</v>
      </c>
      <c r="P84" s="165">
        <v>550.23199999999997</v>
      </c>
      <c r="Q84" s="165">
        <v>544</v>
      </c>
      <c r="R84" s="165">
        <v>560.51099999999997</v>
      </c>
      <c r="S84" s="165">
        <f t="shared" si="6"/>
        <v>560.51099999999997</v>
      </c>
      <c r="T84" s="165">
        <v>0</v>
      </c>
      <c r="U84" s="165">
        <v>0</v>
      </c>
      <c r="V84" s="165">
        <v>31.47</v>
      </c>
      <c r="W84" s="165">
        <v>4.78</v>
      </c>
      <c r="X84" s="165">
        <v>200.44300000000001</v>
      </c>
      <c r="Y84" s="165">
        <v>26.459</v>
      </c>
      <c r="Z84" s="165">
        <v>66.08</v>
      </c>
      <c r="AA84" s="165">
        <v>57</v>
      </c>
      <c r="AB84" s="165">
        <v>14</v>
      </c>
      <c r="AC84" s="165">
        <v>76.278999999999996</v>
      </c>
      <c r="AD84" s="165">
        <v>50.4</v>
      </c>
      <c r="AE84" s="165">
        <v>33.6</v>
      </c>
      <c r="AF84" s="165"/>
      <c r="AG84" s="165"/>
    </row>
    <row r="85" spans="1:33" s="158" customFormat="1" ht="16.25" customHeight="1" x14ac:dyDescent="0.4">
      <c r="A85" s="32"/>
      <c r="B85" s="32" t="s">
        <v>1262</v>
      </c>
      <c r="C85" s="32" t="s">
        <v>1265</v>
      </c>
      <c r="D85" s="32" t="s">
        <v>1271</v>
      </c>
      <c r="E85" s="15" t="s">
        <v>423</v>
      </c>
      <c r="F85" s="244" t="s">
        <v>1275</v>
      </c>
      <c r="G85" s="37">
        <v>1858.5</v>
      </c>
      <c r="H85" s="118">
        <v>1858.5</v>
      </c>
      <c r="I85" s="118">
        <v>1858.5</v>
      </c>
      <c r="J85" s="165">
        <v>1858.5</v>
      </c>
      <c r="K85" s="165">
        <v>1858.5</v>
      </c>
      <c r="L85" s="165">
        <v>1781.9850000000001</v>
      </c>
      <c r="M85" s="165">
        <v>1720.6799999999998</v>
      </c>
      <c r="N85" s="165">
        <v>1720.6799999999998</v>
      </c>
      <c r="O85" s="165">
        <v>1645</v>
      </c>
      <c r="P85" s="165">
        <v>1378.5</v>
      </c>
      <c r="Q85" s="165">
        <v>1530.7549999999999</v>
      </c>
      <c r="R85" s="165">
        <v>1523.8289999999997</v>
      </c>
      <c r="S85" s="165">
        <f t="shared" si="6"/>
        <v>1523.8289999999997</v>
      </c>
      <c r="T85" s="165">
        <v>0</v>
      </c>
      <c r="U85" s="165">
        <v>25.63</v>
      </c>
      <c r="V85" s="165">
        <v>0</v>
      </c>
      <c r="W85" s="165">
        <v>107.636</v>
      </c>
      <c r="X85" s="165">
        <v>2.6949999999999998</v>
      </c>
      <c r="Y85" s="165">
        <v>192.19900000000001</v>
      </c>
      <c r="Z85" s="165">
        <v>41.329000000000001</v>
      </c>
      <c r="AA85" s="165">
        <v>120.017</v>
      </c>
      <c r="AB85" s="165">
        <v>528.125</v>
      </c>
      <c r="AC85" s="165">
        <v>297.32600000000002</v>
      </c>
      <c r="AD85" s="165">
        <v>136.858</v>
      </c>
      <c r="AE85" s="165">
        <v>72.013999999999996</v>
      </c>
      <c r="AF85" s="165"/>
      <c r="AG85" s="165"/>
    </row>
    <row r="86" spans="1:33" s="158" customFormat="1" ht="16.25" customHeight="1" x14ac:dyDescent="0.4">
      <c r="A86" s="32"/>
      <c r="B86" s="32" t="s">
        <v>1262</v>
      </c>
      <c r="C86" s="32" t="s">
        <v>1265</v>
      </c>
      <c r="D86" s="32" t="s">
        <v>1271</v>
      </c>
      <c r="E86" s="15" t="s">
        <v>423</v>
      </c>
      <c r="F86" s="244" t="s">
        <v>1275</v>
      </c>
      <c r="G86" s="45"/>
      <c r="H86" s="118"/>
      <c r="I86" s="118"/>
      <c r="J86" s="165"/>
      <c r="K86" s="165"/>
      <c r="L86" s="165"/>
      <c r="M86" s="165"/>
      <c r="N86" s="165"/>
      <c r="O86" s="165"/>
      <c r="P86" s="165"/>
      <c r="Q86" s="165">
        <v>344.53</v>
      </c>
      <c r="R86" s="165">
        <v>344.53</v>
      </c>
      <c r="S86" s="165">
        <f t="shared" si="6"/>
        <v>344.53</v>
      </c>
      <c r="T86" s="165">
        <v>1.7190000000000001</v>
      </c>
      <c r="U86" s="165">
        <v>0</v>
      </c>
      <c r="V86" s="165">
        <v>0</v>
      </c>
      <c r="W86" s="165">
        <v>0</v>
      </c>
      <c r="X86" s="165">
        <v>0</v>
      </c>
      <c r="Y86" s="165">
        <v>342.81099999999998</v>
      </c>
      <c r="Z86" s="165">
        <v>0</v>
      </c>
      <c r="AA86" s="165">
        <v>0</v>
      </c>
      <c r="AB86" s="165">
        <v>0</v>
      </c>
      <c r="AC86" s="165">
        <v>0</v>
      </c>
      <c r="AD86" s="165">
        <v>0</v>
      </c>
      <c r="AE86" s="165">
        <v>0</v>
      </c>
      <c r="AF86" s="165"/>
      <c r="AG86" s="165"/>
    </row>
    <row r="87" spans="1:33" s="158" customFormat="1" ht="16.25" customHeight="1" x14ac:dyDescent="0.4">
      <c r="A87" s="32"/>
      <c r="B87" s="32" t="s">
        <v>1262</v>
      </c>
      <c r="C87" s="32" t="s">
        <v>1265</v>
      </c>
      <c r="D87" s="32" t="s">
        <v>1271</v>
      </c>
      <c r="E87" s="15" t="s">
        <v>423</v>
      </c>
      <c r="F87" s="244" t="s">
        <v>1275</v>
      </c>
      <c r="G87" s="45"/>
      <c r="H87" s="118"/>
      <c r="I87" s="118"/>
      <c r="J87" s="165"/>
      <c r="K87" s="165"/>
      <c r="L87" s="165"/>
      <c r="M87" s="165"/>
      <c r="N87" s="165"/>
      <c r="O87" s="165"/>
      <c r="P87" s="165"/>
      <c r="Q87" s="165">
        <v>-479.39400000000001</v>
      </c>
      <c r="R87" s="165">
        <v>-479.39400000000001</v>
      </c>
      <c r="S87" s="165">
        <f t="shared" si="6"/>
        <v>-479.39400000000001</v>
      </c>
      <c r="T87" s="165">
        <v>0</v>
      </c>
      <c r="U87" s="165">
        <v>0</v>
      </c>
      <c r="V87" s="165">
        <v>0</v>
      </c>
      <c r="W87" s="165">
        <v>0</v>
      </c>
      <c r="X87" s="165">
        <v>0</v>
      </c>
      <c r="Y87" s="165">
        <v>0</v>
      </c>
      <c r="Z87" s="165">
        <v>-479.39400000000001</v>
      </c>
      <c r="AA87" s="165">
        <v>0</v>
      </c>
      <c r="AB87" s="165">
        <v>0</v>
      </c>
      <c r="AC87" s="165">
        <v>0</v>
      </c>
      <c r="AD87" s="165">
        <v>0</v>
      </c>
      <c r="AE87" s="165">
        <v>0</v>
      </c>
      <c r="AF87" s="165"/>
      <c r="AG87" s="165"/>
    </row>
    <row r="88" spans="1:33" s="158" customFormat="1" ht="16.25" customHeight="1" x14ac:dyDescent="0.4">
      <c r="A88" s="32"/>
      <c r="B88" s="32" t="s">
        <v>1262</v>
      </c>
      <c r="C88" s="32" t="s">
        <v>1265</v>
      </c>
      <c r="D88" s="32" t="s">
        <v>1274</v>
      </c>
      <c r="E88" s="15" t="s">
        <v>429</v>
      </c>
      <c r="F88" s="246" t="s">
        <v>1179</v>
      </c>
      <c r="G88" s="37"/>
      <c r="H88" s="118"/>
      <c r="I88" s="118"/>
      <c r="J88" s="165">
        <v>0</v>
      </c>
      <c r="K88" s="165">
        <v>1.9690000000000001</v>
      </c>
      <c r="L88" s="165">
        <v>1.9690000000000001</v>
      </c>
      <c r="M88" s="165">
        <v>1.9690000000000001</v>
      </c>
      <c r="N88" s="165">
        <v>1.9690000000000001</v>
      </c>
      <c r="O88" s="165">
        <v>1.9690000000000001</v>
      </c>
      <c r="P88" s="165">
        <v>1.9690000000000001</v>
      </c>
      <c r="Q88" s="165">
        <v>1.9690000000000001</v>
      </c>
      <c r="R88" s="165">
        <v>1.9690000000000001</v>
      </c>
      <c r="S88" s="165">
        <f t="shared" si="6"/>
        <v>1.9690000000000001</v>
      </c>
      <c r="T88" s="165">
        <v>0</v>
      </c>
      <c r="U88" s="165">
        <v>0</v>
      </c>
      <c r="V88" s="165">
        <v>1.9690000000000001</v>
      </c>
      <c r="W88" s="165">
        <v>0</v>
      </c>
      <c r="X88" s="165">
        <v>0</v>
      </c>
      <c r="Y88" s="165">
        <v>0</v>
      </c>
      <c r="Z88" s="165">
        <v>0</v>
      </c>
      <c r="AA88" s="165">
        <v>0</v>
      </c>
      <c r="AB88" s="165">
        <v>0</v>
      </c>
      <c r="AC88" s="165">
        <v>0</v>
      </c>
      <c r="AD88" s="165">
        <v>0</v>
      </c>
      <c r="AE88" s="165">
        <v>0</v>
      </c>
      <c r="AF88" s="165"/>
      <c r="AG88" s="165"/>
    </row>
    <row r="89" spans="1:33" s="158" customFormat="1" ht="16.25" customHeight="1" x14ac:dyDescent="0.4">
      <c r="A89" s="32"/>
      <c r="B89" s="32" t="s">
        <v>1262</v>
      </c>
      <c r="C89" s="32" t="s">
        <v>1265</v>
      </c>
      <c r="D89" s="32" t="s">
        <v>1271</v>
      </c>
      <c r="E89" s="15" t="s">
        <v>431</v>
      </c>
      <c r="F89" s="244" t="s">
        <v>1276</v>
      </c>
      <c r="G89" s="37"/>
      <c r="H89" s="118"/>
      <c r="I89" s="118">
        <v>0</v>
      </c>
      <c r="J89" s="165">
        <v>23</v>
      </c>
      <c r="K89" s="165">
        <v>23</v>
      </c>
      <c r="L89" s="165">
        <v>22.990000000000009</v>
      </c>
      <c r="M89" s="165">
        <v>17</v>
      </c>
      <c r="N89" s="165">
        <v>16.990000000000009</v>
      </c>
      <c r="O89" s="165">
        <v>16.990000000000009</v>
      </c>
      <c r="P89" s="165">
        <v>22.935999999999922</v>
      </c>
      <c r="Q89" s="165">
        <v>22.935999999999922</v>
      </c>
      <c r="R89" s="165">
        <v>22.935999999999922</v>
      </c>
      <c r="S89" s="165">
        <f t="shared" si="6"/>
        <v>22.935999999999922</v>
      </c>
      <c r="T89" s="165">
        <v>0</v>
      </c>
      <c r="U89" s="165">
        <v>1203.99</v>
      </c>
      <c r="V89" s="165">
        <v>0</v>
      </c>
      <c r="W89" s="165">
        <v>0</v>
      </c>
      <c r="X89" s="165">
        <v>0</v>
      </c>
      <c r="Y89" s="165">
        <v>0</v>
      </c>
      <c r="Z89" s="165">
        <v>0</v>
      </c>
      <c r="AA89" s="165">
        <v>0</v>
      </c>
      <c r="AB89" s="165">
        <v>-1181.0540000000001</v>
      </c>
      <c r="AC89" s="165">
        <v>0</v>
      </c>
      <c r="AD89" s="165">
        <v>0</v>
      </c>
      <c r="AE89" s="165">
        <v>0</v>
      </c>
      <c r="AF89" s="165"/>
      <c r="AG89" s="165"/>
    </row>
    <row r="90" spans="1:33" s="158" customFormat="1" ht="16.25" customHeight="1" x14ac:dyDescent="0.4">
      <c r="A90" s="32" t="s">
        <v>1278</v>
      </c>
      <c r="B90" s="32" t="s">
        <v>1262</v>
      </c>
      <c r="C90" s="32" t="s">
        <v>1265</v>
      </c>
      <c r="D90" s="32" t="s">
        <v>1274</v>
      </c>
      <c r="E90" s="15" t="s">
        <v>433</v>
      </c>
      <c r="F90" s="246" t="s">
        <v>1179</v>
      </c>
      <c r="G90" s="37"/>
      <c r="H90" s="118">
        <v>35</v>
      </c>
      <c r="I90" s="118">
        <v>35</v>
      </c>
      <c r="J90" s="165">
        <v>24.829000000000001</v>
      </c>
      <c r="K90" s="165">
        <v>27.015000000000001</v>
      </c>
      <c r="L90" s="165">
        <v>16.002999999999997</v>
      </c>
      <c r="M90" s="165">
        <v>31</v>
      </c>
      <c r="N90" s="165">
        <v>14.294999999999996</v>
      </c>
      <c r="O90" s="165">
        <v>14.811999999999996</v>
      </c>
      <c r="P90" s="165">
        <v>26.811999999999998</v>
      </c>
      <c r="Q90" s="165">
        <v>32</v>
      </c>
      <c r="R90" s="165">
        <v>30.952999999999996</v>
      </c>
      <c r="S90" s="165">
        <f t="shared" si="6"/>
        <v>30.952999999999996</v>
      </c>
      <c r="T90" s="165">
        <v>7.8090000000000002</v>
      </c>
      <c r="U90" s="165">
        <v>12.836</v>
      </c>
      <c r="V90" s="165">
        <v>-6.5970000000000004</v>
      </c>
      <c r="W90" s="165">
        <v>-0.111</v>
      </c>
      <c r="X90" s="165">
        <v>-0.59199999999999997</v>
      </c>
      <c r="Y90" s="165">
        <v>0.95</v>
      </c>
      <c r="Z90" s="165">
        <v>0.51700000000000002</v>
      </c>
      <c r="AA90" s="165">
        <v>12</v>
      </c>
      <c r="AB90" s="165">
        <v>4</v>
      </c>
      <c r="AC90" s="165">
        <v>0.14099999999999999</v>
      </c>
      <c r="AD90" s="165">
        <v>0</v>
      </c>
      <c r="AE90" s="165">
        <v>0</v>
      </c>
      <c r="AF90" s="165"/>
      <c r="AG90" s="165"/>
    </row>
    <row r="91" spans="1:33" s="158" customFormat="1" ht="16.25" customHeight="1" x14ac:dyDescent="0.4">
      <c r="A91" s="32" t="s">
        <v>1278</v>
      </c>
      <c r="B91" s="32" t="s">
        <v>1262</v>
      </c>
      <c r="C91" s="32" t="s">
        <v>1265</v>
      </c>
      <c r="D91" s="32" t="s">
        <v>1274</v>
      </c>
      <c r="E91" s="15" t="s">
        <v>435</v>
      </c>
      <c r="F91" s="244" t="s">
        <v>1185</v>
      </c>
      <c r="G91" s="37"/>
      <c r="H91" s="118"/>
      <c r="I91" s="118">
        <v>47.365000000000002</v>
      </c>
      <c r="J91" s="165">
        <v>47.365000000000002</v>
      </c>
      <c r="K91" s="165">
        <v>46.213999999999999</v>
      </c>
      <c r="L91" s="165">
        <v>45.829000000000001</v>
      </c>
      <c r="M91" s="165">
        <v>52</v>
      </c>
      <c r="N91" s="165">
        <v>1.5790000000000002</v>
      </c>
      <c r="O91" s="165">
        <v>2.7730000000000001</v>
      </c>
      <c r="P91" s="165">
        <v>5.048</v>
      </c>
      <c r="Q91" s="165">
        <v>9</v>
      </c>
      <c r="R91" s="165">
        <v>9.4600000000000009</v>
      </c>
      <c r="S91" s="165">
        <f t="shared" si="6"/>
        <v>9.4600000000000009</v>
      </c>
      <c r="T91" s="165">
        <v>2.1850000000000001</v>
      </c>
      <c r="U91" s="165">
        <v>0</v>
      </c>
      <c r="V91" s="165">
        <v>-1.151</v>
      </c>
      <c r="W91" s="165">
        <v>-0.38500000000000001</v>
      </c>
      <c r="X91" s="165">
        <v>0.93</v>
      </c>
      <c r="Y91" s="165">
        <v>0</v>
      </c>
      <c r="Z91" s="165">
        <v>1.194</v>
      </c>
      <c r="AA91" s="165">
        <v>2.2749999999999999</v>
      </c>
      <c r="AB91" s="165">
        <v>4</v>
      </c>
      <c r="AC91" s="165">
        <v>0.41199999999999998</v>
      </c>
      <c r="AD91" s="165">
        <v>0</v>
      </c>
      <c r="AE91" s="165">
        <v>0</v>
      </c>
      <c r="AF91" s="165"/>
      <c r="AG91" s="165"/>
    </row>
    <row r="92" spans="1:33" s="158" customFormat="1" ht="16.25" customHeight="1" x14ac:dyDescent="0.4">
      <c r="A92" s="32" t="s">
        <v>1278</v>
      </c>
      <c r="B92" s="32" t="s">
        <v>1262</v>
      </c>
      <c r="C92" s="32" t="s">
        <v>1265</v>
      </c>
      <c r="D92" s="32" t="s">
        <v>1269</v>
      </c>
      <c r="E92" s="15" t="s">
        <v>437</v>
      </c>
      <c r="F92" s="244" t="s">
        <v>1276</v>
      </c>
      <c r="G92" s="37"/>
      <c r="H92" s="118"/>
      <c r="I92" s="118">
        <v>15.84</v>
      </c>
      <c r="J92" s="165">
        <v>15.84</v>
      </c>
      <c r="K92" s="165">
        <v>15.84</v>
      </c>
      <c r="L92" s="165">
        <v>16.559000000000001</v>
      </c>
      <c r="M92" s="165">
        <v>16.559000000000001</v>
      </c>
      <c r="N92" s="165">
        <v>16.559000000000001</v>
      </c>
      <c r="O92" s="165">
        <v>16.559000000000001</v>
      </c>
      <c r="P92" s="165">
        <v>16.559000000000001</v>
      </c>
      <c r="Q92" s="165">
        <v>16.559000000000001</v>
      </c>
      <c r="R92" s="165">
        <v>16.759</v>
      </c>
      <c r="S92" s="165">
        <f t="shared" si="6"/>
        <v>16.759</v>
      </c>
      <c r="T92" s="165">
        <v>15.84</v>
      </c>
      <c r="U92" s="165">
        <v>0</v>
      </c>
      <c r="V92" s="165">
        <v>0</v>
      </c>
      <c r="W92" s="165">
        <v>0.71899999999999997</v>
      </c>
      <c r="X92" s="165">
        <v>0</v>
      </c>
      <c r="Y92" s="165">
        <v>0</v>
      </c>
      <c r="Z92" s="165">
        <v>0</v>
      </c>
      <c r="AA92" s="165">
        <v>0</v>
      </c>
      <c r="AB92" s="165">
        <v>0.2</v>
      </c>
      <c r="AC92" s="165">
        <v>0</v>
      </c>
      <c r="AD92" s="165">
        <v>0</v>
      </c>
      <c r="AE92" s="165">
        <v>0</v>
      </c>
      <c r="AF92" s="165"/>
      <c r="AG92" s="165"/>
    </row>
    <row r="93" spans="1:33" s="158" customFormat="1" ht="16.25" customHeight="1" x14ac:dyDescent="0.4">
      <c r="A93" s="32"/>
      <c r="B93" s="32" t="s">
        <v>1262</v>
      </c>
      <c r="C93" s="32" t="s">
        <v>1265</v>
      </c>
      <c r="D93" s="32" t="s">
        <v>1274</v>
      </c>
      <c r="E93" s="15" t="s">
        <v>439</v>
      </c>
      <c r="F93" s="246" t="s">
        <v>1179</v>
      </c>
      <c r="G93" s="37"/>
      <c r="H93" s="118"/>
      <c r="I93" s="118"/>
      <c r="J93" s="165">
        <v>0</v>
      </c>
      <c r="K93" s="165">
        <v>0.753</v>
      </c>
      <c r="L93" s="165">
        <v>0.753</v>
      </c>
      <c r="M93" s="165">
        <v>0.753</v>
      </c>
      <c r="N93" s="165">
        <v>0.77900000000000003</v>
      </c>
      <c r="O93" s="165">
        <v>0.77900000000000003</v>
      </c>
      <c r="P93" s="165">
        <v>0.77900000000000003</v>
      </c>
      <c r="Q93" s="165">
        <v>0.77900000000000003</v>
      </c>
      <c r="R93" s="247">
        <v>0.77900000000000003</v>
      </c>
      <c r="S93" s="165">
        <f t="shared" si="6"/>
        <v>0.77900000000000003</v>
      </c>
      <c r="T93" s="165">
        <v>0</v>
      </c>
      <c r="U93" s="165">
        <v>0.753</v>
      </c>
      <c r="V93" s="165">
        <v>0</v>
      </c>
      <c r="W93" s="165">
        <v>2.5999999999999999E-2</v>
      </c>
      <c r="X93" s="165">
        <v>0</v>
      </c>
      <c r="Y93" s="165">
        <v>0</v>
      </c>
      <c r="Z93" s="165">
        <v>0</v>
      </c>
      <c r="AA93" s="165">
        <v>0</v>
      </c>
      <c r="AB93" s="165">
        <v>0</v>
      </c>
      <c r="AC93" s="165">
        <v>0</v>
      </c>
      <c r="AD93" s="165">
        <v>0</v>
      </c>
      <c r="AE93" s="165">
        <v>0</v>
      </c>
      <c r="AF93" s="165"/>
      <c r="AG93" s="165"/>
    </row>
    <row r="94" spans="1:33" s="158" customFormat="1" ht="16.25" customHeight="1" x14ac:dyDescent="0.4">
      <c r="A94" s="32" t="s">
        <v>1284</v>
      </c>
      <c r="B94" s="32" t="s">
        <v>1262</v>
      </c>
      <c r="C94" s="32" t="s">
        <v>1265</v>
      </c>
      <c r="D94" s="32" t="s">
        <v>1274</v>
      </c>
      <c r="E94" s="15" t="s">
        <v>441</v>
      </c>
      <c r="F94" s="246" t="s">
        <v>1179</v>
      </c>
      <c r="G94" s="37"/>
      <c r="H94" s="118"/>
      <c r="I94" s="118"/>
      <c r="J94" s="165">
        <v>0</v>
      </c>
      <c r="K94" s="165">
        <v>-5.6479999999999997</v>
      </c>
      <c r="L94" s="165">
        <v>4.6950000000000003</v>
      </c>
      <c r="M94" s="165">
        <v>28</v>
      </c>
      <c r="N94" s="165">
        <v>35</v>
      </c>
      <c r="O94" s="165">
        <v>35</v>
      </c>
      <c r="P94" s="165">
        <v>37.010000000000005</v>
      </c>
      <c r="Q94" s="165">
        <v>37.010000000000005</v>
      </c>
      <c r="R94" s="165">
        <v>37.010000000000005</v>
      </c>
      <c r="S94" s="165">
        <f t="shared" si="6"/>
        <v>37.010000000000005</v>
      </c>
      <c r="T94" s="165">
        <v>-5.6479999999999997</v>
      </c>
      <c r="U94" s="165">
        <v>0</v>
      </c>
      <c r="V94" s="165">
        <v>10.343</v>
      </c>
      <c r="W94" s="165">
        <v>23.379000000000001</v>
      </c>
      <c r="X94" s="165">
        <v>1.518</v>
      </c>
      <c r="Y94" s="165">
        <v>5.4580000000000002</v>
      </c>
      <c r="Z94" s="165">
        <v>1.96</v>
      </c>
      <c r="AA94" s="165">
        <v>0</v>
      </c>
      <c r="AB94" s="165">
        <v>0</v>
      </c>
      <c r="AC94" s="165">
        <v>0</v>
      </c>
      <c r="AD94" s="165">
        <v>0</v>
      </c>
      <c r="AE94" s="165">
        <v>0</v>
      </c>
      <c r="AF94" s="165"/>
      <c r="AG94" s="165"/>
    </row>
    <row r="95" spans="1:33" s="158" customFormat="1" ht="17" customHeight="1" x14ac:dyDescent="0.4">
      <c r="A95" s="32" t="s">
        <v>1278</v>
      </c>
      <c r="B95" s="32" t="s">
        <v>1262</v>
      </c>
      <c r="C95" s="32" t="s">
        <v>1265</v>
      </c>
      <c r="D95" s="32" t="s">
        <v>1274</v>
      </c>
      <c r="E95" s="15" t="s">
        <v>442</v>
      </c>
      <c r="F95" s="246" t="s">
        <v>1179</v>
      </c>
      <c r="G95" s="45">
        <v>487</v>
      </c>
      <c r="H95" s="118">
        <v>455</v>
      </c>
      <c r="I95" s="118">
        <v>455</v>
      </c>
      <c r="J95" s="165">
        <v>548.33900000000006</v>
      </c>
      <c r="K95" s="165">
        <v>543.50400000000002</v>
      </c>
      <c r="L95" s="165">
        <v>594.78499999999997</v>
      </c>
      <c r="M95" s="165">
        <v>531</v>
      </c>
      <c r="N95" s="165">
        <v>496.34299999999996</v>
      </c>
      <c r="O95" s="165">
        <v>483.62</v>
      </c>
      <c r="P95" s="165">
        <v>526.3119999999999</v>
      </c>
      <c r="Q95" s="165">
        <v>557</v>
      </c>
      <c r="R95" s="165">
        <v>603.46599999999989</v>
      </c>
      <c r="S95" s="165">
        <f t="shared" si="6"/>
        <v>603.46599999999989</v>
      </c>
      <c r="T95" s="165">
        <v>23.981000000000002</v>
      </c>
      <c r="U95" s="165">
        <v>52.101999999999997</v>
      </c>
      <c r="V95" s="165">
        <v>170.43899999999999</v>
      </c>
      <c r="W95" s="165">
        <v>51.545000000000002</v>
      </c>
      <c r="X95" s="165">
        <v>56.273000000000003</v>
      </c>
      <c r="Y95" s="165">
        <v>8.7149999999999999</v>
      </c>
      <c r="Z95" s="165">
        <v>33.758000000000003</v>
      </c>
      <c r="AA95" s="165">
        <v>37</v>
      </c>
      <c r="AB95" s="165">
        <v>65</v>
      </c>
      <c r="AC95" s="165">
        <v>4.4039999999999999</v>
      </c>
      <c r="AD95" s="165">
        <v>49.8</v>
      </c>
      <c r="AE95" s="165">
        <v>50.448999999999998</v>
      </c>
      <c r="AF95" s="165"/>
      <c r="AG95" s="165"/>
    </row>
    <row r="96" spans="1:33" s="158" customFormat="1" ht="17" customHeight="1" x14ac:dyDescent="0.4">
      <c r="A96" s="32" t="s">
        <v>1280</v>
      </c>
      <c r="B96" s="32" t="s">
        <v>1262</v>
      </c>
      <c r="C96" s="32" t="s">
        <v>1265</v>
      </c>
      <c r="D96" s="32" t="s">
        <v>1269</v>
      </c>
      <c r="E96" s="15" t="s">
        <v>443</v>
      </c>
      <c r="F96" s="244" t="s">
        <v>1185</v>
      </c>
      <c r="G96" s="45">
        <v>27</v>
      </c>
      <c r="H96" s="118">
        <v>27</v>
      </c>
      <c r="I96" s="118">
        <v>27</v>
      </c>
      <c r="J96" s="165">
        <v>0</v>
      </c>
      <c r="K96" s="165">
        <v>0</v>
      </c>
      <c r="L96" s="165">
        <v>0</v>
      </c>
      <c r="M96" s="165">
        <v>0</v>
      </c>
      <c r="N96" s="165">
        <v>0</v>
      </c>
      <c r="O96" s="165">
        <v>0</v>
      </c>
      <c r="P96" s="165">
        <v>0</v>
      </c>
      <c r="Q96" s="165">
        <v>0</v>
      </c>
      <c r="R96" s="165">
        <v>0</v>
      </c>
      <c r="S96" s="165">
        <f t="shared" si="6"/>
        <v>0</v>
      </c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</row>
    <row r="97" spans="1:33" s="158" customFormat="1" ht="16.25" customHeight="1" x14ac:dyDescent="0.4">
      <c r="A97" s="32" t="s">
        <v>1280</v>
      </c>
      <c r="B97" s="32" t="s">
        <v>1262</v>
      </c>
      <c r="C97" s="32" t="s">
        <v>1265</v>
      </c>
      <c r="D97" s="32" t="s">
        <v>1274</v>
      </c>
      <c r="E97" s="15" t="s">
        <v>443</v>
      </c>
      <c r="F97" s="244" t="s">
        <v>1185</v>
      </c>
      <c r="G97" s="45">
        <v>100</v>
      </c>
      <c r="H97" s="118">
        <v>100</v>
      </c>
      <c r="I97" s="118">
        <v>142</v>
      </c>
      <c r="J97" s="165">
        <v>142</v>
      </c>
      <c r="K97" s="165">
        <v>49.744</v>
      </c>
      <c r="L97" s="165">
        <v>50.641999999999996</v>
      </c>
      <c r="M97" s="165">
        <v>17</v>
      </c>
      <c r="N97" s="165">
        <v>16.375999999999998</v>
      </c>
      <c r="O97" s="165">
        <v>22.855999999999998</v>
      </c>
      <c r="P97" s="165">
        <v>32.090999999999994</v>
      </c>
      <c r="Q97" s="165">
        <v>32.090999999999994</v>
      </c>
      <c r="R97" s="165">
        <v>32.288999999999994</v>
      </c>
      <c r="S97" s="165">
        <f t="shared" si="6"/>
        <v>32.288999999999994</v>
      </c>
      <c r="T97" s="165">
        <v>9.5609999999999999</v>
      </c>
      <c r="U97" s="165">
        <v>11.311</v>
      </c>
      <c r="V97" s="165">
        <v>-1.1279999999999999</v>
      </c>
      <c r="W97" s="165">
        <v>0.89800000000000002</v>
      </c>
      <c r="X97" s="165">
        <v>1.0840000000000001</v>
      </c>
      <c r="Y97" s="165">
        <v>-5.35</v>
      </c>
      <c r="Z97" s="165">
        <v>6.48</v>
      </c>
      <c r="AA97" s="165">
        <v>5.4349999999999996</v>
      </c>
      <c r="AB97" s="165">
        <v>0</v>
      </c>
      <c r="AC97" s="165">
        <v>2E-3</v>
      </c>
      <c r="AD97" s="165">
        <v>3.996</v>
      </c>
      <c r="AE97" s="165">
        <v>0</v>
      </c>
      <c r="AF97" s="165"/>
      <c r="AG97" s="165"/>
    </row>
    <row r="98" spans="1:33" s="158" customFormat="1" ht="17" customHeight="1" x14ac:dyDescent="0.4">
      <c r="A98" s="32" t="s">
        <v>1286</v>
      </c>
      <c r="B98" s="32" t="s">
        <v>1262</v>
      </c>
      <c r="C98" s="32" t="s">
        <v>1265</v>
      </c>
      <c r="D98" s="32" t="s">
        <v>1271</v>
      </c>
      <c r="E98" s="15" t="s">
        <v>449</v>
      </c>
      <c r="F98" s="244" t="s">
        <v>1276</v>
      </c>
      <c r="G98" s="37">
        <v>40</v>
      </c>
      <c r="H98" s="118">
        <v>25</v>
      </c>
      <c r="I98" s="118">
        <v>25</v>
      </c>
      <c r="J98" s="165">
        <v>25</v>
      </c>
      <c r="K98" s="165">
        <v>25</v>
      </c>
      <c r="L98" s="165">
        <v>25.265999999999998</v>
      </c>
      <c r="M98" s="165">
        <v>25.265999999999998</v>
      </c>
      <c r="N98" s="165">
        <v>29.204000000000001</v>
      </c>
      <c r="O98" s="165">
        <v>29.204000000000001</v>
      </c>
      <c r="P98" s="165">
        <v>28.134</v>
      </c>
      <c r="Q98" s="165">
        <v>27</v>
      </c>
      <c r="R98" s="165">
        <v>27.198</v>
      </c>
      <c r="S98" s="165">
        <f t="shared" si="6"/>
        <v>27.198</v>
      </c>
      <c r="T98" s="165">
        <v>0</v>
      </c>
      <c r="U98" s="165">
        <v>1.9670000000000001</v>
      </c>
      <c r="V98" s="165">
        <v>0</v>
      </c>
      <c r="W98" s="165">
        <v>11.298999999999999</v>
      </c>
      <c r="X98" s="165">
        <v>0</v>
      </c>
      <c r="Y98" s="165">
        <v>3.8679999999999999</v>
      </c>
      <c r="Z98" s="165">
        <v>0</v>
      </c>
      <c r="AA98" s="165">
        <v>0</v>
      </c>
      <c r="AB98" s="165">
        <v>0</v>
      </c>
      <c r="AC98" s="165">
        <v>0</v>
      </c>
      <c r="AD98" s="165">
        <v>10.064</v>
      </c>
      <c r="AE98" s="165">
        <v>0</v>
      </c>
      <c r="AF98" s="165"/>
      <c r="AG98" s="165"/>
    </row>
    <row r="99" spans="1:33" s="158" customFormat="1" ht="16.25" customHeight="1" x14ac:dyDescent="0.4">
      <c r="A99" s="32" t="s">
        <v>1287</v>
      </c>
      <c r="B99" s="32" t="s">
        <v>1262</v>
      </c>
      <c r="C99" s="32" t="s">
        <v>1265</v>
      </c>
      <c r="D99" s="32" t="s">
        <v>1269</v>
      </c>
      <c r="E99" s="15" t="s">
        <v>451</v>
      </c>
      <c r="F99" s="244" t="s">
        <v>1276</v>
      </c>
      <c r="G99" s="37">
        <v>403</v>
      </c>
      <c r="H99" s="118">
        <v>345</v>
      </c>
      <c r="I99" s="118">
        <v>354</v>
      </c>
      <c r="J99" s="165">
        <v>256</v>
      </c>
      <c r="K99" s="165">
        <v>287.40600000000001</v>
      </c>
      <c r="L99" s="165">
        <v>252.172</v>
      </c>
      <c r="M99" s="165">
        <v>241</v>
      </c>
      <c r="N99" s="165">
        <v>242.24499999999998</v>
      </c>
      <c r="O99" s="165">
        <v>242.24499999999998</v>
      </c>
      <c r="P99" s="165">
        <v>294</v>
      </c>
      <c r="Q99" s="165">
        <v>285</v>
      </c>
      <c r="R99" s="165">
        <v>272.06399999999996</v>
      </c>
      <c r="S99" s="165">
        <f t="shared" si="6"/>
        <v>272.06399999999996</v>
      </c>
      <c r="T99" s="165">
        <v>31.555</v>
      </c>
      <c r="U99" s="165">
        <v>34.527000000000001</v>
      </c>
      <c r="V99" s="165">
        <v>54.323999999999998</v>
      </c>
      <c r="W99" s="165">
        <v>21.765999999999998</v>
      </c>
      <c r="X99" s="165">
        <v>10.821999999999999</v>
      </c>
      <c r="Y99" s="165">
        <v>0.74</v>
      </c>
      <c r="Z99" s="165">
        <v>17.010000000000002</v>
      </c>
      <c r="AA99" s="165">
        <v>2.6429999999999998</v>
      </c>
      <c r="AB99" s="165">
        <v>6</v>
      </c>
      <c r="AC99" s="165">
        <v>9.093</v>
      </c>
      <c r="AD99" s="165">
        <v>0.36399999999999999</v>
      </c>
      <c r="AE99" s="165">
        <v>83.22</v>
      </c>
      <c r="AF99" s="165"/>
      <c r="AG99" s="165"/>
    </row>
    <row r="100" spans="1:33" s="158" customFormat="1" ht="16.25" customHeight="1" x14ac:dyDescent="0.4">
      <c r="A100" s="32"/>
      <c r="B100" s="32" t="s">
        <v>1262</v>
      </c>
      <c r="C100" s="32" t="s">
        <v>1265</v>
      </c>
      <c r="D100" s="32" t="s">
        <v>1274</v>
      </c>
      <c r="E100" s="15" t="s">
        <v>454</v>
      </c>
      <c r="F100" s="246" t="s">
        <v>1179</v>
      </c>
      <c r="G100" s="37"/>
      <c r="H100" s="118"/>
      <c r="I100" s="118"/>
      <c r="J100" s="165"/>
      <c r="K100" s="165"/>
      <c r="L100" s="165"/>
      <c r="M100" s="165"/>
      <c r="N100" s="165">
        <v>4.9080000000000004</v>
      </c>
      <c r="O100" s="165">
        <v>4.9080000000000004</v>
      </c>
      <c r="P100" s="165">
        <v>4.9080000000000004</v>
      </c>
      <c r="Q100" s="165">
        <v>5.3620000000000001</v>
      </c>
      <c r="R100" s="165">
        <v>4.9080000000000004</v>
      </c>
      <c r="S100" s="165">
        <f t="shared" si="6"/>
        <v>4.9080000000000004</v>
      </c>
      <c r="T100" s="165">
        <v>0</v>
      </c>
      <c r="U100" s="165">
        <v>0</v>
      </c>
      <c r="V100" s="165">
        <v>0</v>
      </c>
      <c r="W100" s="165">
        <v>0</v>
      </c>
      <c r="X100" s="165">
        <v>4.9080000000000004</v>
      </c>
      <c r="Y100" s="165">
        <v>0</v>
      </c>
      <c r="Z100" s="165">
        <v>0</v>
      </c>
      <c r="AA100" s="165">
        <v>0</v>
      </c>
      <c r="AB100" s="165">
        <v>0</v>
      </c>
      <c r="AC100" s="165">
        <v>0</v>
      </c>
      <c r="AD100" s="165">
        <v>0</v>
      </c>
      <c r="AE100" s="165">
        <v>0</v>
      </c>
      <c r="AF100" s="165"/>
      <c r="AG100" s="165"/>
    </row>
    <row r="101" spans="1:33" s="158" customFormat="1" ht="16.25" customHeight="1" x14ac:dyDescent="0.4">
      <c r="A101" s="32"/>
      <c r="B101" s="32" t="s">
        <v>1262</v>
      </c>
      <c r="C101" s="32" t="s">
        <v>1265</v>
      </c>
      <c r="D101" s="32" t="s">
        <v>1269</v>
      </c>
      <c r="E101" s="15" t="s">
        <v>455</v>
      </c>
      <c r="F101" s="244" t="s">
        <v>1276</v>
      </c>
      <c r="G101" s="45">
        <v>54</v>
      </c>
      <c r="H101" s="118">
        <v>54</v>
      </c>
      <c r="I101" s="118">
        <v>63</v>
      </c>
      <c r="J101" s="165">
        <v>63</v>
      </c>
      <c r="K101" s="165">
        <v>65</v>
      </c>
      <c r="L101" s="165">
        <v>65</v>
      </c>
      <c r="M101" s="165">
        <v>65</v>
      </c>
      <c r="N101" s="165">
        <v>65</v>
      </c>
      <c r="O101" s="165">
        <v>65</v>
      </c>
      <c r="P101" s="165">
        <v>0</v>
      </c>
      <c r="Q101" s="165">
        <v>0</v>
      </c>
      <c r="R101" s="165">
        <v>0</v>
      </c>
      <c r="S101" s="165">
        <f t="shared" ref="S101:S102" si="7">SUM(T101:AE101)</f>
        <v>0</v>
      </c>
      <c r="T101" s="165">
        <v>0</v>
      </c>
      <c r="U101" s="165">
        <v>0</v>
      </c>
      <c r="V101" s="165">
        <v>0</v>
      </c>
      <c r="W101" s="165">
        <v>0</v>
      </c>
      <c r="X101" s="165">
        <v>0</v>
      </c>
      <c r="Y101" s="165">
        <v>0</v>
      </c>
      <c r="AA101" s="165">
        <v>0</v>
      </c>
      <c r="AB101" s="165">
        <v>0</v>
      </c>
      <c r="AC101" s="165">
        <v>0</v>
      </c>
      <c r="AD101" s="165">
        <v>0</v>
      </c>
      <c r="AE101" s="165">
        <v>0</v>
      </c>
      <c r="AF101" s="165"/>
    </row>
    <row r="102" spans="1:33" s="158" customFormat="1" ht="16.25" customHeight="1" x14ac:dyDescent="0.4">
      <c r="A102" s="32"/>
      <c r="B102" s="32" t="s">
        <v>1262</v>
      </c>
      <c r="C102" s="32" t="s">
        <v>1265</v>
      </c>
      <c r="D102" s="32" t="s">
        <v>1269</v>
      </c>
      <c r="E102" s="15" t="s">
        <v>455</v>
      </c>
      <c r="F102" s="244" t="s">
        <v>1275</v>
      </c>
      <c r="G102" s="45"/>
      <c r="H102" s="118"/>
      <c r="I102" s="118"/>
      <c r="J102" s="165"/>
      <c r="K102" s="165"/>
      <c r="L102" s="165"/>
      <c r="M102" s="165"/>
      <c r="N102" s="165"/>
      <c r="O102" s="165">
        <v>40</v>
      </c>
      <c r="P102" s="165">
        <v>0</v>
      </c>
      <c r="Q102" s="165">
        <v>0</v>
      </c>
      <c r="R102" s="165">
        <v>0</v>
      </c>
      <c r="S102" s="165">
        <f t="shared" si="7"/>
        <v>0</v>
      </c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  <c r="AD102" s="165"/>
      <c r="AE102" s="165"/>
      <c r="AF102" s="165"/>
    </row>
    <row r="103" spans="1:33" s="158" customFormat="1" ht="16.25" customHeight="1" x14ac:dyDescent="0.4">
      <c r="A103" s="32"/>
      <c r="B103" s="32" t="s">
        <v>1262</v>
      </c>
      <c r="C103" s="32" t="s">
        <v>1265</v>
      </c>
      <c r="D103" s="32" t="s">
        <v>1269</v>
      </c>
      <c r="E103" s="15" t="s">
        <v>455</v>
      </c>
      <c r="F103" s="244" t="s">
        <v>1275</v>
      </c>
      <c r="G103" s="45">
        <v>375</v>
      </c>
      <c r="H103" s="118">
        <v>375</v>
      </c>
      <c r="I103" s="118">
        <v>108</v>
      </c>
      <c r="J103" s="165">
        <v>130.5</v>
      </c>
      <c r="K103" s="165">
        <v>130.5</v>
      </c>
      <c r="L103" s="165">
        <v>162</v>
      </c>
      <c r="M103" s="165">
        <v>162</v>
      </c>
      <c r="N103" s="165">
        <v>162</v>
      </c>
      <c r="O103" s="165">
        <v>139.5</v>
      </c>
      <c r="P103" s="165">
        <v>249</v>
      </c>
      <c r="Q103" s="165">
        <v>248</v>
      </c>
      <c r="R103" s="165">
        <v>233.01899999999998</v>
      </c>
      <c r="S103" s="165">
        <f t="shared" ref="S103:S107" si="8">SUM(T103:AE103)</f>
        <v>233.01899999999998</v>
      </c>
      <c r="T103" s="165">
        <v>0</v>
      </c>
      <c r="U103" s="165">
        <v>0</v>
      </c>
      <c r="V103" s="165">
        <v>0</v>
      </c>
      <c r="W103" s="165">
        <v>0</v>
      </c>
      <c r="X103" s="165">
        <v>0.11</v>
      </c>
      <c r="Y103" s="165">
        <v>0</v>
      </c>
      <c r="Z103" s="165">
        <v>10.83</v>
      </c>
      <c r="AA103" s="165">
        <v>3</v>
      </c>
      <c r="AB103" s="165">
        <v>53</v>
      </c>
      <c r="AC103" s="165">
        <v>68.228999999999999</v>
      </c>
      <c r="AD103" s="165">
        <v>25.75</v>
      </c>
      <c r="AE103" s="165">
        <v>72.099999999999994</v>
      </c>
      <c r="AF103" s="165"/>
      <c r="AG103" s="165"/>
    </row>
    <row r="104" spans="1:33" s="158" customFormat="1" ht="16.25" customHeight="1" x14ac:dyDescent="0.4">
      <c r="A104" s="32"/>
      <c r="B104" s="32" t="s">
        <v>1262</v>
      </c>
      <c r="C104" s="32" t="s">
        <v>1265</v>
      </c>
      <c r="D104" s="32" t="s">
        <v>1271</v>
      </c>
      <c r="E104" s="15" t="s">
        <v>460</v>
      </c>
      <c r="F104" s="244" t="s">
        <v>1276</v>
      </c>
      <c r="G104" s="45"/>
      <c r="H104" s="118"/>
      <c r="I104" s="118"/>
      <c r="J104" s="165">
        <v>0</v>
      </c>
      <c r="K104" s="165">
        <v>0</v>
      </c>
      <c r="L104" s="165">
        <v>100</v>
      </c>
      <c r="M104" s="165">
        <v>100</v>
      </c>
      <c r="N104" s="165">
        <v>100</v>
      </c>
      <c r="O104" s="165">
        <v>184.5</v>
      </c>
      <c r="P104" s="165">
        <v>95</v>
      </c>
      <c r="Q104" s="165">
        <v>95</v>
      </c>
      <c r="R104" s="165">
        <v>87.867000000000004</v>
      </c>
      <c r="S104" s="165">
        <f t="shared" si="8"/>
        <v>87.867000000000004</v>
      </c>
      <c r="T104" s="165">
        <v>0</v>
      </c>
      <c r="U104" s="165">
        <v>0</v>
      </c>
      <c r="V104" s="165">
        <v>0</v>
      </c>
      <c r="W104" s="165">
        <v>0</v>
      </c>
      <c r="X104" s="165">
        <v>0</v>
      </c>
      <c r="Y104" s="165">
        <v>0</v>
      </c>
      <c r="Z104" s="165">
        <v>0</v>
      </c>
      <c r="AA104" s="165">
        <v>0</v>
      </c>
      <c r="AB104" s="165">
        <v>0</v>
      </c>
      <c r="AC104" s="165">
        <v>11.218</v>
      </c>
      <c r="AD104" s="165">
        <v>21.949000000000002</v>
      </c>
      <c r="AE104" s="165">
        <v>54.7</v>
      </c>
      <c r="AG104" s="165"/>
    </row>
    <row r="105" spans="1:33" s="158" customFormat="1" ht="16.25" customHeight="1" x14ac:dyDescent="0.4">
      <c r="A105" s="32"/>
      <c r="B105" s="32" t="s">
        <v>1262</v>
      </c>
      <c r="C105" s="32" t="s">
        <v>1265</v>
      </c>
      <c r="D105" s="32" t="s">
        <v>1274</v>
      </c>
      <c r="E105" s="15" t="s">
        <v>461</v>
      </c>
      <c r="F105" s="246" t="s">
        <v>1179</v>
      </c>
      <c r="G105" s="45">
        <v>1700</v>
      </c>
      <c r="H105" s="118">
        <v>1700</v>
      </c>
      <c r="I105" s="118">
        <v>725</v>
      </c>
      <c r="J105" s="165">
        <v>635</v>
      </c>
      <c r="K105" s="165">
        <v>634</v>
      </c>
      <c r="L105" s="165">
        <v>638.745</v>
      </c>
      <c r="M105" s="165">
        <v>638.745</v>
      </c>
      <c r="N105" s="165">
        <v>938.745</v>
      </c>
      <c r="O105" s="165">
        <v>643</v>
      </c>
      <c r="P105" s="165">
        <v>607.06299999999999</v>
      </c>
      <c r="Q105" s="165">
        <v>614</v>
      </c>
      <c r="R105" s="165">
        <v>564.274</v>
      </c>
      <c r="S105" s="165">
        <f t="shared" si="8"/>
        <v>564.274</v>
      </c>
      <c r="T105" s="165">
        <v>0</v>
      </c>
      <c r="U105" s="165">
        <v>0</v>
      </c>
      <c r="V105" s="165">
        <v>0</v>
      </c>
      <c r="W105" s="165">
        <v>4.7450000000000001</v>
      </c>
      <c r="X105" s="165">
        <v>15.525</v>
      </c>
      <c r="Y105" s="165">
        <v>53.249000000000002</v>
      </c>
      <c r="Z105" s="165">
        <v>77.539000000000001</v>
      </c>
      <c r="AA105" s="165">
        <v>23.687999999999999</v>
      </c>
      <c r="AB105" s="165">
        <v>6</v>
      </c>
      <c r="AC105" s="165">
        <v>21.483000000000001</v>
      </c>
      <c r="AD105" s="165">
        <v>217.245</v>
      </c>
      <c r="AE105" s="165">
        <v>144.80000000000001</v>
      </c>
      <c r="AF105" s="165"/>
      <c r="AG105" s="165"/>
    </row>
    <row r="106" spans="1:33" s="158" customFormat="1" ht="16.25" customHeight="1" x14ac:dyDescent="0.4">
      <c r="A106" s="32"/>
      <c r="B106" s="32" t="s">
        <v>1262</v>
      </c>
      <c r="C106" s="32" t="s">
        <v>1265</v>
      </c>
      <c r="D106" s="32" t="s">
        <v>1274</v>
      </c>
      <c r="E106" s="15" t="s">
        <v>464</v>
      </c>
      <c r="F106" s="246" t="s">
        <v>1179</v>
      </c>
      <c r="G106" s="45"/>
      <c r="H106" s="118"/>
      <c r="I106" s="118">
        <v>1150</v>
      </c>
      <c r="J106" s="165">
        <v>849</v>
      </c>
      <c r="K106" s="165">
        <v>849</v>
      </c>
      <c r="L106" s="165">
        <v>849</v>
      </c>
      <c r="M106" s="165">
        <v>878</v>
      </c>
      <c r="N106" s="165">
        <v>878</v>
      </c>
      <c r="O106" s="165">
        <v>863</v>
      </c>
      <c r="P106" s="165">
        <v>1094.8489999999999</v>
      </c>
      <c r="Q106" s="165">
        <v>1041</v>
      </c>
      <c r="R106" s="165">
        <v>807.36199999999997</v>
      </c>
      <c r="S106" s="165">
        <f t="shared" si="8"/>
        <v>807.36199999999997</v>
      </c>
      <c r="T106" s="165">
        <v>0</v>
      </c>
      <c r="U106" s="165">
        <v>0</v>
      </c>
      <c r="V106" s="165">
        <v>0</v>
      </c>
      <c r="W106" s="165">
        <v>0</v>
      </c>
      <c r="X106" s="165">
        <v>3.1190000000000002</v>
      </c>
      <c r="Y106" s="165">
        <v>106.633</v>
      </c>
      <c r="Z106" s="165">
        <v>56.783999999999999</v>
      </c>
      <c r="AA106" s="165">
        <v>78.983999999999995</v>
      </c>
      <c r="AB106" s="165">
        <v>86</v>
      </c>
      <c r="AC106" s="165">
        <v>89.394000000000005</v>
      </c>
      <c r="AD106" s="165">
        <v>232.23</v>
      </c>
      <c r="AE106" s="165">
        <v>154.21799999999999</v>
      </c>
      <c r="AF106" s="165"/>
      <c r="AG106" s="165"/>
    </row>
    <row r="107" spans="1:33" s="158" customFormat="1" ht="16.25" customHeight="1" x14ac:dyDescent="0.4">
      <c r="A107" s="32"/>
      <c r="B107" s="32" t="s">
        <v>1262</v>
      </c>
      <c r="C107" s="32" t="s">
        <v>1265</v>
      </c>
      <c r="D107" s="32" t="s">
        <v>1274</v>
      </c>
      <c r="E107" s="15" t="s">
        <v>466</v>
      </c>
      <c r="F107" s="244" t="s">
        <v>1185</v>
      </c>
      <c r="G107" s="45"/>
      <c r="H107" s="118"/>
      <c r="I107" s="118">
        <v>150</v>
      </c>
      <c r="J107" s="165">
        <v>150</v>
      </c>
      <c r="K107" s="165">
        <v>150</v>
      </c>
      <c r="L107" s="165">
        <v>275</v>
      </c>
      <c r="M107" s="165">
        <v>75</v>
      </c>
      <c r="N107" s="165">
        <v>75</v>
      </c>
      <c r="O107" s="165">
        <v>0</v>
      </c>
      <c r="P107" s="165">
        <v>0</v>
      </c>
      <c r="Q107" s="165">
        <v>0</v>
      </c>
      <c r="R107" s="165">
        <v>0</v>
      </c>
      <c r="S107" s="165">
        <f t="shared" si="8"/>
        <v>0</v>
      </c>
      <c r="T107" s="165">
        <v>0</v>
      </c>
      <c r="U107" s="165">
        <v>0</v>
      </c>
      <c r="V107" s="165">
        <v>0</v>
      </c>
      <c r="W107" s="165">
        <v>0</v>
      </c>
      <c r="X107" s="165">
        <v>0</v>
      </c>
      <c r="Y107" s="165">
        <v>0</v>
      </c>
      <c r="Z107" s="165">
        <v>0</v>
      </c>
      <c r="AA107" s="165">
        <v>0</v>
      </c>
      <c r="AB107" s="165">
        <v>0</v>
      </c>
      <c r="AC107" s="165">
        <v>0</v>
      </c>
      <c r="AD107" s="165">
        <v>0</v>
      </c>
      <c r="AE107" s="165">
        <v>0</v>
      </c>
      <c r="AF107" s="165"/>
    </row>
    <row r="108" spans="1:33" s="158" customFormat="1" ht="16.25" customHeight="1" x14ac:dyDescent="0.4">
      <c r="A108" s="32"/>
      <c r="B108" s="32" t="s">
        <v>1262</v>
      </c>
      <c r="C108" s="32" t="s">
        <v>1265</v>
      </c>
      <c r="D108" s="32" t="s">
        <v>1274</v>
      </c>
      <c r="E108" s="15" t="s">
        <v>472</v>
      </c>
      <c r="F108" s="244" t="s">
        <v>1185</v>
      </c>
      <c r="G108" s="45"/>
      <c r="H108" s="118"/>
      <c r="I108" s="118">
        <v>254</v>
      </c>
      <c r="J108" s="165">
        <v>300</v>
      </c>
      <c r="K108" s="165">
        <v>302.55399999999997</v>
      </c>
      <c r="L108" s="165">
        <v>304.51499999999999</v>
      </c>
      <c r="M108" s="165">
        <v>304.51499999999999</v>
      </c>
      <c r="N108" s="165">
        <v>304.51499999999999</v>
      </c>
      <c r="O108" s="165">
        <v>316</v>
      </c>
      <c r="P108" s="165">
        <v>225.072</v>
      </c>
      <c r="Q108" s="165">
        <v>225.072</v>
      </c>
      <c r="R108" s="165">
        <v>200.309</v>
      </c>
      <c r="S108" s="165">
        <f>SUM(T108:AE108)</f>
        <v>200.309</v>
      </c>
      <c r="T108" s="165">
        <v>0</v>
      </c>
      <c r="U108" s="165">
        <v>0</v>
      </c>
      <c r="V108" s="165">
        <v>2.5539999999999998</v>
      </c>
      <c r="W108" s="165">
        <v>1.9610000000000001</v>
      </c>
      <c r="X108" s="165">
        <v>8.8989999999999991</v>
      </c>
      <c r="Y108" s="165">
        <v>29.558</v>
      </c>
      <c r="Z108" s="165">
        <v>0</v>
      </c>
      <c r="AA108" s="165">
        <v>52</v>
      </c>
      <c r="AB108" s="165">
        <v>0</v>
      </c>
      <c r="AC108" s="165">
        <v>0.92700000000000005</v>
      </c>
      <c r="AD108" s="165">
        <v>49.82</v>
      </c>
      <c r="AE108" s="165">
        <v>54.59</v>
      </c>
      <c r="AF108" s="165"/>
      <c r="AG108" s="165"/>
    </row>
    <row r="109" spans="1:33" s="158" customFormat="1" ht="16.25" customHeight="1" x14ac:dyDescent="0.4">
      <c r="A109" s="32"/>
      <c r="B109" s="32" t="s">
        <v>1262</v>
      </c>
      <c r="C109" s="32" t="s">
        <v>1265</v>
      </c>
      <c r="D109" s="32" t="s">
        <v>1271</v>
      </c>
      <c r="E109" s="15" t="s">
        <v>476</v>
      </c>
      <c r="F109" s="246" t="s">
        <v>1179</v>
      </c>
      <c r="G109" s="37">
        <v>25</v>
      </c>
      <c r="H109" s="118">
        <v>25</v>
      </c>
      <c r="I109" s="118">
        <v>0</v>
      </c>
      <c r="J109" s="165">
        <v>0</v>
      </c>
      <c r="K109" s="165">
        <v>0</v>
      </c>
      <c r="L109" s="165">
        <v>0</v>
      </c>
      <c r="M109" s="165">
        <v>0</v>
      </c>
      <c r="N109" s="165">
        <v>0</v>
      </c>
      <c r="O109" s="165">
        <v>0</v>
      </c>
      <c r="P109" s="165">
        <v>0</v>
      </c>
      <c r="Q109" s="165">
        <v>0</v>
      </c>
      <c r="R109" s="165">
        <v>0</v>
      </c>
      <c r="S109" s="165">
        <f t="shared" ref="S109:S145" si="9">SUM(T109:AE109)</f>
        <v>0</v>
      </c>
      <c r="T109" s="165">
        <v>0</v>
      </c>
      <c r="U109" s="165">
        <v>0</v>
      </c>
      <c r="V109" s="165">
        <v>0</v>
      </c>
      <c r="W109" s="165">
        <v>0</v>
      </c>
      <c r="X109" s="165">
        <v>0</v>
      </c>
      <c r="Y109" s="165">
        <v>0</v>
      </c>
      <c r="Z109" s="165">
        <v>0</v>
      </c>
      <c r="AA109" s="165">
        <v>0</v>
      </c>
      <c r="AB109" s="165">
        <v>0</v>
      </c>
      <c r="AC109" s="165">
        <v>0</v>
      </c>
      <c r="AD109" s="165">
        <v>0</v>
      </c>
      <c r="AE109" s="165">
        <v>0</v>
      </c>
    </row>
    <row r="110" spans="1:33" s="158" customFormat="1" ht="16.25" customHeight="1" x14ac:dyDescent="0.4">
      <c r="A110" s="32"/>
      <c r="B110" s="32" t="s">
        <v>1262</v>
      </c>
      <c r="C110" s="32" t="s">
        <v>1265</v>
      </c>
      <c r="D110" s="32" t="s">
        <v>1271</v>
      </c>
      <c r="E110" s="15" t="s">
        <v>477</v>
      </c>
      <c r="F110" s="246" t="s">
        <v>1179</v>
      </c>
      <c r="G110" s="37">
        <v>50</v>
      </c>
      <c r="H110" s="118">
        <v>50</v>
      </c>
      <c r="I110" s="118">
        <v>0</v>
      </c>
      <c r="J110" s="165">
        <v>0</v>
      </c>
      <c r="K110" s="165">
        <v>0</v>
      </c>
      <c r="L110" s="165">
        <v>0</v>
      </c>
      <c r="M110" s="165">
        <v>0</v>
      </c>
      <c r="N110" s="165">
        <v>0</v>
      </c>
      <c r="O110" s="165">
        <v>0</v>
      </c>
      <c r="P110" s="165">
        <v>0</v>
      </c>
      <c r="Q110" s="165">
        <v>0</v>
      </c>
      <c r="R110" s="165">
        <v>0</v>
      </c>
      <c r="S110" s="165">
        <f t="shared" si="9"/>
        <v>0</v>
      </c>
      <c r="T110" s="165">
        <v>0</v>
      </c>
      <c r="U110" s="165">
        <v>0</v>
      </c>
      <c r="V110" s="165">
        <v>0</v>
      </c>
      <c r="W110" s="165">
        <v>0</v>
      </c>
      <c r="X110" s="165">
        <v>0</v>
      </c>
      <c r="Y110" s="165">
        <v>0</v>
      </c>
      <c r="Z110" s="165">
        <v>0</v>
      </c>
      <c r="AA110" s="165">
        <v>0</v>
      </c>
      <c r="AB110" s="165">
        <v>0</v>
      </c>
      <c r="AC110" s="165">
        <v>0</v>
      </c>
      <c r="AD110" s="165">
        <v>0</v>
      </c>
      <c r="AE110" s="165">
        <v>0</v>
      </c>
    </row>
    <row r="111" spans="1:33" s="34" customFormat="1" ht="18" customHeight="1" x14ac:dyDescent="0.4">
      <c r="A111" s="32"/>
      <c r="B111" s="32" t="s">
        <v>1262</v>
      </c>
      <c r="C111" s="32" t="s">
        <v>1265</v>
      </c>
      <c r="D111" s="32" t="s">
        <v>1271</v>
      </c>
      <c r="E111" s="15" t="s">
        <v>478</v>
      </c>
      <c r="F111" s="244" t="s">
        <v>1275</v>
      </c>
      <c r="G111" s="37">
        <v>45</v>
      </c>
      <c r="H111" s="118">
        <v>45</v>
      </c>
      <c r="I111" s="118">
        <v>0</v>
      </c>
      <c r="J111" s="165">
        <v>0</v>
      </c>
      <c r="K111" s="165">
        <v>0</v>
      </c>
      <c r="L111" s="165">
        <v>0</v>
      </c>
      <c r="M111" s="165">
        <v>0</v>
      </c>
      <c r="N111" s="165">
        <v>0</v>
      </c>
      <c r="O111" s="165">
        <v>0</v>
      </c>
      <c r="P111" s="165">
        <v>0</v>
      </c>
      <c r="Q111" s="165">
        <v>0</v>
      </c>
      <c r="R111" s="165">
        <v>0</v>
      </c>
      <c r="S111" s="165">
        <f t="shared" si="9"/>
        <v>0</v>
      </c>
      <c r="T111" s="165">
        <v>0</v>
      </c>
      <c r="U111" s="165">
        <v>0</v>
      </c>
      <c r="V111" s="165">
        <v>0</v>
      </c>
      <c r="W111" s="165">
        <v>0</v>
      </c>
      <c r="X111" s="165">
        <v>0</v>
      </c>
      <c r="Y111" s="165">
        <v>0</v>
      </c>
      <c r="Z111" s="165">
        <v>0</v>
      </c>
      <c r="AA111" s="165">
        <v>0</v>
      </c>
      <c r="AB111" s="165">
        <v>0</v>
      </c>
      <c r="AC111" s="165">
        <v>0</v>
      </c>
      <c r="AD111" s="165">
        <v>0</v>
      </c>
      <c r="AE111" s="165">
        <v>0</v>
      </c>
      <c r="AF111" s="158"/>
      <c r="AG111" s="158"/>
    </row>
    <row r="112" spans="1:33" s="34" customFormat="1" ht="16.25" customHeight="1" x14ac:dyDescent="0.4">
      <c r="A112" s="32"/>
      <c r="B112" s="32" t="s">
        <v>1262</v>
      </c>
      <c r="C112" s="32" t="s">
        <v>1265</v>
      </c>
      <c r="D112" s="32" t="s">
        <v>1271</v>
      </c>
      <c r="E112" s="15" t="s">
        <v>482</v>
      </c>
      <c r="F112" s="244" t="s">
        <v>1185</v>
      </c>
      <c r="G112" s="37">
        <v>90</v>
      </c>
      <c r="H112" s="118">
        <v>90</v>
      </c>
      <c r="I112" s="118">
        <v>90</v>
      </c>
      <c r="J112" s="165">
        <v>90</v>
      </c>
      <c r="K112" s="165">
        <v>90</v>
      </c>
      <c r="L112" s="165">
        <v>90</v>
      </c>
      <c r="M112" s="165">
        <v>0</v>
      </c>
      <c r="N112" s="165">
        <v>0</v>
      </c>
      <c r="O112" s="165">
        <v>0</v>
      </c>
      <c r="P112" s="165">
        <v>0</v>
      </c>
      <c r="Q112" s="165">
        <v>0</v>
      </c>
      <c r="R112" s="165">
        <v>0</v>
      </c>
      <c r="S112" s="165">
        <f t="shared" si="9"/>
        <v>0</v>
      </c>
      <c r="T112" s="165">
        <v>0</v>
      </c>
      <c r="U112" s="165">
        <v>0</v>
      </c>
      <c r="V112" s="165">
        <v>0</v>
      </c>
      <c r="W112" s="165">
        <v>0</v>
      </c>
      <c r="X112" s="165">
        <v>0</v>
      </c>
      <c r="Y112" s="165">
        <v>0</v>
      </c>
      <c r="Z112" s="165">
        <v>0</v>
      </c>
      <c r="AA112" s="165">
        <v>0</v>
      </c>
      <c r="AB112" s="165">
        <v>0</v>
      </c>
      <c r="AC112" s="165">
        <v>0</v>
      </c>
      <c r="AD112" s="165">
        <v>0</v>
      </c>
      <c r="AE112" s="165">
        <v>0</v>
      </c>
      <c r="AF112" s="165"/>
      <c r="AG112" s="158"/>
    </row>
    <row r="113" spans="1:33" s="158" customFormat="1" ht="16.25" customHeight="1" x14ac:dyDescent="0.4">
      <c r="A113" s="32"/>
      <c r="B113" s="32" t="s">
        <v>1262</v>
      </c>
      <c r="C113" s="32" t="s">
        <v>1265</v>
      </c>
      <c r="D113" s="32" t="s">
        <v>1271</v>
      </c>
      <c r="E113" s="53" t="s">
        <v>488</v>
      </c>
      <c r="F113" s="244" t="s">
        <v>1275</v>
      </c>
      <c r="G113" s="37"/>
      <c r="H113" s="118"/>
      <c r="I113" s="118">
        <v>112.5</v>
      </c>
      <c r="J113" s="118">
        <v>0</v>
      </c>
      <c r="K113" s="118">
        <v>0</v>
      </c>
      <c r="L113" s="118">
        <v>0</v>
      </c>
      <c r="M113" s="118">
        <v>0</v>
      </c>
      <c r="N113" s="118">
        <v>0</v>
      </c>
      <c r="O113" s="165">
        <v>0</v>
      </c>
      <c r="P113" s="165">
        <v>0</v>
      </c>
      <c r="Q113" s="165">
        <v>0</v>
      </c>
      <c r="R113" s="165">
        <v>0</v>
      </c>
      <c r="S113" s="165">
        <f t="shared" si="9"/>
        <v>0</v>
      </c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  <c r="AD113" s="165"/>
      <c r="AE113" s="165"/>
      <c r="AF113" s="34"/>
      <c r="AG113" s="34"/>
    </row>
    <row r="114" spans="1:33" s="158" customFormat="1" ht="16.25" customHeight="1" x14ac:dyDescent="0.4">
      <c r="A114" s="32"/>
      <c r="B114" s="32" t="s">
        <v>1262</v>
      </c>
      <c r="C114" s="32" t="s">
        <v>1265</v>
      </c>
      <c r="D114" s="32" t="s">
        <v>1271</v>
      </c>
      <c r="E114" s="15" t="s">
        <v>488</v>
      </c>
      <c r="F114" s="244" t="s">
        <v>1275</v>
      </c>
      <c r="G114" s="37">
        <v>112.5</v>
      </c>
      <c r="H114" s="118">
        <v>112.5</v>
      </c>
      <c r="I114" s="118">
        <v>0</v>
      </c>
      <c r="J114" s="165">
        <v>112.5</v>
      </c>
      <c r="K114" s="165">
        <v>112.5</v>
      </c>
      <c r="L114" s="165">
        <v>112.5</v>
      </c>
      <c r="M114" s="165">
        <v>85.5</v>
      </c>
      <c r="N114" s="165">
        <v>85.5</v>
      </c>
      <c r="O114" s="165">
        <v>0</v>
      </c>
      <c r="P114" s="165">
        <v>0</v>
      </c>
      <c r="Q114" s="165">
        <v>0</v>
      </c>
      <c r="R114" s="165">
        <v>0</v>
      </c>
      <c r="S114" s="165">
        <f t="shared" si="9"/>
        <v>0</v>
      </c>
      <c r="T114" s="165">
        <v>0</v>
      </c>
      <c r="U114" s="165">
        <v>0</v>
      </c>
      <c r="V114" s="165">
        <v>0</v>
      </c>
      <c r="W114" s="165">
        <v>0</v>
      </c>
      <c r="X114" s="165">
        <v>0</v>
      </c>
      <c r="Y114" s="165">
        <v>0</v>
      </c>
      <c r="Z114" s="165">
        <v>0</v>
      </c>
      <c r="AA114" s="165">
        <v>0</v>
      </c>
      <c r="AB114" s="165">
        <v>0</v>
      </c>
      <c r="AC114" s="165">
        <v>0</v>
      </c>
      <c r="AD114" s="165">
        <v>0</v>
      </c>
      <c r="AE114" s="165">
        <v>0</v>
      </c>
      <c r="AF114" s="165"/>
    </row>
    <row r="115" spans="1:33" s="158" customFormat="1" ht="16.25" customHeight="1" x14ac:dyDescent="0.4">
      <c r="A115" s="32"/>
      <c r="B115" s="32" t="s">
        <v>1262</v>
      </c>
      <c r="C115" s="32" t="s">
        <v>1265</v>
      </c>
      <c r="D115" s="32" t="s">
        <v>1271</v>
      </c>
      <c r="E115" s="36" t="s">
        <v>493</v>
      </c>
      <c r="F115" s="244" t="s">
        <v>1275</v>
      </c>
      <c r="G115" s="37">
        <v>0</v>
      </c>
      <c r="H115" s="118">
        <v>0</v>
      </c>
      <c r="I115" s="118">
        <v>0</v>
      </c>
      <c r="J115" s="118">
        <v>0</v>
      </c>
      <c r="K115" s="118">
        <v>0</v>
      </c>
      <c r="L115" s="118">
        <v>0</v>
      </c>
      <c r="M115" s="118">
        <v>0</v>
      </c>
      <c r="N115" s="118">
        <v>0</v>
      </c>
      <c r="O115" s="165">
        <v>0</v>
      </c>
      <c r="P115" s="165">
        <v>0</v>
      </c>
      <c r="Q115" s="165">
        <v>0</v>
      </c>
      <c r="R115" s="165">
        <v>0</v>
      </c>
      <c r="S115" s="165">
        <f t="shared" si="9"/>
        <v>0</v>
      </c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65"/>
      <c r="AE115" s="165"/>
      <c r="AF115" s="34"/>
      <c r="AG115" s="34"/>
    </row>
    <row r="116" spans="1:33" s="34" customFormat="1" ht="16.25" customHeight="1" x14ac:dyDescent="0.4">
      <c r="A116" s="32"/>
      <c r="B116" s="32" t="s">
        <v>1262</v>
      </c>
      <c r="C116" s="32" t="s">
        <v>1265</v>
      </c>
      <c r="D116" s="32" t="s">
        <v>1271</v>
      </c>
      <c r="E116" s="32" t="s">
        <v>499</v>
      </c>
      <c r="F116" s="244" t="s">
        <v>1275</v>
      </c>
      <c r="G116" s="37">
        <v>0</v>
      </c>
      <c r="H116" s="118">
        <v>0</v>
      </c>
      <c r="I116" s="118">
        <v>0</v>
      </c>
      <c r="J116" s="165">
        <v>0</v>
      </c>
      <c r="K116" s="165">
        <v>0</v>
      </c>
      <c r="L116" s="165">
        <v>0</v>
      </c>
      <c r="M116" s="165">
        <v>0</v>
      </c>
      <c r="N116" s="165">
        <v>0</v>
      </c>
      <c r="O116" s="165">
        <v>0</v>
      </c>
      <c r="P116" s="165">
        <v>0</v>
      </c>
      <c r="Q116" s="165">
        <v>0</v>
      </c>
      <c r="R116" s="165">
        <v>0</v>
      </c>
      <c r="S116" s="165">
        <f t="shared" si="9"/>
        <v>0</v>
      </c>
      <c r="T116" s="165">
        <v>0</v>
      </c>
      <c r="U116" s="165">
        <v>0</v>
      </c>
      <c r="V116" s="165">
        <v>0</v>
      </c>
      <c r="W116" s="165">
        <v>0</v>
      </c>
      <c r="X116" s="165">
        <v>0</v>
      </c>
      <c r="Y116" s="165">
        <v>0</v>
      </c>
      <c r="Z116" s="165">
        <v>0</v>
      </c>
      <c r="AA116" s="165">
        <v>0</v>
      </c>
      <c r="AB116" s="165">
        <v>0</v>
      </c>
      <c r="AC116" s="165">
        <v>0</v>
      </c>
      <c r="AD116" s="165">
        <v>0</v>
      </c>
      <c r="AE116" s="165">
        <v>0</v>
      </c>
      <c r="AF116" s="158"/>
      <c r="AG116" s="158"/>
    </row>
    <row r="117" spans="1:33" s="158" customFormat="1" ht="16.25" customHeight="1" x14ac:dyDescent="0.4">
      <c r="A117" s="32"/>
      <c r="B117" s="32" t="s">
        <v>1262</v>
      </c>
      <c r="C117" s="32" t="s">
        <v>1265</v>
      </c>
      <c r="D117" s="32" t="s">
        <v>1271</v>
      </c>
      <c r="E117" s="15" t="s">
        <v>506</v>
      </c>
      <c r="F117" s="244" t="s">
        <v>1185</v>
      </c>
      <c r="G117" s="37">
        <v>200</v>
      </c>
      <c r="H117" s="118">
        <v>200</v>
      </c>
      <c r="I117" s="118">
        <v>200</v>
      </c>
      <c r="J117" s="165">
        <v>200</v>
      </c>
      <c r="K117" s="165">
        <v>250</v>
      </c>
      <c r="L117" s="165">
        <v>250</v>
      </c>
      <c r="M117" s="165">
        <v>0</v>
      </c>
      <c r="N117" s="165">
        <v>0</v>
      </c>
      <c r="O117" s="165">
        <v>0</v>
      </c>
      <c r="P117" s="165">
        <v>0</v>
      </c>
      <c r="Q117" s="165">
        <v>0</v>
      </c>
      <c r="R117" s="165">
        <v>0</v>
      </c>
      <c r="S117" s="165">
        <f t="shared" si="9"/>
        <v>0</v>
      </c>
      <c r="T117" s="165">
        <v>0</v>
      </c>
      <c r="U117" s="165">
        <v>0</v>
      </c>
      <c r="V117" s="165">
        <v>0</v>
      </c>
      <c r="W117" s="165">
        <v>0</v>
      </c>
      <c r="X117" s="165">
        <v>0</v>
      </c>
      <c r="Y117" s="165">
        <v>0</v>
      </c>
      <c r="Z117" s="165">
        <v>0</v>
      </c>
      <c r="AA117" s="165">
        <v>0</v>
      </c>
      <c r="AB117" s="165">
        <v>0</v>
      </c>
      <c r="AC117" s="165">
        <v>0</v>
      </c>
      <c r="AD117" s="165">
        <v>0</v>
      </c>
      <c r="AE117" s="165">
        <v>0</v>
      </c>
      <c r="AF117" s="165"/>
    </row>
    <row r="118" spans="1:33" s="34" customFormat="1" ht="16.25" customHeight="1" x14ac:dyDescent="0.4">
      <c r="A118" s="32"/>
      <c r="B118" s="32" t="s">
        <v>1262</v>
      </c>
      <c r="C118" s="32" t="s">
        <v>1265</v>
      </c>
      <c r="D118" s="32" t="s">
        <v>1271</v>
      </c>
      <c r="E118" s="36" t="s">
        <v>508</v>
      </c>
      <c r="F118" s="244" t="s">
        <v>1275</v>
      </c>
      <c r="G118" s="37"/>
      <c r="H118" s="118">
        <v>0</v>
      </c>
      <c r="I118" s="118">
        <v>950</v>
      </c>
      <c r="J118" s="118">
        <v>0</v>
      </c>
      <c r="K118" s="118">
        <v>0</v>
      </c>
      <c r="L118" s="118">
        <v>0</v>
      </c>
      <c r="M118" s="118">
        <v>0</v>
      </c>
      <c r="N118" s="118">
        <v>0</v>
      </c>
      <c r="O118" s="165">
        <v>0</v>
      </c>
      <c r="P118" s="165">
        <v>0</v>
      </c>
      <c r="Q118" s="165">
        <v>0</v>
      </c>
      <c r="R118" s="165">
        <v>0</v>
      </c>
      <c r="S118" s="165">
        <f t="shared" si="9"/>
        <v>0</v>
      </c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  <c r="AD118" s="165"/>
      <c r="AE118" s="165"/>
    </row>
    <row r="119" spans="1:33" s="158" customFormat="1" ht="16.25" customHeight="1" x14ac:dyDescent="0.4">
      <c r="A119" s="32"/>
      <c r="B119" s="32" t="s">
        <v>1262</v>
      </c>
      <c r="C119" s="32" t="s">
        <v>1265</v>
      </c>
      <c r="D119" s="32" t="s">
        <v>1274</v>
      </c>
      <c r="E119" s="32" t="s">
        <v>508</v>
      </c>
      <c r="F119" s="244" t="s">
        <v>1185</v>
      </c>
      <c r="G119" s="37">
        <v>855</v>
      </c>
      <c r="H119" s="118">
        <v>855</v>
      </c>
      <c r="I119" s="118">
        <v>0</v>
      </c>
      <c r="J119" s="165">
        <v>198</v>
      </c>
      <c r="K119" s="165">
        <v>198</v>
      </c>
      <c r="L119" s="165">
        <v>0</v>
      </c>
      <c r="M119" s="165">
        <v>0</v>
      </c>
      <c r="N119" s="165">
        <v>0</v>
      </c>
      <c r="O119" s="165">
        <v>0</v>
      </c>
      <c r="P119" s="165">
        <v>0</v>
      </c>
      <c r="Q119" s="165">
        <v>0</v>
      </c>
      <c r="R119" s="165">
        <v>0</v>
      </c>
      <c r="S119" s="165">
        <f t="shared" si="9"/>
        <v>0</v>
      </c>
      <c r="T119" s="165">
        <v>0</v>
      </c>
      <c r="U119" s="165">
        <v>0</v>
      </c>
      <c r="V119" s="165">
        <v>0</v>
      </c>
      <c r="W119" s="165">
        <v>0</v>
      </c>
      <c r="X119" s="165">
        <v>0</v>
      </c>
      <c r="Y119" s="165">
        <v>0</v>
      </c>
      <c r="Z119" s="165">
        <v>0</v>
      </c>
      <c r="AA119" s="165">
        <v>0</v>
      </c>
      <c r="AB119" s="165">
        <v>0</v>
      </c>
      <c r="AC119" s="165">
        <v>0</v>
      </c>
      <c r="AD119" s="165">
        <v>0</v>
      </c>
      <c r="AE119" s="165">
        <v>0</v>
      </c>
      <c r="AF119" s="165"/>
    </row>
    <row r="120" spans="1:33" s="158" customFormat="1" ht="16.25" customHeight="1" x14ac:dyDescent="0.4">
      <c r="A120" s="32"/>
      <c r="B120" s="32" t="s">
        <v>1262</v>
      </c>
      <c r="C120" s="32" t="s">
        <v>1265</v>
      </c>
      <c r="D120" s="32" t="s">
        <v>1271</v>
      </c>
      <c r="E120" s="53" t="s">
        <v>513</v>
      </c>
      <c r="F120" s="244" t="s">
        <v>1276</v>
      </c>
      <c r="G120" s="37"/>
      <c r="H120" s="118"/>
      <c r="I120" s="118">
        <v>400</v>
      </c>
      <c r="J120" s="118">
        <v>400</v>
      </c>
      <c r="K120" s="118">
        <v>400</v>
      </c>
      <c r="L120" s="118">
        <v>400</v>
      </c>
      <c r="M120" s="118">
        <v>0</v>
      </c>
      <c r="N120" s="118">
        <v>0</v>
      </c>
      <c r="O120" s="165">
        <v>0</v>
      </c>
      <c r="P120" s="165">
        <v>0</v>
      </c>
      <c r="Q120" s="165">
        <v>0</v>
      </c>
      <c r="R120" s="165">
        <v>0</v>
      </c>
      <c r="S120" s="165">
        <f t="shared" si="9"/>
        <v>0</v>
      </c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  <c r="AD120" s="165"/>
      <c r="AE120" s="165"/>
      <c r="AF120" s="34"/>
      <c r="AG120" s="34"/>
    </row>
    <row r="121" spans="1:33" s="158" customFormat="1" ht="17" customHeight="1" x14ac:dyDescent="0.4">
      <c r="A121" s="32"/>
      <c r="B121" s="32" t="s">
        <v>1262</v>
      </c>
      <c r="C121" s="32" t="s">
        <v>1265</v>
      </c>
      <c r="D121" s="32" t="s">
        <v>1271</v>
      </c>
      <c r="E121" s="15" t="s">
        <v>513</v>
      </c>
      <c r="F121" s="244" t="s">
        <v>1276</v>
      </c>
      <c r="G121" s="37">
        <v>300</v>
      </c>
      <c r="H121" s="118">
        <v>300</v>
      </c>
      <c r="I121" s="118">
        <v>0</v>
      </c>
      <c r="J121" s="165">
        <v>0</v>
      </c>
      <c r="K121" s="165">
        <v>0</v>
      </c>
      <c r="L121" s="165">
        <v>0</v>
      </c>
      <c r="M121" s="165">
        <v>0</v>
      </c>
      <c r="N121" s="165">
        <v>0</v>
      </c>
      <c r="O121" s="165">
        <v>0</v>
      </c>
      <c r="P121" s="165">
        <v>0</v>
      </c>
      <c r="Q121" s="165">
        <v>0</v>
      </c>
      <c r="R121" s="165">
        <v>0</v>
      </c>
      <c r="S121" s="165">
        <f t="shared" si="9"/>
        <v>0</v>
      </c>
      <c r="T121" s="165">
        <v>0</v>
      </c>
      <c r="U121" s="165">
        <v>0</v>
      </c>
      <c r="V121" s="165">
        <v>0</v>
      </c>
      <c r="W121" s="165">
        <v>0</v>
      </c>
      <c r="X121" s="165">
        <v>0</v>
      </c>
      <c r="Y121" s="165">
        <v>0</v>
      </c>
      <c r="Z121" s="165">
        <v>0</v>
      </c>
      <c r="AA121" s="165">
        <v>0</v>
      </c>
      <c r="AB121" s="165">
        <v>0</v>
      </c>
      <c r="AC121" s="165">
        <v>0</v>
      </c>
      <c r="AD121" s="165">
        <v>0</v>
      </c>
      <c r="AE121" s="165">
        <v>0</v>
      </c>
    </row>
    <row r="122" spans="1:33" s="158" customFormat="1" ht="16.25" customHeight="1" x14ac:dyDescent="0.4">
      <c r="A122" s="32"/>
      <c r="B122" s="32" t="s">
        <v>1262</v>
      </c>
      <c r="C122" s="32" t="s">
        <v>1265</v>
      </c>
      <c r="D122" s="32" t="s">
        <v>1271</v>
      </c>
      <c r="E122" s="15" t="s">
        <v>518</v>
      </c>
      <c r="F122" s="244" t="s">
        <v>1276</v>
      </c>
      <c r="G122" s="37">
        <v>600</v>
      </c>
      <c r="H122" s="118">
        <v>600</v>
      </c>
      <c r="I122" s="118">
        <v>600</v>
      </c>
      <c r="J122" s="165">
        <v>600</v>
      </c>
      <c r="K122" s="165">
        <v>0</v>
      </c>
      <c r="L122" s="165">
        <v>0</v>
      </c>
      <c r="M122" s="165">
        <v>0</v>
      </c>
      <c r="N122" s="165">
        <v>0</v>
      </c>
      <c r="O122" s="165">
        <v>0</v>
      </c>
      <c r="P122" s="165">
        <v>0</v>
      </c>
      <c r="Q122" s="165">
        <v>0</v>
      </c>
      <c r="R122" s="165">
        <v>0</v>
      </c>
      <c r="S122" s="165">
        <f t="shared" si="9"/>
        <v>0</v>
      </c>
      <c r="T122" s="165">
        <v>0</v>
      </c>
      <c r="U122" s="165">
        <v>0</v>
      </c>
      <c r="V122" s="165">
        <v>0</v>
      </c>
      <c r="W122" s="165">
        <v>0</v>
      </c>
      <c r="X122" s="165">
        <v>0</v>
      </c>
      <c r="Y122" s="165">
        <v>0</v>
      </c>
      <c r="Z122" s="165">
        <v>0</v>
      </c>
      <c r="AA122" s="165">
        <v>0</v>
      </c>
      <c r="AB122" s="165">
        <v>0</v>
      </c>
      <c r="AC122" s="165">
        <v>0</v>
      </c>
      <c r="AD122" s="165">
        <v>0</v>
      </c>
      <c r="AE122" s="165">
        <v>0</v>
      </c>
      <c r="AF122" s="165"/>
    </row>
    <row r="123" spans="1:33" s="34" customFormat="1" ht="15.6" customHeight="1" x14ac:dyDescent="0.4">
      <c r="A123" s="32"/>
      <c r="B123" s="32" t="s">
        <v>1262</v>
      </c>
      <c r="C123" s="32" t="s">
        <v>1265</v>
      </c>
      <c r="D123" s="32" t="s">
        <v>1271</v>
      </c>
      <c r="E123" s="15" t="s">
        <v>518</v>
      </c>
      <c r="F123" s="244" t="s">
        <v>1276</v>
      </c>
      <c r="G123" s="37"/>
      <c r="H123" s="118"/>
      <c r="I123" s="118"/>
      <c r="J123" s="165">
        <v>0</v>
      </c>
      <c r="K123" s="165">
        <v>600</v>
      </c>
      <c r="L123" s="165">
        <v>600</v>
      </c>
      <c r="M123" s="165">
        <v>0</v>
      </c>
      <c r="N123" s="165">
        <v>0</v>
      </c>
      <c r="O123" s="165">
        <v>0</v>
      </c>
      <c r="P123" s="165">
        <v>0</v>
      </c>
      <c r="Q123" s="165">
        <v>0</v>
      </c>
      <c r="R123" s="165">
        <v>0</v>
      </c>
      <c r="S123" s="165">
        <f t="shared" si="9"/>
        <v>0</v>
      </c>
      <c r="T123" s="165">
        <v>0</v>
      </c>
      <c r="U123" s="165">
        <v>0</v>
      </c>
      <c r="V123" s="165">
        <v>0</v>
      </c>
      <c r="W123" s="165">
        <v>0</v>
      </c>
      <c r="X123" s="165">
        <v>0</v>
      </c>
      <c r="Y123" s="165">
        <v>0</v>
      </c>
      <c r="Z123" s="165">
        <v>0</v>
      </c>
      <c r="AA123" s="165">
        <v>0</v>
      </c>
      <c r="AB123" s="165">
        <v>0</v>
      </c>
      <c r="AC123" s="165">
        <v>0</v>
      </c>
      <c r="AD123" s="165">
        <v>0</v>
      </c>
      <c r="AE123" s="165">
        <v>0</v>
      </c>
      <c r="AF123" s="165"/>
      <c r="AG123" s="158"/>
    </row>
    <row r="124" spans="1:33" s="158" customFormat="1" ht="16.25" customHeight="1" x14ac:dyDescent="0.4">
      <c r="A124" s="32"/>
      <c r="B124" s="32" t="s">
        <v>1262</v>
      </c>
      <c r="C124" s="32" t="s">
        <v>1265</v>
      </c>
      <c r="D124" s="32" t="s">
        <v>1271</v>
      </c>
      <c r="E124" s="15" t="s">
        <v>520</v>
      </c>
      <c r="F124" s="244" t="s">
        <v>1276</v>
      </c>
      <c r="G124" s="37">
        <v>200</v>
      </c>
      <c r="H124" s="118">
        <v>200</v>
      </c>
      <c r="I124" s="118">
        <v>200</v>
      </c>
      <c r="J124" s="165">
        <v>200</v>
      </c>
      <c r="K124" s="165">
        <v>200</v>
      </c>
      <c r="L124" s="165">
        <v>0</v>
      </c>
      <c r="M124" s="165">
        <v>0</v>
      </c>
      <c r="N124" s="165">
        <v>0</v>
      </c>
      <c r="O124" s="165">
        <v>0</v>
      </c>
      <c r="P124" s="165">
        <v>0</v>
      </c>
      <c r="Q124" s="165">
        <v>0</v>
      </c>
      <c r="R124" s="165">
        <v>0</v>
      </c>
      <c r="S124" s="165">
        <f t="shared" si="9"/>
        <v>0</v>
      </c>
      <c r="T124" s="165">
        <v>0</v>
      </c>
      <c r="U124" s="165">
        <v>0</v>
      </c>
      <c r="V124" s="165">
        <v>0</v>
      </c>
      <c r="W124" s="165">
        <v>0</v>
      </c>
      <c r="X124" s="165">
        <v>0</v>
      </c>
      <c r="Y124" s="165">
        <v>0</v>
      </c>
      <c r="Z124" s="165">
        <v>0</v>
      </c>
      <c r="AA124" s="165">
        <v>0</v>
      </c>
      <c r="AB124" s="165">
        <v>0</v>
      </c>
      <c r="AC124" s="165">
        <v>0</v>
      </c>
      <c r="AD124" s="165">
        <v>0</v>
      </c>
      <c r="AE124" s="165">
        <v>0</v>
      </c>
      <c r="AF124" s="165"/>
    </row>
    <row r="125" spans="1:33" s="158" customFormat="1" ht="16.25" customHeight="1" x14ac:dyDescent="0.4">
      <c r="A125" s="32"/>
      <c r="B125" s="32" t="s">
        <v>1262</v>
      </c>
      <c r="C125" s="32" t="s">
        <v>1265</v>
      </c>
      <c r="D125" s="32" t="s">
        <v>1269</v>
      </c>
      <c r="E125" s="53" t="s">
        <v>522</v>
      </c>
      <c r="F125" s="244" t="s">
        <v>1276</v>
      </c>
      <c r="G125" s="45"/>
      <c r="H125" s="118"/>
      <c r="I125" s="118">
        <v>340</v>
      </c>
      <c r="J125" s="118">
        <v>0</v>
      </c>
      <c r="K125" s="118">
        <v>0</v>
      </c>
      <c r="L125" s="118">
        <v>0</v>
      </c>
      <c r="M125" s="118">
        <v>0</v>
      </c>
      <c r="N125" s="118">
        <v>0</v>
      </c>
      <c r="O125" s="165">
        <v>0</v>
      </c>
      <c r="P125" s="165">
        <v>0</v>
      </c>
      <c r="Q125" s="165">
        <v>0</v>
      </c>
      <c r="R125" s="165">
        <v>0</v>
      </c>
      <c r="S125" s="165">
        <f t="shared" si="9"/>
        <v>0</v>
      </c>
      <c r="T125" s="165">
        <v>0</v>
      </c>
      <c r="U125" s="165">
        <v>0</v>
      </c>
      <c r="V125" s="165">
        <v>0</v>
      </c>
      <c r="W125" s="165">
        <v>0</v>
      </c>
      <c r="X125" s="165">
        <v>0</v>
      </c>
      <c r="Y125" s="165">
        <v>0</v>
      </c>
      <c r="Z125" s="165">
        <v>0</v>
      </c>
      <c r="AA125" s="165">
        <v>0</v>
      </c>
      <c r="AB125" s="165">
        <v>0</v>
      </c>
      <c r="AC125" s="165">
        <v>0</v>
      </c>
      <c r="AD125" s="165">
        <v>0</v>
      </c>
      <c r="AE125" s="165">
        <v>0</v>
      </c>
      <c r="AF125" s="34"/>
      <c r="AG125" s="34"/>
    </row>
    <row r="126" spans="1:33" s="158" customFormat="1" ht="16.25" customHeight="1" x14ac:dyDescent="0.4">
      <c r="A126" s="32"/>
      <c r="B126" s="32" t="s">
        <v>1262</v>
      </c>
      <c r="C126" s="32" t="s">
        <v>1265</v>
      </c>
      <c r="D126" s="32" t="s">
        <v>1269</v>
      </c>
      <c r="E126" s="15" t="s">
        <v>522</v>
      </c>
      <c r="F126" s="244" t="s">
        <v>1276</v>
      </c>
      <c r="G126" s="45">
        <v>306</v>
      </c>
      <c r="H126" s="118">
        <v>306</v>
      </c>
      <c r="I126" s="118">
        <v>0</v>
      </c>
      <c r="J126" s="165">
        <v>100</v>
      </c>
      <c r="K126" s="165">
        <v>270</v>
      </c>
      <c r="L126" s="165">
        <v>270</v>
      </c>
      <c r="M126" s="165">
        <v>126</v>
      </c>
      <c r="N126" s="165">
        <v>0</v>
      </c>
      <c r="O126" s="165">
        <v>0</v>
      </c>
      <c r="P126" s="165">
        <v>0</v>
      </c>
      <c r="Q126" s="165">
        <v>0</v>
      </c>
      <c r="R126" s="165">
        <v>0</v>
      </c>
      <c r="S126" s="165">
        <f t="shared" si="9"/>
        <v>0</v>
      </c>
      <c r="T126" s="165">
        <v>0</v>
      </c>
      <c r="U126" s="165">
        <v>0</v>
      </c>
      <c r="V126" s="165">
        <v>0</v>
      </c>
      <c r="W126" s="165">
        <v>0</v>
      </c>
      <c r="X126" s="165">
        <v>0</v>
      </c>
      <c r="Y126" s="165">
        <v>0</v>
      </c>
      <c r="Z126" s="165">
        <v>0</v>
      </c>
      <c r="AA126" s="165">
        <v>0</v>
      </c>
      <c r="AB126" s="165">
        <v>0</v>
      </c>
      <c r="AC126" s="165">
        <v>0</v>
      </c>
      <c r="AD126" s="165">
        <v>0</v>
      </c>
      <c r="AE126" s="165">
        <v>0</v>
      </c>
      <c r="AF126" s="165"/>
    </row>
    <row r="127" spans="1:33" s="34" customFormat="1" ht="16.25" customHeight="1" x14ac:dyDescent="0.4">
      <c r="A127" s="32"/>
      <c r="B127" s="32" t="s">
        <v>1262</v>
      </c>
      <c r="C127" s="32" t="s">
        <v>1265</v>
      </c>
      <c r="D127" s="32" t="s">
        <v>1269</v>
      </c>
      <c r="E127" s="15" t="s">
        <v>533</v>
      </c>
      <c r="F127" s="244" t="s">
        <v>1185</v>
      </c>
      <c r="G127" s="45">
        <v>250</v>
      </c>
      <c r="H127" s="118">
        <v>250</v>
      </c>
      <c r="I127" s="118">
        <v>250</v>
      </c>
      <c r="J127" s="165">
        <v>250</v>
      </c>
      <c r="K127" s="165">
        <v>250</v>
      </c>
      <c r="L127" s="165">
        <v>200</v>
      </c>
      <c r="M127" s="165">
        <v>200</v>
      </c>
      <c r="N127" s="165">
        <v>200</v>
      </c>
      <c r="O127" s="165">
        <v>200</v>
      </c>
      <c r="P127" s="165">
        <v>0</v>
      </c>
      <c r="Q127" s="165">
        <v>0</v>
      </c>
      <c r="R127" s="165">
        <v>0</v>
      </c>
      <c r="S127" s="165">
        <f t="shared" si="9"/>
        <v>0</v>
      </c>
      <c r="T127" s="165">
        <v>0</v>
      </c>
      <c r="U127" s="165">
        <v>0</v>
      </c>
      <c r="V127" s="165">
        <v>0</v>
      </c>
      <c r="W127" s="165">
        <v>0</v>
      </c>
      <c r="X127" s="165">
        <v>0</v>
      </c>
      <c r="Y127" s="165">
        <v>0</v>
      </c>
      <c r="Z127" s="165">
        <v>0</v>
      </c>
      <c r="AA127" s="165">
        <v>0</v>
      </c>
      <c r="AB127" s="165">
        <v>0</v>
      </c>
      <c r="AC127" s="165">
        <v>0</v>
      </c>
      <c r="AD127" s="165">
        <v>0</v>
      </c>
      <c r="AE127" s="165">
        <v>0</v>
      </c>
      <c r="AF127" s="165"/>
      <c r="AG127" s="158"/>
    </row>
    <row r="128" spans="1:33" s="158" customFormat="1" ht="16.25" customHeight="1" x14ac:dyDescent="0.4">
      <c r="A128" s="32"/>
      <c r="B128" s="32" t="s">
        <v>1262</v>
      </c>
      <c r="C128" s="32" t="s">
        <v>1265</v>
      </c>
      <c r="D128" s="32" t="s">
        <v>1269</v>
      </c>
      <c r="E128" s="36" t="s">
        <v>534</v>
      </c>
      <c r="F128" s="244" t="s">
        <v>1276</v>
      </c>
      <c r="G128" s="37"/>
      <c r="H128" s="118"/>
      <c r="I128" s="118">
        <v>300</v>
      </c>
      <c r="J128" s="118">
        <v>300</v>
      </c>
      <c r="K128" s="118">
        <v>0</v>
      </c>
      <c r="L128" s="118">
        <v>0</v>
      </c>
      <c r="M128" s="118">
        <v>0</v>
      </c>
      <c r="N128" s="118">
        <v>0</v>
      </c>
      <c r="O128" s="165">
        <v>0</v>
      </c>
      <c r="P128" s="165">
        <v>0</v>
      </c>
      <c r="Q128" s="165">
        <v>0</v>
      </c>
      <c r="R128" s="165">
        <v>0</v>
      </c>
      <c r="S128" s="165">
        <f t="shared" si="9"/>
        <v>0</v>
      </c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</row>
    <row r="129" spans="1:33" s="158" customFormat="1" ht="16.25" customHeight="1" x14ac:dyDescent="0.4">
      <c r="A129" s="32"/>
      <c r="B129" s="32" t="s">
        <v>1262</v>
      </c>
      <c r="C129" s="32" t="s">
        <v>1265</v>
      </c>
      <c r="D129" s="32" t="s">
        <v>1269</v>
      </c>
      <c r="E129" s="32" t="s">
        <v>534</v>
      </c>
      <c r="F129" s="244" t="s">
        <v>1276</v>
      </c>
      <c r="G129" s="45">
        <v>150</v>
      </c>
      <c r="H129" s="118">
        <v>150</v>
      </c>
      <c r="I129" s="118">
        <v>0</v>
      </c>
      <c r="J129" s="165">
        <v>0</v>
      </c>
      <c r="K129" s="165">
        <v>0</v>
      </c>
      <c r="L129" s="165">
        <v>0</v>
      </c>
      <c r="M129" s="165">
        <v>0</v>
      </c>
      <c r="N129" s="165">
        <v>0</v>
      </c>
      <c r="O129" s="165">
        <v>0</v>
      </c>
      <c r="P129" s="165">
        <v>0</v>
      </c>
      <c r="Q129" s="165">
        <v>0</v>
      </c>
      <c r="R129" s="165">
        <v>0</v>
      </c>
      <c r="S129" s="165">
        <f t="shared" si="9"/>
        <v>0</v>
      </c>
      <c r="T129" s="165">
        <v>0</v>
      </c>
      <c r="U129" s="165">
        <v>0</v>
      </c>
      <c r="V129" s="165">
        <v>0</v>
      </c>
      <c r="W129" s="165">
        <v>0</v>
      </c>
      <c r="X129" s="165">
        <v>0</v>
      </c>
      <c r="Y129" s="165">
        <v>0</v>
      </c>
      <c r="Z129" s="165">
        <v>0</v>
      </c>
      <c r="AA129" s="165">
        <v>0</v>
      </c>
      <c r="AB129" s="165">
        <v>0</v>
      </c>
      <c r="AC129" s="165">
        <v>0</v>
      </c>
      <c r="AD129" s="165">
        <v>0</v>
      </c>
      <c r="AE129" s="165">
        <v>0</v>
      </c>
    </row>
    <row r="130" spans="1:33" s="158" customFormat="1" ht="16.25" customHeight="1" x14ac:dyDescent="0.4">
      <c r="A130" s="32"/>
      <c r="B130" s="32" t="s">
        <v>1262</v>
      </c>
      <c r="C130" s="32" t="s">
        <v>1265</v>
      </c>
      <c r="D130" s="32" t="s">
        <v>1269</v>
      </c>
      <c r="E130" s="15" t="s">
        <v>541</v>
      </c>
      <c r="F130" s="244" t="s">
        <v>1275</v>
      </c>
      <c r="G130" s="45">
        <v>0</v>
      </c>
      <c r="H130" s="118">
        <v>0</v>
      </c>
      <c r="I130" s="118">
        <v>0</v>
      </c>
      <c r="J130" s="165">
        <v>0</v>
      </c>
      <c r="K130" s="165">
        <v>0</v>
      </c>
      <c r="L130" s="165">
        <v>0</v>
      </c>
      <c r="M130" s="165">
        <v>0</v>
      </c>
      <c r="N130" s="165">
        <v>0</v>
      </c>
      <c r="O130" s="165">
        <v>0</v>
      </c>
      <c r="P130" s="165">
        <v>0</v>
      </c>
      <c r="Q130" s="165">
        <v>0</v>
      </c>
      <c r="R130" s="165">
        <v>0</v>
      </c>
      <c r="S130" s="165">
        <f t="shared" si="9"/>
        <v>0</v>
      </c>
      <c r="T130" s="165">
        <v>0</v>
      </c>
      <c r="U130" s="165">
        <v>0</v>
      </c>
      <c r="V130" s="165">
        <v>0</v>
      </c>
      <c r="W130" s="165">
        <v>0</v>
      </c>
      <c r="X130" s="165">
        <v>0</v>
      </c>
      <c r="Y130" s="165">
        <v>0</v>
      </c>
      <c r="Z130" s="165">
        <v>0</v>
      </c>
      <c r="AA130" s="165">
        <v>0</v>
      </c>
      <c r="AB130" s="165">
        <v>0</v>
      </c>
      <c r="AC130" s="165">
        <v>0</v>
      </c>
      <c r="AD130" s="165">
        <v>0</v>
      </c>
      <c r="AE130" s="165">
        <v>0</v>
      </c>
    </row>
    <row r="131" spans="1:33" s="158" customFormat="1" ht="16.25" customHeight="1" x14ac:dyDescent="0.4">
      <c r="A131" s="32"/>
      <c r="B131" s="32" t="s">
        <v>1262</v>
      </c>
      <c r="C131" s="32" t="s">
        <v>1265</v>
      </c>
      <c r="D131" s="32" t="s">
        <v>1269</v>
      </c>
      <c r="E131" s="15" t="s">
        <v>545</v>
      </c>
      <c r="F131" s="244" t="s">
        <v>1185</v>
      </c>
      <c r="G131" s="45"/>
      <c r="H131" s="118">
        <v>0</v>
      </c>
      <c r="I131" s="118">
        <v>0</v>
      </c>
      <c r="J131" s="165">
        <v>0</v>
      </c>
      <c r="K131" s="165">
        <v>0</v>
      </c>
      <c r="L131" s="165">
        <v>0</v>
      </c>
      <c r="M131" s="165">
        <v>0</v>
      </c>
      <c r="N131" s="165">
        <v>0</v>
      </c>
      <c r="O131" s="165">
        <v>0</v>
      </c>
      <c r="P131" s="165">
        <v>0</v>
      </c>
      <c r="Q131" s="165">
        <v>0</v>
      </c>
      <c r="R131" s="165">
        <v>0</v>
      </c>
      <c r="S131" s="165">
        <f t="shared" si="9"/>
        <v>0</v>
      </c>
      <c r="T131" s="165">
        <v>0</v>
      </c>
      <c r="U131" s="165">
        <v>0</v>
      </c>
      <c r="V131" s="165">
        <v>0</v>
      </c>
      <c r="W131" s="165">
        <v>0</v>
      </c>
      <c r="X131" s="165">
        <v>0</v>
      </c>
      <c r="Y131" s="165">
        <v>0</v>
      </c>
      <c r="Z131" s="165">
        <v>0</v>
      </c>
      <c r="AA131" s="165">
        <v>0</v>
      </c>
      <c r="AB131" s="165">
        <v>0</v>
      </c>
      <c r="AC131" s="165">
        <v>0</v>
      </c>
      <c r="AD131" s="165">
        <v>0</v>
      </c>
      <c r="AE131" s="165">
        <v>0</v>
      </c>
    </row>
    <row r="132" spans="1:33" s="158" customFormat="1" ht="16.25" customHeight="1" x14ac:dyDescent="0.4">
      <c r="A132" s="32"/>
      <c r="B132" s="32" t="s">
        <v>1262</v>
      </c>
      <c r="C132" s="32" t="s">
        <v>1265</v>
      </c>
      <c r="D132" s="32" t="s">
        <v>1274</v>
      </c>
      <c r="E132" s="32" t="s">
        <v>547</v>
      </c>
      <c r="F132" s="244" t="s">
        <v>1185</v>
      </c>
      <c r="G132" s="45">
        <v>400</v>
      </c>
      <c r="H132" s="118">
        <v>400</v>
      </c>
      <c r="I132" s="118">
        <v>0</v>
      </c>
      <c r="J132" s="165">
        <v>0</v>
      </c>
      <c r="K132" s="165">
        <v>0</v>
      </c>
      <c r="L132" s="165">
        <v>0</v>
      </c>
      <c r="M132" s="165">
        <v>0</v>
      </c>
      <c r="N132" s="165">
        <v>0</v>
      </c>
      <c r="O132" s="165">
        <v>0</v>
      </c>
      <c r="P132" s="165">
        <v>0</v>
      </c>
      <c r="Q132" s="165">
        <v>0</v>
      </c>
      <c r="R132" s="165">
        <v>0</v>
      </c>
      <c r="S132" s="165">
        <f t="shared" si="9"/>
        <v>0</v>
      </c>
      <c r="T132" s="165">
        <v>0</v>
      </c>
      <c r="U132" s="165">
        <v>0</v>
      </c>
      <c r="V132" s="165">
        <v>0</v>
      </c>
      <c r="W132" s="165">
        <v>0</v>
      </c>
      <c r="X132" s="165">
        <v>0</v>
      </c>
      <c r="Y132" s="165">
        <v>0</v>
      </c>
      <c r="Z132" s="165">
        <v>0</v>
      </c>
      <c r="AA132" s="165">
        <v>0</v>
      </c>
      <c r="AB132" s="165">
        <v>0</v>
      </c>
      <c r="AC132" s="165">
        <v>0</v>
      </c>
      <c r="AD132" s="165">
        <v>0</v>
      </c>
      <c r="AE132" s="165">
        <v>0</v>
      </c>
    </row>
    <row r="133" spans="1:33" s="158" customFormat="1" ht="16.25" customHeight="1" x14ac:dyDescent="0.4">
      <c r="A133" s="32"/>
      <c r="B133" s="32" t="s">
        <v>1262</v>
      </c>
      <c r="C133" s="32" t="s">
        <v>1265</v>
      </c>
      <c r="D133" s="32" t="s">
        <v>1274</v>
      </c>
      <c r="E133" s="32" t="s">
        <v>548</v>
      </c>
      <c r="F133" s="246" t="s">
        <v>1179</v>
      </c>
      <c r="G133" s="45"/>
      <c r="H133" s="118"/>
      <c r="I133" s="118"/>
      <c r="J133" s="165"/>
      <c r="K133" s="165"/>
      <c r="L133" s="165"/>
      <c r="M133" s="165">
        <v>450</v>
      </c>
      <c r="N133" s="165">
        <v>450</v>
      </c>
      <c r="O133" s="165">
        <v>993.6</v>
      </c>
      <c r="P133" s="165">
        <v>0</v>
      </c>
      <c r="Q133" s="165">
        <v>0</v>
      </c>
      <c r="R133" s="165">
        <v>0</v>
      </c>
      <c r="S133" s="165">
        <f t="shared" si="9"/>
        <v>0</v>
      </c>
    </row>
    <row r="134" spans="1:33" s="34" customFormat="1" ht="16.25" customHeight="1" x14ac:dyDescent="0.4">
      <c r="A134" s="32"/>
      <c r="B134" s="32" t="s">
        <v>1262</v>
      </c>
      <c r="C134" s="32" t="s">
        <v>1265</v>
      </c>
      <c r="D134" s="32" t="s">
        <v>1274</v>
      </c>
      <c r="E134" s="15" t="s">
        <v>549</v>
      </c>
      <c r="F134" s="244" t="s">
        <v>1185</v>
      </c>
      <c r="G134" s="45">
        <v>200</v>
      </c>
      <c r="H134" s="118">
        <v>200</v>
      </c>
      <c r="I134" s="118">
        <v>200</v>
      </c>
      <c r="J134" s="165">
        <v>400</v>
      </c>
      <c r="K134" s="165">
        <v>500</v>
      </c>
      <c r="L134" s="165">
        <v>500</v>
      </c>
      <c r="M134" s="165">
        <v>500</v>
      </c>
      <c r="N134" s="165">
        <v>500</v>
      </c>
      <c r="O134" s="165">
        <v>120</v>
      </c>
      <c r="P134" s="165">
        <v>0</v>
      </c>
      <c r="Q134" s="165">
        <v>0</v>
      </c>
      <c r="R134" s="165">
        <v>0</v>
      </c>
      <c r="S134" s="165">
        <f t="shared" si="9"/>
        <v>0</v>
      </c>
      <c r="T134" s="165">
        <v>0</v>
      </c>
      <c r="U134" s="165">
        <v>0</v>
      </c>
      <c r="V134" s="165">
        <v>0</v>
      </c>
      <c r="W134" s="165">
        <v>0</v>
      </c>
      <c r="X134" s="165">
        <v>0</v>
      </c>
      <c r="Y134" s="165">
        <v>0</v>
      </c>
      <c r="Z134" s="165">
        <v>0</v>
      </c>
      <c r="AA134" s="165">
        <v>0</v>
      </c>
      <c r="AB134" s="165">
        <v>0</v>
      </c>
      <c r="AC134" s="165">
        <v>0</v>
      </c>
      <c r="AD134" s="165">
        <v>0</v>
      </c>
      <c r="AE134" s="165">
        <v>0</v>
      </c>
      <c r="AF134" s="165"/>
      <c r="AG134" s="158"/>
    </row>
    <row r="135" spans="1:33" s="158" customFormat="1" ht="16.25" customHeight="1" x14ac:dyDescent="0.4">
      <c r="A135" s="32"/>
      <c r="B135" s="32" t="s">
        <v>1262</v>
      </c>
      <c r="C135" s="32" t="s">
        <v>1265</v>
      </c>
      <c r="D135" s="32" t="s">
        <v>1269</v>
      </c>
      <c r="E135" s="15" t="s">
        <v>558</v>
      </c>
      <c r="F135" s="244" t="s">
        <v>1275</v>
      </c>
      <c r="G135" s="45">
        <v>380</v>
      </c>
      <c r="H135" s="118">
        <v>380</v>
      </c>
      <c r="I135" s="118">
        <v>150</v>
      </c>
      <c r="J135" s="165">
        <v>150</v>
      </c>
      <c r="K135" s="165">
        <v>150</v>
      </c>
      <c r="L135" s="165">
        <v>150</v>
      </c>
      <c r="M135" s="165">
        <v>150</v>
      </c>
      <c r="N135" s="165">
        <v>120</v>
      </c>
      <c r="O135" s="165">
        <v>121.5</v>
      </c>
      <c r="P135" s="165">
        <v>0</v>
      </c>
      <c r="Q135" s="165">
        <v>0</v>
      </c>
      <c r="R135" s="165">
        <v>0</v>
      </c>
      <c r="S135" s="165">
        <f t="shared" si="9"/>
        <v>0</v>
      </c>
      <c r="T135" s="165">
        <v>0</v>
      </c>
      <c r="U135" s="165">
        <v>0</v>
      </c>
      <c r="V135" s="165">
        <v>0</v>
      </c>
      <c r="W135" s="165">
        <v>0</v>
      </c>
      <c r="X135" s="165">
        <v>0</v>
      </c>
      <c r="Y135" s="165">
        <v>0</v>
      </c>
      <c r="Z135" s="165">
        <v>0</v>
      </c>
      <c r="AA135" s="165">
        <v>0</v>
      </c>
      <c r="AB135" s="165">
        <v>0</v>
      </c>
      <c r="AC135" s="165">
        <v>0</v>
      </c>
      <c r="AD135" s="165">
        <v>0</v>
      </c>
      <c r="AE135" s="165">
        <v>0</v>
      </c>
      <c r="AF135" s="165"/>
    </row>
    <row r="136" spans="1:33" s="34" customFormat="1" ht="16.25" customHeight="1" x14ac:dyDescent="0.4">
      <c r="A136" s="32"/>
      <c r="B136" s="32" t="s">
        <v>1262</v>
      </c>
      <c r="C136" s="32" t="s">
        <v>1265</v>
      </c>
      <c r="D136" s="32" t="s">
        <v>1274</v>
      </c>
      <c r="E136" s="15" t="s">
        <v>561</v>
      </c>
      <c r="F136" s="244" t="s">
        <v>1185</v>
      </c>
      <c r="G136" s="45">
        <v>410</v>
      </c>
      <c r="H136" s="118">
        <v>410</v>
      </c>
      <c r="I136" s="118">
        <v>410</v>
      </c>
      <c r="J136" s="165">
        <v>410</v>
      </c>
      <c r="K136" s="165">
        <v>510</v>
      </c>
      <c r="L136" s="165">
        <v>510</v>
      </c>
      <c r="M136" s="165">
        <v>500</v>
      </c>
      <c r="N136" s="165">
        <v>207</v>
      </c>
      <c r="O136" s="165">
        <v>200</v>
      </c>
      <c r="P136" s="165">
        <v>100</v>
      </c>
      <c r="Q136" s="165">
        <v>0</v>
      </c>
      <c r="R136" s="165">
        <v>0</v>
      </c>
      <c r="S136" s="165">
        <f t="shared" si="9"/>
        <v>0</v>
      </c>
      <c r="T136" s="165">
        <v>0</v>
      </c>
      <c r="U136" s="165">
        <v>0</v>
      </c>
      <c r="V136" s="165">
        <v>0</v>
      </c>
      <c r="W136" s="165">
        <v>0</v>
      </c>
      <c r="X136" s="165">
        <v>0</v>
      </c>
      <c r="Y136" s="165">
        <v>0</v>
      </c>
      <c r="Z136" s="165">
        <v>0</v>
      </c>
      <c r="AA136" s="165">
        <v>0</v>
      </c>
      <c r="AB136" s="165">
        <v>0</v>
      </c>
      <c r="AC136" s="165">
        <v>0</v>
      </c>
      <c r="AD136" s="165">
        <v>0</v>
      </c>
      <c r="AE136" s="165">
        <v>0</v>
      </c>
      <c r="AF136" s="165"/>
      <c r="AG136" s="158"/>
    </row>
    <row r="137" spans="1:33" s="34" customFormat="1" ht="16.25" customHeight="1" x14ac:dyDescent="0.4">
      <c r="A137" s="32"/>
      <c r="B137" s="32" t="s">
        <v>1262</v>
      </c>
      <c r="C137" s="32" t="s">
        <v>1265</v>
      </c>
      <c r="D137" s="32" t="s">
        <v>1269</v>
      </c>
      <c r="E137" s="53" t="s">
        <v>565</v>
      </c>
      <c r="F137" s="244" t="s">
        <v>1275</v>
      </c>
      <c r="G137" s="45">
        <v>110</v>
      </c>
      <c r="H137" s="118">
        <v>110</v>
      </c>
      <c r="I137" s="118">
        <v>130</v>
      </c>
      <c r="J137" s="118">
        <v>130</v>
      </c>
      <c r="K137" s="118">
        <v>130</v>
      </c>
      <c r="L137" s="118">
        <v>130</v>
      </c>
      <c r="M137" s="118">
        <v>0</v>
      </c>
      <c r="N137" s="118">
        <v>0</v>
      </c>
      <c r="O137" s="165">
        <v>0</v>
      </c>
      <c r="P137" s="165">
        <v>0</v>
      </c>
      <c r="Q137" s="165">
        <v>0</v>
      </c>
      <c r="R137" s="165">
        <v>0</v>
      </c>
      <c r="S137" s="165">
        <f t="shared" si="9"/>
        <v>0</v>
      </c>
    </row>
    <row r="138" spans="1:33" s="158" customFormat="1" ht="16.25" customHeight="1" x14ac:dyDescent="0.4">
      <c r="A138" s="32"/>
      <c r="B138" s="32" t="s">
        <v>1262</v>
      </c>
      <c r="C138" s="32" t="s">
        <v>1265</v>
      </c>
      <c r="D138" s="32" t="s">
        <v>1269</v>
      </c>
      <c r="E138" s="15" t="s">
        <v>569</v>
      </c>
      <c r="F138" s="244" t="s">
        <v>1275</v>
      </c>
      <c r="G138" s="45"/>
      <c r="H138" s="118">
        <v>175</v>
      </c>
      <c r="I138" s="118">
        <v>112.5</v>
      </c>
      <c r="J138" s="165">
        <v>157.5</v>
      </c>
      <c r="K138" s="165">
        <v>157.5</v>
      </c>
      <c r="L138" s="165">
        <v>166.5</v>
      </c>
      <c r="M138" s="165">
        <v>166.5</v>
      </c>
      <c r="N138" s="165">
        <v>0</v>
      </c>
      <c r="O138" s="165">
        <v>0</v>
      </c>
      <c r="P138" s="165">
        <v>0</v>
      </c>
      <c r="Q138" s="165">
        <v>0</v>
      </c>
      <c r="R138" s="165">
        <v>0</v>
      </c>
      <c r="S138" s="165">
        <f t="shared" si="9"/>
        <v>0</v>
      </c>
      <c r="T138" s="165">
        <v>0</v>
      </c>
      <c r="U138" s="165">
        <v>0</v>
      </c>
      <c r="V138" s="165">
        <v>0</v>
      </c>
      <c r="W138" s="165">
        <v>0</v>
      </c>
      <c r="X138" s="165">
        <v>0</v>
      </c>
      <c r="Y138" s="165">
        <v>0</v>
      </c>
      <c r="Z138" s="165">
        <v>0</v>
      </c>
      <c r="AA138" s="165">
        <v>0</v>
      </c>
      <c r="AB138" s="165">
        <v>0</v>
      </c>
      <c r="AC138" s="165">
        <v>0</v>
      </c>
      <c r="AD138" s="165">
        <v>0</v>
      </c>
      <c r="AE138" s="165">
        <v>0</v>
      </c>
      <c r="AF138" s="165"/>
    </row>
    <row r="139" spans="1:33" s="158" customFormat="1" ht="16.25" customHeight="1" x14ac:dyDescent="0.4">
      <c r="A139" s="32"/>
      <c r="B139" s="32" t="s">
        <v>1262</v>
      </c>
      <c r="C139" s="32" t="s">
        <v>1265</v>
      </c>
      <c r="D139" s="32" t="s">
        <v>1269</v>
      </c>
      <c r="E139" s="53" t="s">
        <v>363</v>
      </c>
      <c r="F139" s="244" t="s">
        <v>1275</v>
      </c>
      <c r="G139" s="45">
        <v>200</v>
      </c>
      <c r="H139" s="118">
        <v>200</v>
      </c>
      <c r="I139" s="118">
        <v>200</v>
      </c>
      <c r="J139" s="118">
        <v>200</v>
      </c>
      <c r="K139" s="118">
        <v>200</v>
      </c>
      <c r="L139" s="118">
        <v>0</v>
      </c>
      <c r="M139" s="118">
        <v>0</v>
      </c>
      <c r="N139" s="118">
        <v>0</v>
      </c>
      <c r="O139" s="165">
        <v>0</v>
      </c>
      <c r="P139" s="165">
        <v>0</v>
      </c>
      <c r="Q139" s="165">
        <v>0</v>
      </c>
      <c r="R139" s="165">
        <v>0</v>
      </c>
      <c r="S139" s="165">
        <f t="shared" si="9"/>
        <v>0</v>
      </c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</row>
    <row r="140" spans="1:33" s="158" customFormat="1" ht="16.25" customHeight="1" x14ac:dyDescent="0.4">
      <c r="A140" s="32"/>
      <c r="B140" s="32" t="s">
        <v>1262</v>
      </c>
      <c r="C140" s="32" t="s">
        <v>1265</v>
      </c>
      <c r="D140" s="32" t="s">
        <v>1269</v>
      </c>
      <c r="E140" s="53" t="s">
        <v>363</v>
      </c>
      <c r="F140" s="244" t="s">
        <v>1275</v>
      </c>
      <c r="G140" s="45">
        <v>175</v>
      </c>
      <c r="H140" s="118">
        <v>175</v>
      </c>
      <c r="I140" s="118">
        <v>175</v>
      </c>
      <c r="J140" s="118">
        <v>0</v>
      </c>
      <c r="K140" s="118">
        <v>0</v>
      </c>
      <c r="L140" s="118">
        <v>0</v>
      </c>
      <c r="M140" s="118">
        <v>0</v>
      </c>
      <c r="N140" s="118">
        <v>0</v>
      </c>
      <c r="O140" s="165">
        <v>0</v>
      </c>
      <c r="P140" s="165">
        <v>0</v>
      </c>
      <c r="Q140" s="165">
        <v>0</v>
      </c>
      <c r="R140" s="165">
        <v>0</v>
      </c>
      <c r="S140" s="165">
        <f t="shared" si="9"/>
        <v>0</v>
      </c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</row>
    <row r="141" spans="1:33" s="158" customFormat="1" ht="16.25" customHeight="1" x14ac:dyDescent="0.4">
      <c r="A141" s="32"/>
      <c r="B141" s="32" t="s">
        <v>1262</v>
      </c>
      <c r="C141" s="32" t="s">
        <v>1265</v>
      </c>
      <c r="D141" s="32" t="s">
        <v>1274</v>
      </c>
      <c r="E141" s="36" t="s">
        <v>193</v>
      </c>
      <c r="F141" s="246" t="s">
        <v>1179</v>
      </c>
      <c r="G141" s="37">
        <v>500</v>
      </c>
      <c r="H141" s="118">
        <v>0</v>
      </c>
      <c r="I141" s="118">
        <v>0</v>
      </c>
      <c r="J141" s="118">
        <v>0</v>
      </c>
      <c r="K141" s="118">
        <v>0</v>
      </c>
      <c r="L141" s="118">
        <v>0</v>
      </c>
      <c r="M141" s="118">
        <v>0</v>
      </c>
      <c r="N141" s="118">
        <v>0</v>
      </c>
      <c r="O141" s="165">
        <v>0</v>
      </c>
      <c r="P141" s="165">
        <v>0</v>
      </c>
      <c r="Q141" s="165">
        <v>0</v>
      </c>
      <c r="R141" s="165">
        <v>0</v>
      </c>
      <c r="S141" s="165">
        <f t="shared" si="9"/>
        <v>0</v>
      </c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</row>
    <row r="142" spans="1:33" s="34" customFormat="1" ht="16.25" customHeight="1" x14ac:dyDescent="0.4">
      <c r="A142" s="32"/>
      <c r="B142" s="32" t="s">
        <v>1262</v>
      </c>
      <c r="C142" s="32" t="s">
        <v>1265</v>
      </c>
      <c r="D142" s="32" t="s">
        <v>1269</v>
      </c>
      <c r="E142" s="32" t="s">
        <v>193</v>
      </c>
      <c r="F142" s="244" t="s">
        <v>1275</v>
      </c>
      <c r="G142" s="39">
        <v>0</v>
      </c>
      <c r="H142" s="118">
        <v>0</v>
      </c>
      <c r="I142" s="118">
        <v>0</v>
      </c>
      <c r="J142" s="165">
        <v>0</v>
      </c>
      <c r="K142" s="165">
        <v>0</v>
      </c>
      <c r="L142" s="165">
        <v>0</v>
      </c>
      <c r="M142" s="165">
        <v>0</v>
      </c>
      <c r="N142" s="165">
        <v>0</v>
      </c>
      <c r="O142" s="165">
        <v>0</v>
      </c>
      <c r="P142" s="165">
        <v>0</v>
      </c>
      <c r="Q142" s="165">
        <v>0</v>
      </c>
      <c r="R142" s="165">
        <v>0</v>
      </c>
      <c r="S142" s="165">
        <f t="shared" si="9"/>
        <v>0</v>
      </c>
      <c r="T142" s="158"/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8"/>
    </row>
    <row r="143" spans="1:33" s="34" customFormat="1" ht="16.25" customHeight="1" x14ac:dyDescent="0.4">
      <c r="A143" s="32"/>
      <c r="B143" s="32" t="s">
        <v>1262</v>
      </c>
      <c r="C143" s="36" t="s">
        <v>580</v>
      </c>
      <c r="D143" s="32" t="s">
        <v>1274</v>
      </c>
      <c r="E143" s="36" t="s">
        <v>581</v>
      </c>
      <c r="F143" s="246" t="s">
        <v>1179</v>
      </c>
      <c r="G143" s="45"/>
      <c r="H143" s="118"/>
      <c r="I143" s="118">
        <v>300</v>
      </c>
      <c r="J143" s="118">
        <v>300</v>
      </c>
      <c r="K143" s="118">
        <v>300</v>
      </c>
      <c r="L143" s="118">
        <v>0</v>
      </c>
      <c r="M143" s="118">
        <v>0</v>
      </c>
      <c r="N143" s="118">
        <v>0</v>
      </c>
      <c r="O143" s="165">
        <v>0</v>
      </c>
      <c r="P143" s="165">
        <v>0</v>
      </c>
      <c r="Q143" s="165">
        <v>0</v>
      </c>
      <c r="R143" s="165">
        <v>0</v>
      </c>
      <c r="S143" s="165">
        <f t="shared" si="9"/>
        <v>0</v>
      </c>
    </row>
    <row r="144" spans="1:33" s="34" customFormat="1" ht="16.25" customHeight="1" x14ac:dyDescent="0.4">
      <c r="A144" s="32"/>
      <c r="B144" s="32" t="s">
        <v>1262</v>
      </c>
      <c r="C144" s="32" t="s">
        <v>580</v>
      </c>
      <c r="D144" s="32" t="s">
        <v>1274</v>
      </c>
      <c r="E144" s="32" t="s">
        <v>581</v>
      </c>
      <c r="F144" s="246" t="s">
        <v>1179</v>
      </c>
      <c r="G144" s="37">
        <v>300</v>
      </c>
      <c r="H144" s="118">
        <v>300</v>
      </c>
      <c r="I144" s="118">
        <v>0</v>
      </c>
      <c r="J144" s="165">
        <v>0</v>
      </c>
      <c r="K144" s="165">
        <v>0</v>
      </c>
      <c r="L144" s="165">
        <v>0</v>
      </c>
      <c r="M144" s="165">
        <v>0</v>
      </c>
      <c r="N144" s="165">
        <v>0</v>
      </c>
      <c r="O144" s="165">
        <v>0</v>
      </c>
      <c r="P144" s="165">
        <v>0</v>
      </c>
      <c r="Q144" s="165">
        <v>0</v>
      </c>
      <c r="R144" s="165">
        <v>0</v>
      </c>
      <c r="S144" s="165">
        <f t="shared" si="9"/>
        <v>0</v>
      </c>
      <c r="T144" s="158"/>
      <c r="U144" s="158"/>
      <c r="V144" s="158"/>
      <c r="W144" s="158"/>
      <c r="X144" s="158"/>
      <c r="Y144" s="158"/>
      <c r="Z144" s="158"/>
      <c r="AA144" s="158"/>
      <c r="AB144" s="158"/>
      <c r="AC144" s="158"/>
      <c r="AD144" s="158"/>
      <c r="AE144" s="158"/>
      <c r="AF144" s="158"/>
      <c r="AG144" s="158"/>
    </row>
    <row r="145" spans="1:53" s="34" customFormat="1" ht="16.25" customHeight="1" x14ac:dyDescent="0.4">
      <c r="A145" s="32"/>
      <c r="B145" s="32" t="s">
        <v>1262</v>
      </c>
      <c r="C145" s="36" t="s">
        <v>580</v>
      </c>
      <c r="D145" s="32" t="s">
        <v>1271</v>
      </c>
      <c r="E145" s="36" t="s">
        <v>193</v>
      </c>
      <c r="F145" s="246" t="s">
        <v>1179</v>
      </c>
      <c r="G145" s="37"/>
      <c r="H145" s="118"/>
      <c r="I145" s="118">
        <v>350</v>
      </c>
      <c r="J145" s="118">
        <v>350</v>
      </c>
      <c r="K145" s="118">
        <v>350</v>
      </c>
      <c r="L145" s="118">
        <v>0</v>
      </c>
      <c r="M145" s="118">
        <v>0</v>
      </c>
      <c r="N145" s="118">
        <v>0</v>
      </c>
      <c r="O145" s="165">
        <v>0</v>
      </c>
      <c r="P145" s="165">
        <v>0</v>
      </c>
      <c r="Q145" s="165">
        <v>0</v>
      </c>
      <c r="R145" s="165">
        <v>0</v>
      </c>
      <c r="S145" s="165">
        <f t="shared" si="9"/>
        <v>0</v>
      </c>
    </row>
    <row r="146" spans="1:53" s="158" customFormat="1" ht="16.25" customHeight="1" x14ac:dyDescent="0.4">
      <c r="A146" s="32" t="s">
        <v>1278</v>
      </c>
      <c r="B146" s="32" t="s">
        <v>1262</v>
      </c>
      <c r="C146" s="32" t="s">
        <v>1266</v>
      </c>
      <c r="D146" s="32" t="s">
        <v>1271</v>
      </c>
      <c r="E146" s="32" t="s">
        <v>585</v>
      </c>
      <c r="F146" s="244" t="s">
        <v>1275</v>
      </c>
      <c r="G146" s="37"/>
      <c r="H146" s="118"/>
      <c r="I146" s="118"/>
      <c r="J146" s="118"/>
      <c r="K146" s="118"/>
      <c r="L146" s="118"/>
      <c r="M146" s="165">
        <v>3.798</v>
      </c>
      <c r="N146" s="165">
        <v>3.798</v>
      </c>
      <c r="O146" s="165">
        <v>3.798</v>
      </c>
      <c r="P146" s="165">
        <v>3.798</v>
      </c>
      <c r="Q146" s="165">
        <v>3.798</v>
      </c>
      <c r="R146" s="165">
        <v>3.798</v>
      </c>
      <c r="S146" s="165">
        <f t="shared" ref="S146:S173" si="10">SUM(T146:AE146)</f>
        <v>3.798</v>
      </c>
      <c r="T146" s="165">
        <v>0</v>
      </c>
      <c r="U146" s="165">
        <v>0</v>
      </c>
      <c r="V146" s="165">
        <v>0</v>
      </c>
      <c r="W146" s="165">
        <v>0</v>
      </c>
      <c r="X146" s="165">
        <v>3.798</v>
      </c>
      <c r="Y146" s="165">
        <v>0</v>
      </c>
      <c r="Z146" s="165">
        <v>0</v>
      </c>
      <c r="AA146" s="165">
        <v>0</v>
      </c>
      <c r="AB146" s="165">
        <v>0</v>
      </c>
      <c r="AC146" s="165">
        <v>0</v>
      </c>
      <c r="AD146" s="165">
        <v>0</v>
      </c>
      <c r="AE146" s="165">
        <v>0</v>
      </c>
      <c r="AF146" s="34"/>
      <c r="AG146" s="165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</row>
    <row r="147" spans="1:53" s="158" customFormat="1" ht="16.25" customHeight="1" x14ac:dyDescent="0.4">
      <c r="A147" s="32" t="s">
        <v>1278</v>
      </c>
      <c r="B147" s="32" t="s">
        <v>1262</v>
      </c>
      <c r="C147" s="32" t="s">
        <v>1266</v>
      </c>
      <c r="D147" s="32" t="s">
        <v>1271</v>
      </c>
      <c r="E147" s="32" t="s">
        <v>587</v>
      </c>
      <c r="F147" s="244" t="s">
        <v>1276</v>
      </c>
      <c r="G147" s="37"/>
      <c r="H147" s="118"/>
      <c r="I147" s="118"/>
      <c r="J147" s="118"/>
      <c r="K147" s="118"/>
      <c r="L147" s="118"/>
      <c r="M147" s="165"/>
      <c r="N147" s="165"/>
      <c r="O147" s="165">
        <v>-1.9039999999999999</v>
      </c>
      <c r="P147" s="165">
        <v>-1.9039999999999999</v>
      </c>
      <c r="Q147" s="165">
        <v>-1.9039999999999999</v>
      </c>
      <c r="R147" s="165">
        <v>-1.9039999999999999</v>
      </c>
      <c r="S147" s="165">
        <f t="shared" si="10"/>
        <v>-1.9039999999999999</v>
      </c>
      <c r="T147" s="165">
        <v>0</v>
      </c>
      <c r="U147" s="165">
        <v>0</v>
      </c>
      <c r="V147" s="165">
        <v>0</v>
      </c>
      <c r="W147" s="165">
        <v>0</v>
      </c>
      <c r="X147" s="165">
        <v>0</v>
      </c>
      <c r="Y147" s="165">
        <v>0</v>
      </c>
      <c r="Z147" s="165">
        <v>-1.9039999999999999</v>
      </c>
      <c r="AA147" s="165">
        <v>0</v>
      </c>
      <c r="AB147" s="165">
        <v>0</v>
      </c>
      <c r="AC147" s="165">
        <v>0</v>
      </c>
      <c r="AD147" s="165">
        <v>0</v>
      </c>
      <c r="AE147" s="165">
        <v>0</v>
      </c>
      <c r="AF147" s="34"/>
      <c r="AG147" s="165"/>
    </row>
    <row r="148" spans="1:53" s="158" customFormat="1" ht="16.25" customHeight="1" x14ac:dyDescent="0.4">
      <c r="A148" s="32" t="s">
        <v>1278</v>
      </c>
      <c r="B148" s="32" t="s">
        <v>1262</v>
      </c>
      <c r="C148" s="32" t="s">
        <v>1266</v>
      </c>
      <c r="D148" s="32" t="s">
        <v>1271</v>
      </c>
      <c r="E148" s="15" t="s">
        <v>588</v>
      </c>
      <c r="F148" s="244" t="s">
        <v>1275</v>
      </c>
      <c r="G148" s="37">
        <v>26.28</v>
      </c>
      <c r="H148" s="118">
        <v>26.28</v>
      </c>
      <c r="I148" s="118">
        <v>2.73</v>
      </c>
      <c r="J148" s="165">
        <v>2.73</v>
      </c>
      <c r="K148" s="165">
        <v>2.73</v>
      </c>
      <c r="L148" s="165">
        <v>2.73</v>
      </c>
      <c r="M148" s="165">
        <v>2.73</v>
      </c>
      <c r="N148" s="165">
        <v>2.73</v>
      </c>
      <c r="O148" s="165">
        <v>2.73</v>
      </c>
      <c r="P148" s="165">
        <v>2.73</v>
      </c>
      <c r="Q148" s="165">
        <v>2.73</v>
      </c>
      <c r="R148" s="165">
        <v>2.73</v>
      </c>
      <c r="S148" s="165">
        <f t="shared" si="10"/>
        <v>2.73</v>
      </c>
      <c r="T148" s="165">
        <v>2.73</v>
      </c>
      <c r="U148" s="165">
        <v>0</v>
      </c>
      <c r="V148" s="165">
        <v>0</v>
      </c>
      <c r="W148" s="165">
        <v>0</v>
      </c>
      <c r="X148" s="165">
        <v>0</v>
      </c>
      <c r="Y148" s="165">
        <v>0</v>
      </c>
      <c r="Z148" s="165">
        <v>0</v>
      </c>
      <c r="AA148" s="165">
        <v>0</v>
      </c>
      <c r="AB148" s="165">
        <v>0</v>
      </c>
      <c r="AC148" s="165">
        <v>0</v>
      </c>
      <c r="AD148" s="165">
        <v>0</v>
      </c>
      <c r="AE148" s="165">
        <v>0</v>
      </c>
      <c r="AF148" s="165"/>
      <c r="AG148" s="165"/>
    </row>
    <row r="149" spans="1:53" s="158" customFormat="1" ht="16.25" customHeight="1" x14ac:dyDescent="0.4">
      <c r="A149" s="32" t="s">
        <v>1278</v>
      </c>
      <c r="B149" s="32" t="s">
        <v>1262</v>
      </c>
      <c r="C149" s="32" t="s">
        <v>1266</v>
      </c>
      <c r="D149" s="32" t="s">
        <v>1271</v>
      </c>
      <c r="E149" s="15" t="s">
        <v>590</v>
      </c>
      <c r="F149" s="244" t="s">
        <v>1276</v>
      </c>
      <c r="G149" s="37">
        <v>16</v>
      </c>
      <c r="H149" s="118">
        <v>10.805</v>
      </c>
      <c r="I149" s="118">
        <v>8.7850000000000001</v>
      </c>
      <c r="J149" s="165">
        <v>8.8960000000000008</v>
      </c>
      <c r="K149" s="165">
        <v>9.2929999999999993</v>
      </c>
      <c r="L149" s="165">
        <v>10.488</v>
      </c>
      <c r="M149" s="165">
        <v>3.2430000000000003</v>
      </c>
      <c r="N149" s="165">
        <v>4.7759999999999998</v>
      </c>
      <c r="O149" s="165">
        <v>5.7759999999999998</v>
      </c>
      <c r="P149" s="165">
        <v>4.7759999999999998</v>
      </c>
      <c r="Q149" s="165">
        <v>4.7759999999999998</v>
      </c>
      <c r="R149" s="165">
        <v>4.7759999999999998</v>
      </c>
      <c r="S149" s="165">
        <f t="shared" si="10"/>
        <v>4.7759999999999998</v>
      </c>
      <c r="T149" s="165">
        <v>1.651</v>
      </c>
      <c r="U149" s="165">
        <v>0</v>
      </c>
      <c r="V149" s="165">
        <v>0.39700000000000002</v>
      </c>
      <c r="W149" s="165">
        <v>1.1950000000000001</v>
      </c>
      <c r="X149" s="165">
        <v>0</v>
      </c>
      <c r="Y149" s="165">
        <v>0</v>
      </c>
      <c r="Z149" s="165">
        <v>2.5329999999999999</v>
      </c>
      <c r="AA149" s="165">
        <v>-1</v>
      </c>
      <c r="AB149" s="165">
        <v>0</v>
      </c>
      <c r="AC149" s="165">
        <v>0</v>
      </c>
      <c r="AD149" s="165">
        <v>0</v>
      </c>
      <c r="AE149" s="165">
        <v>0</v>
      </c>
      <c r="AF149" s="165"/>
      <c r="AG149" s="165"/>
    </row>
    <row r="150" spans="1:53" s="158" customFormat="1" ht="16.25" customHeight="1" x14ac:dyDescent="0.4">
      <c r="A150" s="32" t="s">
        <v>1287</v>
      </c>
      <c r="B150" s="32" t="s">
        <v>1262</v>
      </c>
      <c r="C150" s="32" t="s">
        <v>1266</v>
      </c>
      <c r="D150" s="32" t="s">
        <v>1271</v>
      </c>
      <c r="E150" s="32" t="s">
        <v>592</v>
      </c>
      <c r="F150" s="244" t="s">
        <v>1275</v>
      </c>
      <c r="G150" s="37">
        <v>258</v>
      </c>
      <c r="H150" s="118">
        <v>180.2</v>
      </c>
      <c r="I150" s="118">
        <v>178.75200000000001</v>
      </c>
      <c r="J150" s="165">
        <v>178.75200000000001</v>
      </c>
      <c r="K150" s="165">
        <v>201.30799999999999</v>
      </c>
      <c r="L150" s="165">
        <v>164.37900000000002</v>
      </c>
      <c r="M150" s="165">
        <v>185.786</v>
      </c>
      <c r="N150" s="165">
        <v>192.773</v>
      </c>
      <c r="O150" s="165">
        <v>180</v>
      </c>
      <c r="P150" s="165">
        <v>215</v>
      </c>
      <c r="Q150" s="165">
        <v>228.893</v>
      </c>
      <c r="R150" s="165">
        <v>200.08099999999999</v>
      </c>
      <c r="S150" s="165">
        <f t="shared" si="10"/>
        <v>200.08099999999999</v>
      </c>
      <c r="T150" s="165">
        <v>4.0469999999999997</v>
      </c>
      <c r="U150" s="165">
        <v>2.0920000000000001</v>
      </c>
      <c r="V150" s="165">
        <v>36.268999999999998</v>
      </c>
      <c r="W150" s="165">
        <v>-21.116</v>
      </c>
      <c r="X150" s="165">
        <v>30.494</v>
      </c>
      <c r="Y150" s="165">
        <v>5.93</v>
      </c>
      <c r="Z150" s="165">
        <v>58.698999999999998</v>
      </c>
      <c r="AA150" s="165">
        <v>16.466000000000001</v>
      </c>
      <c r="AB150" s="165">
        <v>14</v>
      </c>
      <c r="AC150" s="165">
        <v>30.646999999999998</v>
      </c>
      <c r="AD150" s="165">
        <v>22.553000000000001</v>
      </c>
      <c r="AE150" s="165">
        <v>0</v>
      </c>
      <c r="AF150" s="165"/>
      <c r="AG150" s="165"/>
    </row>
    <row r="151" spans="1:53" s="158" customFormat="1" ht="16.25" customHeight="1" x14ac:dyDescent="0.4">
      <c r="A151" s="32" t="s">
        <v>1282</v>
      </c>
      <c r="B151" s="32" t="s">
        <v>1262</v>
      </c>
      <c r="C151" s="32" t="s">
        <v>1266</v>
      </c>
      <c r="D151" s="32" t="s">
        <v>1271</v>
      </c>
      <c r="E151" s="32" t="s">
        <v>596</v>
      </c>
      <c r="F151" s="244" t="s">
        <v>1275</v>
      </c>
      <c r="G151" s="37">
        <v>354</v>
      </c>
      <c r="H151" s="118">
        <v>322.39999999999998</v>
      </c>
      <c r="I151" s="118">
        <v>360.18</v>
      </c>
      <c r="J151" s="165">
        <v>307.90300000000002</v>
      </c>
      <c r="K151" s="165">
        <v>288.71100000000007</v>
      </c>
      <c r="L151" s="165">
        <v>299.30100000000004</v>
      </c>
      <c r="M151" s="165">
        <v>299.30100000000004</v>
      </c>
      <c r="N151" s="165">
        <v>294.32600000000002</v>
      </c>
      <c r="O151" s="165">
        <v>296</v>
      </c>
      <c r="P151" s="165">
        <v>297</v>
      </c>
      <c r="Q151" s="165">
        <v>297.05200000000002</v>
      </c>
      <c r="R151" s="165">
        <v>291.48900000000003</v>
      </c>
      <c r="S151" s="165">
        <f t="shared" si="10"/>
        <v>291.48900000000003</v>
      </c>
      <c r="T151" s="165">
        <v>4.5960000000000001</v>
      </c>
      <c r="U151" s="165">
        <v>160.273</v>
      </c>
      <c r="V151" s="165">
        <v>63.244999999999997</v>
      </c>
      <c r="W151" s="165">
        <v>26.911000000000001</v>
      </c>
      <c r="X151" s="165">
        <v>11.872</v>
      </c>
      <c r="Y151" s="165">
        <v>2.4550000000000001</v>
      </c>
      <c r="Z151" s="165">
        <v>19.66</v>
      </c>
      <c r="AA151" s="165">
        <v>0</v>
      </c>
      <c r="AB151" s="165">
        <v>0.04</v>
      </c>
      <c r="AC151" s="165">
        <v>2.4369999999999998</v>
      </c>
      <c r="AD151" s="165">
        <v>0</v>
      </c>
      <c r="AE151" s="165">
        <v>0</v>
      </c>
      <c r="AF151" s="165"/>
      <c r="AG151" s="165"/>
    </row>
    <row r="152" spans="1:53" s="158" customFormat="1" ht="16.25" customHeight="1" x14ac:dyDescent="0.4">
      <c r="A152" s="32" t="s">
        <v>1279</v>
      </c>
      <c r="B152" s="32" t="s">
        <v>1262</v>
      </c>
      <c r="C152" s="32" t="s">
        <v>1266</v>
      </c>
      <c r="D152" s="32" t="s">
        <v>1274</v>
      </c>
      <c r="E152" s="32" t="s">
        <v>602</v>
      </c>
      <c r="F152" s="246" t="s">
        <v>1179</v>
      </c>
      <c r="G152" s="118">
        <v>0</v>
      </c>
      <c r="H152" s="118">
        <v>0</v>
      </c>
      <c r="I152" s="118">
        <v>3.46</v>
      </c>
      <c r="J152" s="165">
        <v>3</v>
      </c>
      <c r="K152" s="165">
        <v>17.322000000000003</v>
      </c>
      <c r="L152" s="165">
        <v>17.358000000000004</v>
      </c>
      <c r="M152" s="165">
        <v>17.358000000000004</v>
      </c>
      <c r="N152" s="165">
        <v>24.846000000000004</v>
      </c>
      <c r="O152" s="165">
        <v>17.009000000000004</v>
      </c>
      <c r="P152" s="165">
        <v>17.009000000000004</v>
      </c>
      <c r="Q152" s="165">
        <v>17.409000000000002</v>
      </c>
      <c r="R152" s="165">
        <v>24.846000000000004</v>
      </c>
      <c r="S152" s="165">
        <f t="shared" si="10"/>
        <v>24.846000000000004</v>
      </c>
      <c r="T152" s="165">
        <v>3.46</v>
      </c>
      <c r="U152" s="165">
        <v>13.48</v>
      </c>
      <c r="V152" s="165">
        <v>0.38200000000000001</v>
      </c>
      <c r="W152" s="165">
        <v>3.5999999999999997E-2</v>
      </c>
      <c r="X152" s="165">
        <v>-0.34899999999999998</v>
      </c>
      <c r="Y152" s="165">
        <v>0</v>
      </c>
      <c r="Z152" s="165">
        <v>0</v>
      </c>
      <c r="AA152" s="165">
        <v>0</v>
      </c>
      <c r="AB152" s="165">
        <v>0.4</v>
      </c>
      <c r="AC152" s="165">
        <v>7.4370000000000003</v>
      </c>
      <c r="AD152" s="165">
        <v>0</v>
      </c>
      <c r="AE152" s="165">
        <v>0</v>
      </c>
      <c r="AF152" s="165"/>
      <c r="AG152" s="165"/>
    </row>
    <row r="153" spans="1:53" s="158" customFormat="1" ht="16.25" customHeight="1" x14ac:dyDescent="0.4">
      <c r="A153" s="32" t="s">
        <v>1279</v>
      </c>
      <c r="B153" s="32" t="s">
        <v>1262</v>
      </c>
      <c r="C153" s="32" t="s">
        <v>1266</v>
      </c>
      <c r="D153" s="32" t="s">
        <v>1274</v>
      </c>
      <c r="E153" s="32" t="s">
        <v>604</v>
      </c>
      <c r="F153" s="244" t="s">
        <v>1185</v>
      </c>
      <c r="G153" s="118"/>
      <c r="H153" s="118"/>
      <c r="I153" s="118"/>
      <c r="J153" s="165">
        <v>-0.51300000000000001</v>
      </c>
      <c r="K153" s="165">
        <v>30.293999999999997</v>
      </c>
      <c r="L153" s="165">
        <v>3.301999999999996</v>
      </c>
      <c r="M153" s="165">
        <v>24.431999999999995</v>
      </c>
      <c r="N153" s="165">
        <v>43.112000000000002</v>
      </c>
      <c r="O153" s="165">
        <v>44.008999999999993</v>
      </c>
      <c r="P153" s="165">
        <v>44.008999999999993</v>
      </c>
      <c r="Q153" s="165">
        <v>47.008999999999993</v>
      </c>
      <c r="R153" s="165">
        <v>44.413999999999994</v>
      </c>
      <c r="S153" s="165">
        <f t="shared" si="10"/>
        <v>44.413999999999994</v>
      </c>
      <c r="T153" s="165">
        <v>0</v>
      </c>
      <c r="U153" s="165">
        <v>-0.51300000000000001</v>
      </c>
      <c r="V153" s="165">
        <v>30.806999999999999</v>
      </c>
      <c r="W153" s="165">
        <v>-26.992000000000001</v>
      </c>
      <c r="X153" s="165">
        <v>21.13</v>
      </c>
      <c r="Y153" s="165">
        <v>18.68</v>
      </c>
      <c r="Z153" s="165">
        <v>0.89700000000000002</v>
      </c>
      <c r="AA153" s="165">
        <v>0</v>
      </c>
      <c r="AB153" s="165">
        <v>3</v>
      </c>
      <c r="AC153" s="165">
        <v>-2.5950000000000002</v>
      </c>
      <c r="AD153" s="165">
        <v>0</v>
      </c>
      <c r="AE153" s="165">
        <v>0</v>
      </c>
      <c r="AF153" s="165"/>
      <c r="AG153" s="165"/>
    </row>
    <row r="154" spans="1:53" s="158" customFormat="1" ht="16.25" customHeight="1" x14ac:dyDescent="0.4">
      <c r="A154" s="32" t="s">
        <v>1286</v>
      </c>
      <c r="B154" s="32" t="s">
        <v>1262</v>
      </c>
      <c r="C154" s="32" t="s">
        <v>1266</v>
      </c>
      <c r="D154" s="32" t="s">
        <v>1271</v>
      </c>
      <c r="E154" s="32" t="s">
        <v>606</v>
      </c>
      <c r="F154" s="244" t="s">
        <v>1276</v>
      </c>
      <c r="G154" s="118"/>
      <c r="H154" s="118"/>
      <c r="I154" s="118"/>
      <c r="J154" s="165">
        <v>56.423000000000002</v>
      </c>
      <c r="K154" s="165">
        <v>56.575000000000003</v>
      </c>
      <c r="L154" s="165">
        <v>56.575000000000003</v>
      </c>
      <c r="M154" s="165">
        <v>21.49</v>
      </c>
      <c r="N154" s="165">
        <v>21.49</v>
      </c>
      <c r="O154" s="165">
        <v>21.49</v>
      </c>
      <c r="P154" s="165">
        <v>21.49</v>
      </c>
      <c r="Q154" s="165">
        <v>21.49</v>
      </c>
      <c r="R154" s="165">
        <v>21.49</v>
      </c>
      <c r="S154" s="165">
        <f t="shared" si="10"/>
        <v>21.49</v>
      </c>
      <c r="T154" s="165">
        <v>0</v>
      </c>
      <c r="U154" s="165">
        <v>31.422999999999998</v>
      </c>
      <c r="V154" s="165">
        <v>0.152</v>
      </c>
      <c r="W154" s="165">
        <v>0</v>
      </c>
      <c r="X154" s="165">
        <v>-10.085000000000001</v>
      </c>
      <c r="Y154" s="165">
        <v>0</v>
      </c>
      <c r="Z154" s="165">
        <v>0</v>
      </c>
      <c r="AA154" s="165">
        <v>0</v>
      </c>
      <c r="AB154" s="165">
        <v>0</v>
      </c>
      <c r="AC154" s="165">
        <v>0</v>
      </c>
      <c r="AD154" s="165">
        <v>0</v>
      </c>
      <c r="AE154" s="165">
        <v>0</v>
      </c>
      <c r="AF154" s="165"/>
      <c r="AG154" s="165"/>
    </row>
    <row r="155" spans="1:53" s="158" customFormat="1" ht="16.25" customHeight="1" x14ac:dyDescent="0.4">
      <c r="A155" s="32"/>
      <c r="B155" s="32" t="s">
        <v>1262</v>
      </c>
      <c r="C155" s="32" t="s">
        <v>1266</v>
      </c>
      <c r="D155" s="32" t="s">
        <v>1274</v>
      </c>
      <c r="E155" s="15" t="s">
        <v>608</v>
      </c>
      <c r="F155" s="246" t="s">
        <v>1179</v>
      </c>
      <c r="G155" s="45">
        <v>320</v>
      </c>
      <c r="H155" s="118">
        <v>320</v>
      </c>
      <c r="I155" s="118">
        <v>320</v>
      </c>
      <c r="J155" s="165">
        <v>376</v>
      </c>
      <c r="K155" s="165">
        <v>404.459</v>
      </c>
      <c r="L155" s="165">
        <v>381.827</v>
      </c>
      <c r="M155" s="165">
        <v>642</v>
      </c>
      <c r="N155" s="165">
        <v>642</v>
      </c>
      <c r="O155" s="165">
        <v>629</v>
      </c>
      <c r="P155" s="165">
        <v>790.24</v>
      </c>
      <c r="Q155" s="165">
        <v>748.24</v>
      </c>
      <c r="R155" s="165">
        <v>831.09300000000007</v>
      </c>
      <c r="S155" s="165">
        <f t="shared" si="10"/>
        <v>831.09300000000007</v>
      </c>
      <c r="T155" s="165">
        <v>0</v>
      </c>
      <c r="U155" s="165">
        <v>27.600999999999999</v>
      </c>
      <c r="V155" s="165">
        <v>28.858000000000001</v>
      </c>
      <c r="W155" s="165">
        <v>7.3680000000000003</v>
      </c>
      <c r="X155" s="165">
        <v>42.957999999999998</v>
      </c>
      <c r="Y155" s="165">
        <v>34.417000000000002</v>
      </c>
      <c r="Z155" s="165">
        <v>21.370999999999999</v>
      </c>
      <c r="AA155" s="165">
        <v>14.667</v>
      </c>
      <c r="AB155" s="165">
        <v>58</v>
      </c>
      <c r="AC155" s="165">
        <v>59.853000000000002</v>
      </c>
      <c r="AD155" s="165">
        <v>240</v>
      </c>
      <c r="AE155" s="165">
        <v>296</v>
      </c>
      <c r="AF155" s="165"/>
      <c r="AG155" s="165"/>
    </row>
    <row r="156" spans="1:53" s="158" customFormat="1" ht="16.25" customHeight="1" x14ac:dyDescent="0.4">
      <c r="A156" s="32"/>
      <c r="B156" s="32" t="s">
        <v>1262</v>
      </c>
      <c r="C156" s="32" t="s">
        <v>1266</v>
      </c>
      <c r="D156" s="32" t="s">
        <v>1274</v>
      </c>
      <c r="E156" s="15" t="s">
        <v>608</v>
      </c>
      <c r="F156" s="246" t="s">
        <v>1179</v>
      </c>
      <c r="G156" s="45"/>
      <c r="H156" s="118"/>
      <c r="I156" s="118"/>
      <c r="J156" s="165"/>
      <c r="K156" s="165"/>
      <c r="L156" s="165"/>
      <c r="M156" s="165"/>
      <c r="N156" s="165">
        <v>0</v>
      </c>
      <c r="O156" s="165">
        <v>150</v>
      </c>
      <c r="P156" s="165">
        <v>0</v>
      </c>
      <c r="Q156" s="165">
        <v>0</v>
      </c>
      <c r="R156" s="165">
        <v>0</v>
      </c>
      <c r="S156" s="165">
        <f t="shared" si="10"/>
        <v>0</v>
      </c>
      <c r="T156" s="165"/>
      <c r="U156" s="165"/>
      <c r="V156" s="165"/>
      <c r="W156" s="165"/>
      <c r="X156" s="165"/>
      <c r="Y156" s="165"/>
      <c r="Z156" s="165"/>
      <c r="AB156" s="165"/>
      <c r="AC156" s="165"/>
      <c r="AD156" s="165"/>
      <c r="AE156" s="165"/>
      <c r="AF156" s="165"/>
    </row>
    <row r="157" spans="1:53" s="158" customFormat="1" ht="16.25" customHeight="1" x14ac:dyDescent="0.4">
      <c r="A157" s="32"/>
      <c r="B157" s="32" t="s">
        <v>1262</v>
      </c>
      <c r="C157" s="32" t="s">
        <v>1266</v>
      </c>
      <c r="D157" s="32" t="s">
        <v>1271</v>
      </c>
      <c r="E157" s="15" t="s">
        <v>609</v>
      </c>
      <c r="F157" s="246" t="s">
        <v>1179</v>
      </c>
      <c r="G157" s="37">
        <v>25</v>
      </c>
      <c r="H157" s="118">
        <v>25</v>
      </c>
      <c r="I157" s="118">
        <v>0</v>
      </c>
      <c r="J157" s="165">
        <v>0</v>
      </c>
      <c r="K157" s="165">
        <v>0</v>
      </c>
      <c r="L157" s="165">
        <v>0</v>
      </c>
      <c r="M157" s="165">
        <v>0</v>
      </c>
      <c r="N157" s="165">
        <v>0</v>
      </c>
      <c r="O157" s="165">
        <v>0</v>
      </c>
      <c r="P157" s="165">
        <v>0</v>
      </c>
      <c r="Q157" s="165">
        <v>0</v>
      </c>
      <c r="R157" s="165">
        <v>0</v>
      </c>
      <c r="S157" s="165">
        <f t="shared" si="10"/>
        <v>0</v>
      </c>
      <c r="T157" s="165">
        <v>0</v>
      </c>
      <c r="U157" s="165">
        <v>0</v>
      </c>
      <c r="V157" s="248"/>
      <c r="W157" s="248"/>
      <c r="AA157" s="165"/>
    </row>
    <row r="158" spans="1:53" s="158" customFormat="1" ht="16.25" customHeight="1" x14ac:dyDescent="0.4">
      <c r="A158" s="32"/>
      <c r="B158" s="32" t="s">
        <v>1262</v>
      </c>
      <c r="C158" s="32" t="s">
        <v>1266</v>
      </c>
      <c r="D158" s="32" t="s">
        <v>1274</v>
      </c>
      <c r="E158" s="15" t="s">
        <v>610</v>
      </c>
      <c r="F158" s="244" t="s">
        <v>1185</v>
      </c>
      <c r="G158" s="45">
        <v>212</v>
      </c>
      <c r="H158" s="118">
        <v>212</v>
      </c>
      <c r="I158" s="118">
        <v>212</v>
      </c>
      <c r="J158" s="165">
        <v>229</v>
      </c>
      <c r="K158" s="165">
        <v>229.9</v>
      </c>
      <c r="L158" s="165">
        <v>249.80599999999998</v>
      </c>
      <c r="M158" s="165">
        <v>222</v>
      </c>
      <c r="N158" s="165">
        <v>222</v>
      </c>
      <c r="O158" s="165">
        <v>231</v>
      </c>
      <c r="P158" s="165">
        <v>191.96100000000001</v>
      </c>
      <c r="Q158" s="165">
        <v>172.96099999999998</v>
      </c>
      <c r="R158" s="165">
        <v>206.50899999999999</v>
      </c>
      <c r="S158" s="165">
        <f t="shared" si="10"/>
        <v>206.50899999999999</v>
      </c>
      <c r="T158" s="165">
        <v>0</v>
      </c>
      <c r="U158" s="165">
        <v>0.46800000000000003</v>
      </c>
      <c r="V158" s="165">
        <v>0.432</v>
      </c>
      <c r="W158" s="165">
        <v>19.905999999999999</v>
      </c>
      <c r="X158" s="165">
        <v>48.637999999999998</v>
      </c>
      <c r="Y158" s="165">
        <v>38.137</v>
      </c>
      <c r="Z158" s="165">
        <v>8.6539999999999999</v>
      </c>
      <c r="AA158" s="249">
        <v>0.72599999999999998</v>
      </c>
      <c r="AB158" s="165">
        <v>20</v>
      </c>
      <c r="AC158" s="165">
        <v>8.548</v>
      </c>
      <c r="AD158" s="165">
        <v>4</v>
      </c>
      <c r="AE158" s="165">
        <v>57</v>
      </c>
      <c r="AF158" s="165"/>
      <c r="AG158" s="165"/>
    </row>
    <row r="159" spans="1:53" s="158" customFormat="1" ht="16.25" customHeight="1" x14ac:dyDescent="0.4">
      <c r="A159" s="32"/>
      <c r="B159" s="32" t="s">
        <v>1262</v>
      </c>
      <c r="C159" s="32" t="s">
        <v>1266</v>
      </c>
      <c r="D159" s="32" t="s">
        <v>1271</v>
      </c>
      <c r="E159" s="32" t="s">
        <v>612</v>
      </c>
      <c r="F159" s="244" t="s">
        <v>1275</v>
      </c>
      <c r="G159" s="37">
        <v>100</v>
      </c>
      <c r="H159" s="118">
        <v>100</v>
      </c>
      <c r="I159" s="118">
        <v>100</v>
      </c>
      <c r="J159" s="165">
        <v>45</v>
      </c>
      <c r="K159" s="165">
        <v>45</v>
      </c>
      <c r="L159" s="165">
        <v>45.045999999999999</v>
      </c>
      <c r="M159" s="165">
        <v>78</v>
      </c>
      <c r="N159" s="165">
        <v>86.634</v>
      </c>
      <c r="O159" s="165">
        <v>82.563000000000002</v>
      </c>
      <c r="P159" s="165">
        <v>141.63999999999999</v>
      </c>
      <c r="Q159" s="165">
        <v>141.63999999999999</v>
      </c>
      <c r="R159" s="165">
        <v>76.64</v>
      </c>
      <c r="S159" s="165">
        <f t="shared" si="10"/>
        <v>76.64</v>
      </c>
      <c r="T159" s="165">
        <v>0</v>
      </c>
      <c r="U159" s="165">
        <v>0</v>
      </c>
      <c r="V159" s="165">
        <v>0</v>
      </c>
      <c r="W159" s="165">
        <v>4.5999999999999999E-2</v>
      </c>
      <c r="X159" s="165">
        <v>67.293999999999997</v>
      </c>
      <c r="Y159" s="165">
        <v>7.2939999999999996</v>
      </c>
      <c r="Z159" s="165">
        <v>1.929</v>
      </c>
      <c r="AA159" s="165">
        <v>7.6999999999999999E-2</v>
      </c>
      <c r="AB159" s="165">
        <v>0</v>
      </c>
      <c r="AC159" s="165">
        <v>0</v>
      </c>
      <c r="AD159" s="165">
        <v>0</v>
      </c>
      <c r="AE159" s="165">
        <v>0</v>
      </c>
      <c r="AF159" s="165"/>
      <c r="AG159" s="165"/>
    </row>
    <row r="160" spans="1:53" s="34" customFormat="1" ht="16.25" customHeight="1" x14ac:dyDescent="0.4">
      <c r="A160" s="32"/>
      <c r="B160" s="32" t="s">
        <v>1262</v>
      </c>
      <c r="C160" s="32" t="s">
        <v>1266</v>
      </c>
      <c r="D160" s="32" t="s">
        <v>1271</v>
      </c>
      <c r="E160" s="15" t="s">
        <v>617</v>
      </c>
      <c r="F160" s="244" t="s">
        <v>1185</v>
      </c>
      <c r="G160" s="37">
        <v>200</v>
      </c>
      <c r="H160" s="118">
        <v>200</v>
      </c>
      <c r="I160" s="118">
        <v>200</v>
      </c>
      <c r="J160" s="165">
        <v>200</v>
      </c>
      <c r="K160" s="165">
        <v>200</v>
      </c>
      <c r="L160" s="165">
        <v>200</v>
      </c>
      <c r="M160" s="165">
        <v>0</v>
      </c>
      <c r="N160" s="165">
        <v>0</v>
      </c>
      <c r="O160" s="165">
        <v>0</v>
      </c>
      <c r="P160" s="165">
        <v>0</v>
      </c>
      <c r="Q160" s="165">
        <v>0</v>
      </c>
      <c r="R160" s="165">
        <v>0</v>
      </c>
      <c r="S160" s="165">
        <f t="shared" si="10"/>
        <v>0</v>
      </c>
      <c r="T160" s="165">
        <v>0</v>
      </c>
      <c r="U160" s="165">
        <v>0</v>
      </c>
      <c r="V160" s="165">
        <v>0</v>
      </c>
      <c r="W160" s="165">
        <v>0</v>
      </c>
      <c r="X160" s="165">
        <v>0</v>
      </c>
      <c r="Y160" s="165">
        <v>0</v>
      </c>
      <c r="Z160" s="165">
        <v>0</v>
      </c>
      <c r="AA160" s="165">
        <v>0</v>
      </c>
      <c r="AB160" s="165">
        <v>0</v>
      </c>
      <c r="AC160" s="165">
        <v>0</v>
      </c>
      <c r="AD160" s="165">
        <v>0</v>
      </c>
      <c r="AE160" s="165">
        <v>0</v>
      </c>
      <c r="AF160" s="165"/>
      <c r="AG160" s="158"/>
      <c r="AH160" s="158"/>
      <c r="AI160" s="158"/>
      <c r="AJ160" s="158"/>
      <c r="AK160" s="158"/>
      <c r="AL160" s="158"/>
      <c r="AM160" s="158"/>
      <c r="AN160" s="158"/>
      <c r="AO160" s="158"/>
      <c r="AP160" s="158"/>
      <c r="AQ160" s="158"/>
      <c r="AR160" s="158"/>
      <c r="AS160" s="158"/>
      <c r="AT160" s="158"/>
      <c r="AU160" s="158"/>
      <c r="AV160" s="158"/>
      <c r="AW160" s="158"/>
      <c r="AX160" s="158"/>
      <c r="AY160" s="158"/>
      <c r="AZ160" s="158"/>
      <c r="BA160" s="158"/>
    </row>
    <row r="161" spans="1:53" s="34" customFormat="1" ht="16.25" customHeight="1" x14ac:dyDescent="0.4">
      <c r="A161" s="32"/>
      <c r="B161" s="32" t="s">
        <v>1262</v>
      </c>
      <c r="C161" s="32" t="s">
        <v>1266</v>
      </c>
      <c r="D161" s="32" t="s">
        <v>1271</v>
      </c>
      <c r="E161" s="15" t="s">
        <v>618</v>
      </c>
      <c r="F161" s="246" t="s">
        <v>1179</v>
      </c>
      <c r="G161" s="37">
        <v>50</v>
      </c>
      <c r="H161" s="118">
        <v>50</v>
      </c>
      <c r="I161" s="118">
        <v>0</v>
      </c>
      <c r="J161" s="165">
        <v>0</v>
      </c>
      <c r="K161" s="165">
        <v>0</v>
      </c>
      <c r="L161" s="165">
        <v>0</v>
      </c>
      <c r="M161" s="165">
        <v>0</v>
      </c>
      <c r="N161" s="165">
        <v>0</v>
      </c>
      <c r="O161" s="165">
        <v>0</v>
      </c>
      <c r="P161" s="165">
        <v>0</v>
      </c>
      <c r="Q161" s="165">
        <v>0</v>
      </c>
      <c r="R161" s="165">
        <v>0</v>
      </c>
      <c r="S161" s="165">
        <f t="shared" si="10"/>
        <v>0</v>
      </c>
      <c r="T161" s="165"/>
      <c r="U161" s="165"/>
      <c r="V161" s="158"/>
      <c r="W161" s="158"/>
      <c r="X161" s="158"/>
      <c r="Y161" s="158"/>
      <c r="Z161" s="158"/>
      <c r="AA161" s="158"/>
      <c r="AB161" s="158"/>
      <c r="AC161" s="158"/>
      <c r="AD161" s="158"/>
      <c r="AE161" s="158"/>
      <c r="AF161" s="158"/>
      <c r="AG161" s="158"/>
      <c r="AH161" s="158"/>
      <c r="AI161" s="158"/>
      <c r="AJ161" s="158"/>
      <c r="AK161" s="158"/>
      <c r="AL161" s="158"/>
      <c r="AM161" s="158"/>
      <c r="AN161" s="158"/>
      <c r="AO161" s="158"/>
      <c r="AP161" s="158"/>
      <c r="AQ161" s="158"/>
      <c r="AR161" s="158"/>
      <c r="AS161" s="158"/>
      <c r="AT161" s="158"/>
      <c r="AU161" s="158"/>
      <c r="AV161" s="158"/>
      <c r="AW161" s="158"/>
      <c r="AX161" s="158"/>
      <c r="AY161" s="158"/>
      <c r="AZ161" s="158"/>
      <c r="BA161" s="158"/>
    </row>
    <row r="162" spans="1:53" s="158" customFormat="1" ht="16.25" customHeight="1" x14ac:dyDescent="0.4">
      <c r="A162" s="32"/>
      <c r="B162" s="32" t="s">
        <v>1262</v>
      </c>
      <c r="C162" s="32" t="s">
        <v>1266</v>
      </c>
      <c r="D162" s="32" t="s">
        <v>1271</v>
      </c>
      <c r="E162" s="36" t="s">
        <v>619</v>
      </c>
      <c r="F162" s="244" t="s">
        <v>1185</v>
      </c>
      <c r="G162" s="37"/>
      <c r="H162" s="118"/>
      <c r="I162" s="118">
        <v>90</v>
      </c>
      <c r="J162" s="118">
        <v>0</v>
      </c>
      <c r="K162" s="118">
        <v>0</v>
      </c>
      <c r="L162" s="118">
        <v>0</v>
      </c>
      <c r="M162" s="118">
        <v>0</v>
      </c>
      <c r="N162" s="118">
        <v>0</v>
      </c>
      <c r="O162" s="165">
        <v>0</v>
      </c>
      <c r="P162" s="165">
        <v>0</v>
      </c>
      <c r="Q162" s="165">
        <v>0</v>
      </c>
      <c r="R162" s="165">
        <v>0</v>
      </c>
      <c r="S162" s="165">
        <f t="shared" si="10"/>
        <v>0</v>
      </c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</row>
    <row r="163" spans="1:53" s="158" customFormat="1" ht="16.25" customHeight="1" x14ac:dyDescent="0.4">
      <c r="A163" s="32"/>
      <c r="B163" s="32" t="s">
        <v>1262</v>
      </c>
      <c r="C163" s="32" t="s">
        <v>1266</v>
      </c>
      <c r="D163" s="32" t="s">
        <v>1271</v>
      </c>
      <c r="E163" s="32" t="s">
        <v>619</v>
      </c>
      <c r="F163" s="244" t="s">
        <v>1185</v>
      </c>
      <c r="G163" s="37">
        <v>90</v>
      </c>
      <c r="H163" s="118">
        <v>90</v>
      </c>
      <c r="I163" s="118">
        <v>0</v>
      </c>
      <c r="J163" s="165">
        <v>90</v>
      </c>
      <c r="K163" s="165">
        <v>90</v>
      </c>
      <c r="L163" s="165">
        <v>90</v>
      </c>
      <c r="M163" s="165">
        <v>0</v>
      </c>
      <c r="N163" s="165">
        <v>0</v>
      </c>
      <c r="O163" s="165">
        <v>0</v>
      </c>
      <c r="P163" s="165">
        <v>0</v>
      </c>
      <c r="Q163" s="165">
        <v>0</v>
      </c>
      <c r="R163" s="165">
        <v>0</v>
      </c>
      <c r="S163" s="165">
        <f t="shared" si="10"/>
        <v>0</v>
      </c>
      <c r="T163" s="165">
        <v>0</v>
      </c>
      <c r="U163" s="165">
        <v>0</v>
      </c>
      <c r="V163" s="165">
        <v>0</v>
      </c>
      <c r="W163" s="165">
        <v>0</v>
      </c>
      <c r="X163" s="165">
        <v>0</v>
      </c>
      <c r="Z163" s="165">
        <v>0</v>
      </c>
      <c r="AA163" s="165">
        <v>0</v>
      </c>
      <c r="AB163" s="165">
        <v>0</v>
      </c>
      <c r="AC163" s="165">
        <v>0</v>
      </c>
      <c r="AD163" s="165">
        <v>0</v>
      </c>
      <c r="AE163" s="165">
        <v>0</v>
      </c>
      <c r="AF163" s="165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</row>
    <row r="164" spans="1:53" s="34" customFormat="1" ht="16.25" customHeight="1" x14ac:dyDescent="0.4">
      <c r="A164" s="32"/>
      <c r="B164" s="32" t="s">
        <v>1262</v>
      </c>
      <c r="C164" s="32" t="s">
        <v>1266</v>
      </c>
      <c r="D164" s="32" t="s">
        <v>1271</v>
      </c>
      <c r="E164" s="36" t="s">
        <v>623</v>
      </c>
      <c r="F164" s="244" t="s">
        <v>1275</v>
      </c>
      <c r="G164" s="37">
        <v>0</v>
      </c>
      <c r="H164" s="118">
        <v>0</v>
      </c>
      <c r="I164" s="118">
        <v>0</v>
      </c>
      <c r="J164" s="118">
        <v>0</v>
      </c>
      <c r="K164" s="118">
        <v>0</v>
      </c>
      <c r="L164" s="118">
        <v>0</v>
      </c>
      <c r="M164" s="118">
        <v>0</v>
      </c>
      <c r="N164" s="118">
        <v>0</v>
      </c>
      <c r="O164" s="165">
        <v>0</v>
      </c>
      <c r="P164" s="165">
        <v>0</v>
      </c>
      <c r="Q164" s="165">
        <v>0</v>
      </c>
      <c r="R164" s="165">
        <v>0</v>
      </c>
      <c r="S164" s="165">
        <f t="shared" si="10"/>
        <v>0</v>
      </c>
      <c r="AH164" s="158"/>
      <c r="AI164" s="158"/>
      <c r="AJ164" s="158"/>
      <c r="AK164" s="158"/>
      <c r="AL164" s="158"/>
      <c r="AM164" s="158"/>
      <c r="AN164" s="158"/>
      <c r="AO164" s="158"/>
      <c r="AP164" s="158"/>
      <c r="AQ164" s="158"/>
      <c r="AR164" s="158"/>
      <c r="AS164" s="158"/>
      <c r="AT164" s="158"/>
      <c r="AU164" s="158"/>
      <c r="AV164" s="158"/>
      <c r="AW164" s="158"/>
      <c r="AX164" s="158"/>
      <c r="AY164" s="158"/>
      <c r="AZ164" s="158"/>
      <c r="BA164" s="158"/>
    </row>
    <row r="165" spans="1:53" s="158" customFormat="1" ht="16.25" customHeight="1" x14ac:dyDescent="0.4">
      <c r="A165" s="32"/>
      <c r="B165" s="32" t="s">
        <v>1262</v>
      </c>
      <c r="C165" s="32" t="s">
        <v>1266</v>
      </c>
      <c r="D165" s="32" t="s">
        <v>1271</v>
      </c>
      <c r="E165" s="32" t="s">
        <v>628</v>
      </c>
      <c r="F165" s="244" t="s">
        <v>1275</v>
      </c>
      <c r="G165" s="37">
        <v>360</v>
      </c>
      <c r="H165" s="118">
        <v>360</v>
      </c>
      <c r="I165" s="118">
        <v>0</v>
      </c>
      <c r="J165" s="165">
        <v>0</v>
      </c>
      <c r="K165" s="165">
        <v>0</v>
      </c>
      <c r="L165" s="165">
        <v>0</v>
      </c>
      <c r="M165" s="165">
        <v>0</v>
      </c>
      <c r="N165" s="165">
        <v>0</v>
      </c>
      <c r="O165" s="165">
        <v>0</v>
      </c>
      <c r="P165" s="165">
        <v>0</v>
      </c>
      <c r="Q165" s="165">
        <v>0</v>
      </c>
      <c r="R165" s="165">
        <v>0</v>
      </c>
      <c r="S165" s="165">
        <f t="shared" si="10"/>
        <v>0</v>
      </c>
    </row>
    <row r="166" spans="1:53" s="158" customFormat="1" ht="16.25" customHeight="1" x14ac:dyDescent="0.4">
      <c r="A166" s="32"/>
      <c r="B166" s="32" t="s">
        <v>1262</v>
      </c>
      <c r="C166" s="32" t="s">
        <v>1266</v>
      </c>
      <c r="D166" s="32" t="s">
        <v>1271</v>
      </c>
      <c r="E166" s="36" t="s">
        <v>632</v>
      </c>
      <c r="F166" s="244" t="s">
        <v>1276</v>
      </c>
      <c r="G166" s="37"/>
      <c r="H166" s="118"/>
      <c r="I166" s="118">
        <v>400</v>
      </c>
      <c r="J166" s="118">
        <v>400</v>
      </c>
      <c r="K166" s="118">
        <v>400</v>
      </c>
      <c r="L166" s="118">
        <v>400</v>
      </c>
      <c r="M166" s="118">
        <v>0</v>
      </c>
      <c r="N166" s="118">
        <v>0</v>
      </c>
      <c r="O166" s="165">
        <v>0</v>
      </c>
      <c r="P166" s="165">
        <v>0</v>
      </c>
      <c r="Q166" s="165">
        <v>0</v>
      </c>
      <c r="R166" s="165">
        <v>0</v>
      </c>
      <c r="S166" s="165">
        <f t="shared" si="10"/>
        <v>0</v>
      </c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</row>
    <row r="167" spans="1:53" s="158" customFormat="1" ht="16.25" customHeight="1" x14ac:dyDescent="0.4">
      <c r="A167" s="32"/>
      <c r="B167" s="32" t="s">
        <v>1262</v>
      </c>
      <c r="C167" s="32" t="s">
        <v>1266</v>
      </c>
      <c r="D167" s="32" t="s">
        <v>1271</v>
      </c>
      <c r="E167" s="32" t="s">
        <v>632</v>
      </c>
      <c r="F167" s="244" t="s">
        <v>1276</v>
      </c>
      <c r="G167" s="37">
        <v>300</v>
      </c>
      <c r="H167" s="118">
        <v>300</v>
      </c>
      <c r="I167" s="118">
        <v>0</v>
      </c>
      <c r="J167" s="165">
        <v>0</v>
      </c>
      <c r="K167" s="165">
        <v>0</v>
      </c>
      <c r="L167" s="165">
        <v>0</v>
      </c>
      <c r="M167" s="165">
        <v>0</v>
      </c>
      <c r="N167" s="165">
        <v>0</v>
      </c>
      <c r="O167" s="165">
        <v>0</v>
      </c>
      <c r="P167" s="165">
        <v>0</v>
      </c>
      <c r="Q167" s="165">
        <v>0</v>
      </c>
      <c r="R167" s="165">
        <v>0</v>
      </c>
      <c r="S167" s="165">
        <f t="shared" si="10"/>
        <v>0</v>
      </c>
    </row>
    <row r="168" spans="1:53" s="158" customFormat="1" ht="16.25" customHeight="1" x14ac:dyDescent="0.4">
      <c r="A168" s="32"/>
      <c r="B168" s="32" t="s">
        <v>1262</v>
      </c>
      <c r="C168" s="32" t="s">
        <v>1266</v>
      </c>
      <c r="D168" s="32" t="s">
        <v>1271</v>
      </c>
      <c r="E168" s="32" t="s">
        <v>634</v>
      </c>
      <c r="F168" s="244" t="s">
        <v>1276</v>
      </c>
      <c r="G168" s="37">
        <v>300</v>
      </c>
      <c r="H168" s="118">
        <v>300</v>
      </c>
      <c r="I168" s="118">
        <v>300</v>
      </c>
      <c r="J168" s="165">
        <v>300</v>
      </c>
      <c r="K168" s="165">
        <v>300</v>
      </c>
      <c r="L168" s="165">
        <v>300</v>
      </c>
      <c r="M168" s="165">
        <v>300</v>
      </c>
      <c r="N168" s="165">
        <v>300</v>
      </c>
      <c r="O168" s="165">
        <v>300</v>
      </c>
      <c r="P168" s="165">
        <v>0</v>
      </c>
      <c r="Q168" s="165">
        <v>0</v>
      </c>
      <c r="R168" s="165">
        <v>0</v>
      </c>
      <c r="S168" s="165">
        <f t="shared" si="10"/>
        <v>0</v>
      </c>
      <c r="T168" s="165">
        <v>0</v>
      </c>
      <c r="U168" s="165">
        <v>0</v>
      </c>
      <c r="V168" s="165">
        <v>0</v>
      </c>
      <c r="W168" s="165">
        <v>0</v>
      </c>
      <c r="X168" s="165">
        <v>0</v>
      </c>
      <c r="Y168" s="165">
        <v>0</v>
      </c>
      <c r="Z168" s="165">
        <v>0</v>
      </c>
      <c r="AA168" s="165">
        <v>0</v>
      </c>
      <c r="AB168" s="165">
        <v>0</v>
      </c>
      <c r="AC168" s="165">
        <v>0</v>
      </c>
      <c r="AD168" s="165">
        <v>0</v>
      </c>
      <c r="AE168" s="165">
        <v>0</v>
      </c>
      <c r="AF168" s="165"/>
    </row>
    <row r="169" spans="1:53" s="34" customFormat="1" ht="16.25" customHeight="1" x14ac:dyDescent="0.4">
      <c r="A169" s="32"/>
      <c r="B169" s="32" t="s">
        <v>1262</v>
      </c>
      <c r="C169" s="32" t="s">
        <v>1266</v>
      </c>
      <c r="D169" s="32" t="s">
        <v>1271</v>
      </c>
      <c r="E169" s="32" t="s">
        <v>638</v>
      </c>
      <c r="F169" s="244" t="s">
        <v>1276</v>
      </c>
      <c r="G169" s="37">
        <v>600</v>
      </c>
      <c r="H169" s="118">
        <v>600</v>
      </c>
      <c r="I169" s="118">
        <v>600</v>
      </c>
      <c r="J169" s="165">
        <v>600</v>
      </c>
      <c r="K169" s="165">
        <v>600</v>
      </c>
      <c r="L169" s="165">
        <v>600</v>
      </c>
      <c r="M169" s="165">
        <v>150</v>
      </c>
      <c r="N169" s="165">
        <v>150</v>
      </c>
      <c r="O169" s="165">
        <v>150</v>
      </c>
      <c r="P169" s="165">
        <v>0</v>
      </c>
      <c r="Q169" s="165">
        <v>0</v>
      </c>
      <c r="R169" s="165">
        <v>0</v>
      </c>
      <c r="S169" s="165">
        <f t="shared" si="10"/>
        <v>0</v>
      </c>
      <c r="T169" s="165">
        <v>0</v>
      </c>
      <c r="U169" s="165">
        <v>0</v>
      </c>
      <c r="V169" s="165">
        <v>0</v>
      </c>
      <c r="W169" s="165">
        <v>0</v>
      </c>
      <c r="X169" s="165">
        <v>0</v>
      </c>
      <c r="Y169" s="165">
        <v>0</v>
      </c>
      <c r="Z169" s="165">
        <v>0</v>
      </c>
      <c r="AA169" s="165">
        <v>0</v>
      </c>
      <c r="AB169" s="165">
        <v>0</v>
      </c>
      <c r="AC169" s="165">
        <v>0</v>
      </c>
      <c r="AD169" s="165">
        <v>0</v>
      </c>
      <c r="AE169" s="165">
        <v>0</v>
      </c>
      <c r="AF169" s="165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/>
      <c r="AU169" s="158"/>
      <c r="AV169" s="158"/>
      <c r="AW169" s="158"/>
      <c r="AX169" s="158"/>
      <c r="AY169" s="158"/>
      <c r="AZ169" s="158"/>
      <c r="BA169" s="158"/>
    </row>
    <row r="170" spans="1:53" s="34" customFormat="1" ht="16.25" customHeight="1" x14ac:dyDescent="0.4">
      <c r="A170" s="32"/>
      <c r="B170" s="32" t="s">
        <v>1262</v>
      </c>
      <c r="C170" s="32" t="s">
        <v>1266</v>
      </c>
      <c r="D170" s="32" t="s">
        <v>1271</v>
      </c>
      <c r="E170" s="32" t="s">
        <v>643</v>
      </c>
      <c r="F170" s="244" t="s">
        <v>1276</v>
      </c>
      <c r="G170" s="37">
        <v>360</v>
      </c>
      <c r="H170" s="118">
        <v>360</v>
      </c>
      <c r="I170" s="118">
        <v>360</v>
      </c>
      <c r="J170" s="165">
        <v>360</v>
      </c>
      <c r="K170" s="165">
        <v>360</v>
      </c>
      <c r="L170" s="165">
        <v>360</v>
      </c>
      <c r="M170" s="165">
        <v>247.5</v>
      </c>
      <c r="N170" s="165">
        <v>247.5</v>
      </c>
      <c r="O170" s="165">
        <v>117</v>
      </c>
      <c r="P170" s="165">
        <v>0</v>
      </c>
      <c r="Q170" s="165">
        <v>72</v>
      </c>
      <c r="R170" s="165">
        <v>36</v>
      </c>
      <c r="S170" s="165">
        <f t="shared" si="10"/>
        <v>36</v>
      </c>
      <c r="T170" s="165">
        <v>0</v>
      </c>
      <c r="U170" s="165">
        <v>0</v>
      </c>
      <c r="V170" s="165">
        <v>0</v>
      </c>
      <c r="W170" s="165">
        <v>0</v>
      </c>
      <c r="X170" s="165">
        <v>0</v>
      </c>
      <c r="Y170" s="165">
        <v>0</v>
      </c>
      <c r="Z170" s="165">
        <v>0</v>
      </c>
      <c r="AA170" s="165">
        <v>0</v>
      </c>
      <c r="AB170" s="165">
        <v>0</v>
      </c>
      <c r="AC170" s="165">
        <v>0</v>
      </c>
      <c r="AD170" s="165">
        <v>0</v>
      </c>
      <c r="AE170" s="165">
        <v>36</v>
      </c>
      <c r="AF170" s="165"/>
      <c r="AG170" s="165"/>
      <c r="AH170" s="158"/>
      <c r="AI170" s="158"/>
      <c r="AJ170" s="158"/>
      <c r="AK170" s="158"/>
      <c r="AL170" s="158"/>
      <c r="AM170" s="158"/>
      <c r="AN170" s="158"/>
      <c r="AO170" s="158"/>
      <c r="AP170" s="158"/>
      <c r="AQ170" s="158"/>
      <c r="AR170" s="158"/>
      <c r="AS170" s="158"/>
      <c r="AT170" s="158"/>
      <c r="AU170" s="158"/>
      <c r="AV170" s="158"/>
      <c r="AW170" s="158"/>
      <c r="AX170" s="158"/>
      <c r="AY170" s="158"/>
      <c r="AZ170" s="158"/>
      <c r="BA170" s="158"/>
    </row>
    <row r="171" spans="1:53" s="34" customFormat="1" ht="16.25" customHeight="1" x14ac:dyDescent="0.4">
      <c r="A171" s="32"/>
      <c r="B171" s="32" t="s">
        <v>1262</v>
      </c>
      <c r="C171" s="32" t="s">
        <v>1266</v>
      </c>
      <c r="D171" s="32" t="s">
        <v>1274</v>
      </c>
      <c r="E171" s="32" t="s">
        <v>648</v>
      </c>
      <c r="F171" s="244" t="s">
        <v>1185</v>
      </c>
      <c r="G171" s="37">
        <v>139.5</v>
      </c>
      <c r="H171" s="118">
        <v>139.5</v>
      </c>
      <c r="I171" s="118">
        <v>139.5</v>
      </c>
      <c r="J171" s="165">
        <v>0</v>
      </c>
      <c r="K171" s="165">
        <v>0</v>
      </c>
      <c r="L171" s="165">
        <v>0</v>
      </c>
      <c r="M171" s="165">
        <v>0</v>
      </c>
      <c r="N171" s="165">
        <v>0</v>
      </c>
      <c r="O171" s="165">
        <v>0</v>
      </c>
      <c r="P171" s="165">
        <v>0</v>
      </c>
      <c r="Q171" s="165">
        <v>0</v>
      </c>
      <c r="R171" s="165">
        <v>0</v>
      </c>
      <c r="S171" s="165">
        <f t="shared" si="10"/>
        <v>0</v>
      </c>
      <c r="T171" s="158"/>
      <c r="U171" s="158"/>
      <c r="V171" s="158"/>
      <c r="W171" s="158"/>
      <c r="X171" s="158"/>
      <c r="Y171" s="158"/>
      <c r="Z171" s="158"/>
      <c r="AA171" s="158"/>
      <c r="AB171" s="158"/>
      <c r="AC171" s="158"/>
      <c r="AD171" s="158"/>
      <c r="AE171" s="158"/>
      <c r="AF171" s="158"/>
      <c r="AG171" s="158"/>
    </row>
    <row r="172" spans="1:53" s="34" customFormat="1" ht="16.25" customHeight="1" x14ac:dyDescent="0.4">
      <c r="A172" s="32"/>
      <c r="B172" s="32" t="s">
        <v>1262</v>
      </c>
      <c r="C172" s="32" t="s">
        <v>1266</v>
      </c>
      <c r="D172" s="32" t="s">
        <v>1274</v>
      </c>
      <c r="E172" s="36" t="s">
        <v>193</v>
      </c>
      <c r="F172" s="246" t="s">
        <v>1179</v>
      </c>
      <c r="G172" s="37">
        <v>200</v>
      </c>
      <c r="H172" s="118">
        <v>200</v>
      </c>
      <c r="I172" s="118">
        <v>200</v>
      </c>
      <c r="J172" s="118">
        <v>0</v>
      </c>
      <c r="K172" s="118">
        <v>0</v>
      </c>
      <c r="L172" s="118">
        <v>0</v>
      </c>
      <c r="M172" s="118">
        <v>0</v>
      </c>
      <c r="N172" s="118">
        <v>0</v>
      </c>
      <c r="O172" s="165">
        <v>0</v>
      </c>
      <c r="P172" s="165">
        <v>0</v>
      </c>
      <c r="Q172" s="165">
        <v>0</v>
      </c>
      <c r="R172" s="165">
        <v>0</v>
      </c>
      <c r="S172" s="165">
        <f t="shared" si="10"/>
        <v>0</v>
      </c>
    </row>
    <row r="173" spans="1:53" s="34" customFormat="1" ht="16.25" customHeight="1" x14ac:dyDescent="0.4">
      <c r="A173" s="32"/>
      <c r="B173" s="32" t="s">
        <v>1262</v>
      </c>
      <c r="C173" s="32" t="s">
        <v>1266</v>
      </c>
      <c r="D173" s="32" t="s">
        <v>1271</v>
      </c>
      <c r="E173" s="36" t="s">
        <v>193</v>
      </c>
      <c r="F173" s="244" t="s">
        <v>1275</v>
      </c>
      <c r="G173" s="37">
        <v>1200</v>
      </c>
      <c r="H173" s="118">
        <v>1200</v>
      </c>
      <c r="I173" s="118">
        <v>1680</v>
      </c>
      <c r="J173" s="118">
        <v>0</v>
      </c>
      <c r="K173" s="118">
        <v>0</v>
      </c>
      <c r="L173" s="118">
        <v>0</v>
      </c>
      <c r="M173" s="118">
        <v>0</v>
      </c>
      <c r="N173" s="118">
        <v>0</v>
      </c>
      <c r="O173" s="165">
        <v>0</v>
      </c>
      <c r="P173" s="165">
        <v>0</v>
      </c>
      <c r="Q173" s="165">
        <v>0</v>
      </c>
      <c r="R173" s="165">
        <v>0</v>
      </c>
      <c r="S173" s="165">
        <f t="shared" si="10"/>
        <v>0</v>
      </c>
    </row>
    <row r="174" spans="1:53" s="34" customFormat="1" ht="16.25" customHeight="1" x14ac:dyDescent="0.4">
      <c r="A174" s="32"/>
      <c r="B174" s="32" t="s">
        <v>1262</v>
      </c>
      <c r="C174" s="36" t="s">
        <v>1268</v>
      </c>
      <c r="D174" s="32" t="s">
        <v>1271</v>
      </c>
      <c r="E174" s="36" t="s">
        <v>193</v>
      </c>
      <c r="F174" s="244" t="s">
        <v>1275</v>
      </c>
      <c r="G174" s="37">
        <v>15000</v>
      </c>
      <c r="H174" s="39">
        <v>15000</v>
      </c>
      <c r="I174" s="39">
        <v>7500</v>
      </c>
      <c r="J174" s="39">
        <v>6000</v>
      </c>
      <c r="K174" s="39">
        <v>6000</v>
      </c>
      <c r="L174" s="39">
        <v>6000</v>
      </c>
      <c r="M174" s="39">
        <v>3000</v>
      </c>
      <c r="N174" s="39">
        <v>1000</v>
      </c>
      <c r="O174" s="165">
        <v>1000</v>
      </c>
      <c r="P174" s="165">
        <v>0</v>
      </c>
      <c r="Q174" s="165">
        <v>0</v>
      </c>
      <c r="R174" s="165">
        <v>0</v>
      </c>
      <c r="S174" s="165">
        <f t="shared" ref="S174:S175" si="11">SUM(T174:AE174)</f>
        <v>0</v>
      </c>
    </row>
    <row r="175" spans="1:53" s="34" customFormat="1" ht="16.25" customHeight="1" x14ac:dyDescent="0.4">
      <c r="A175" s="36"/>
      <c r="B175" s="36" t="s">
        <v>1263</v>
      </c>
      <c r="C175" s="36" t="s">
        <v>580</v>
      </c>
      <c r="D175" s="32" t="s">
        <v>1274</v>
      </c>
      <c r="E175" s="36" t="s">
        <v>658</v>
      </c>
      <c r="F175" s="244" t="s">
        <v>1185</v>
      </c>
      <c r="G175" s="45">
        <v>200</v>
      </c>
      <c r="H175" s="118">
        <v>200</v>
      </c>
      <c r="I175" s="118">
        <v>0</v>
      </c>
      <c r="J175" s="118">
        <v>0</v>
      </c>
      <c r="K175" s="118">
        <v>0</v>
      </c>
      <c r="L175" s="118">
        <v>0</v>
      </c>
      <c r="M175" s="118">
        <v>0</v>
      </c>
      <c r="N175" s="118">
        <v>0</v>
      </c>
      <c r="O175" s="165">
        <v>0</v>
      </c>
      <c r="P175" s="165">
        <v>0</v>
      </c>
      <c r="Q175" s="165">
        <v>0</v>
      </c>
      <c r="R175" s="165">
        <v>0</v>
      </c>
      <c r="S175" s="165">
        <f t="shared" si="11"/>
        <v>0</v>
      </c>
      <c r="T175" s="41">
        <v>0</v>
      </c>
      <c r="U175" s="41">
        <v>0</v>
      </c>
      <c r="V175" s="41">
        <v>0</v>
      </c>
      <c r="W175" s="41">
        <v>0</v>
      </c>
      <c r="X175" s="41">
        <v>0</v>
      </c>
      <c r="Y175" s="41">
        <v>0</v>
      </c>
      <c r="Z175" s="41">
        <v>0</v>
      </c>
      <c r="AA175" s="41">
        <v>0</v>
      </c>
      <c r="AB175" s="41">
        <v>0</v>
      </c>
      <c r="AC175" s="41">
        <v>0</v>
      </c>
      <c r="AD175" s="41">
        <v>0</v>
      </c>
      <c r="AE175" s="41">
        <v>0</v>
      </c>
    </row>
    <row r="176" spans="1:53" s="34" customFormat="1" ht="16.25" customHeight="1" x14ac:dyDescent="0.4">
      <c r="A176" s="36" t="s">
        <v>1278</v>
      </c>
      <c r="B176" s="36" t="s">
        <v>1263</v>
      </c>
      <c r="C176" s="36" t="s">
        <v>1267</v>
      </c>
      <c r="D176" s="36" t="s">
        <v>1272</v>
      </c>
      <c r="E176" s="15" t="s">
        <v>661</v>
      </c>
      <c r="F176" s="244" t="s">
        <v>1275</v>
      </c>
      <c r="G176" s="45">
        <v>3690</v>
      </c>
      <c r="H176" s="118">
        <v>3690</v>
      </c>
      <c r="I176" s="118">
        <v>3421.663</v>
      </c>
      <c r="J176" s="118">
        <v>3449</v>
      </c>
      <c r="K176" s="118">
        <v>3471.9409999999993</v>
      </c>
      <c r="L176" s="118">
        <v>3871.9409999999998</v>
      </c>
      <c r="M176" s="118">
        <v>3878</v>
      </c>
      <c r="N176" s="118">
        <v>3780.5839999999994</v>
      </c>
      <c r="O176" s="165">
        <v>3672</v>
      </c>
      <c r="P176" s="165">
        <v>4000</v>
      </c>
      <c r="Q176" s="165">
        <v>4071.1309999999994</v>
      </c>
      <c r="R176" s="165">
        <v>4045.8450000000007</v>
      </c>
      <c r="S176" s="118">
        <f t="shared" ref="S176:S189" si="12">SUM(T176:AE176)</f>
        <v>4045.8450000000007</v>
      </c>
      <c r="T176" s="41">
        <v>280.63</v>
      </c>
      <c r="U176" s="41">
        <v>852.54200000000003</v>
      </c>
      <c r="V176" s="41">
        <v>1326.5350000000001</v>
      </c>
      <c r="W176" s="41">
        <v>108.577</v>
      </c>
      <c r="X176" s="41">
        <v>185.35300000000001</v>
      </c>
      <c r="Y176" s="41">
        <v>213.12799999999999</v>
      </c>
      <c r="Z176" s="41">
        <v>77.272999999999996</v>
      </c>
      <c r="AA176" s="41">
        <v>41.331000000000003</v>
      </c>
      <c r="AB176" s="41">
        <v>472.28699999999998</v>
      </c>
      <c r="AC176" s="41">
        <v>20.023</v>
      </c>
      <c r="AD176" s="41">
        <v>31.966000000000001</v>
      </c>
      <c r="AE176" s="41">
        <v>436.2</v>
      </c>
      <c r="AG176" s="165"/>
    </row>
    <row r="177" spans="1:53" s="34" customFormat="1" ht="16.25" customHeight="1" x14ac:dyDescent="0.4">
      <c r="A177" s="36" t="s">
        <v>1278</v>
      </c>
      <c r="B177" s="36" t="s">
        <v>1263</v>
      </c>
      <c r="C177" s="36" t="s">
        <v>1267</v>
      </c>
      <c r="D177" s="36" t="s">
        <v>1272</v>
      </c>
      <c r="E177" s="15" t="s">
        <v>661</v>
      </c>
      <c r="F177" s="244" t="s">
        <v>1275</v>
      </c>
      <c r="G177" s="37"/>
      <c r="H177" s="39"/>
      <c r="I177" s="39"/>
      <c r="J177" s="39"/>
      <c r="K177" s="39"/>
      <c r="L177" s="39"/>
      <c r="M177" s="39"/>
      <c r="N177" s="39"/>
      <c r="O177" s="165"/>
      <c r="P177" s="165"/>
      <c r="Q177" s="165">
        <v>0</v>
      </c>
      <c r="R177" s="165">
        <v>1.0959999999999999</v>
      </c>
      <c r="S177" s="118">
        <f t="shared" si="12"/>
        <v>1.0959999999999999</v>
      </c>
      <c r="T177" s="41">
        <v>0</v>
      </c>
      <c r="U177" s="41">
        <v>0</v>
      </c>
      <c r="V177" s="41">
        <v>-1.8169999999999999</v>
      </c>
      <c r="W177" s="41">
        <v>2.9129999999999998</v>
      </c>
      <c r="X177" s="41">
        <v>0</v>
      </c>
      <c r="Y177" s="41">
        <v>0</v>
      </c>
      <c r="Z177" s="41">
        <v>0</v>
      </c>
      <c r="AA177" s="41">
        <v>0</v>
      </c>
      <c r="AB177" s="41">
        <v>0</v>
      </c>
      <c r="AC177" s="41">
        <v>0</v>
      </c>
      <c r="AD177" s="41">
        <v>0</v>
      </c>
      <c r="AE177" s="41">
        <v>0</v>
      </c>
      <c r="AG177" s="165"/>
      <c r="AH177" s="250"/>
      <c r="AI177" s="250"/>
      <c r="AJ177" s="250"/>
      <c r="AK177" s="250"/>
      <c r="AL177" s="250"/>
      <c r="AM177" s="250"/>
      <c r="AN177" s="250"/>
      <c r="AO177" s="250"/>
      <c r="AP177" s="250"/>
      <c r="AR177" s="34">
        <f t="shared" ref="AR177:BA179" si="13">AG177/1000</f>
        <v>0</v>
      </c>
      <c r="AS177" s="34">
        <f t="shared" si="13"/>
        <v>0</v>
      </c>
      <c r="AT177" s="34">
        <f t="shared" si="13"/>
        <v>0</v>
      </c>
      <c r="AU177" s="34">
        <f t="shared" si="13"/>
        <v>0</v>
      </c>
      <c r="AV177" s="34">
        <f t="shared" si="13"/>
        <v>0</v>
      </c>
      <c r="AW177" s="34">
        <f t="shared" si="13"/>
        <v>0</v>
      </c>
      <c r="AX177" s="34">
        <f t="shared" si="13"/>
        <v>0</v>
      </c>
      <c r="AY177" s="34">
        <f t="shared" si="13"/>
        <v>0</v>
      </c>
      <c r="AZ177" s="34">
        <f t="shared" si="13"/>
        <v>0</v>
      </c>
      <c r="BA177" s="34">
        <f t="shared" si="13"/>
        <v>0</v>
      </c>
    </row>
    <row r="178" spans="1:53" s="34" customFormat="1" ht="16.25" customHeight="1" x14ac:dyDescent="0.4">
      <c r="A178" s="36" t="s">
        <v>1278</v>
      </c>
      <c r="B178" s="36" t="s">
        <v>1263</v>
      </c>
      <c r="C178" s="36" t="s">
        <v>1267</v>
      </c>
      <c r="D178" s="36" t="s">
        <v>1272</v>
      </c>
      <c r="E178" s="15" t="s">
        <v>661</v>
      </c>
      <c r="F178" s="244" t="s">
        <v>1275</v>
      </c>
      <c r="G178" s="37"/>
      <c r="H178" s="39"/>
      <c r="I178" s="39"/>
      <c r="J178" s="39"/>
      <c r="K178" s="39"/>
      <c r="L178" s="39"/>
      <c r="M178" s="39"/>
      <c r="N178" s="39"/>
      <c r="O178" s="165"/>
      <c r="P178" s="165"/>
      <c r="Q178" s="165">
        <v>0</v>
      </c>
      <c r="R178" s="165">
        <v>-1.679</v>
      </c>
      <c r="S178" s="118">
        <f t="shared" si="12"/>
        <v>-1.679</v>
      </c>
      <c r="T178" s="41">
        <v>-1.679</v>
      </c>
      <c r="U178" s="41">
        <v>0</v>
      </c>
      <c r="V178" s="41">
        <v>0</v>
      </c>
      <c r="W178" s="41">
        <v>0</v>
      </c>
      <c r="X178" s="41">
        <v>0</v>
      </c>
      <c r="Y178" s="41">
        <v>0</v>
      </c>
      <c r="Z178" s="41">
        <v>0</v>
      </c>
      <c r="AA178" s="41">
        <v>0</v>
      </c>
      <c r="AB178" s="41">
        <v>0</v>
      </c>
      <c r="AC178" s="41">
        <v>0</v>
      </c>
      <c r="AD178" s="41">
        <v>0</v>
      </c>
      <c r="AE178" s="41">
        <v>0</v>
      </c>
      <c r="AG178" s="165"/>
      <c r="AH178" s="250"/>
      <c r="AI178" s="250"/>
      <c r="AJ178" s="250"/>
      <c r="AK178" s="250"/>
      <c r="AL178" s="250"/>
      <c r="AM178" s="250"/>
      <c r="AN178" s="250"/>
      <c r="AO178" s="250"/>
      <c r="AP178" s="250"/>
      <c r="AR178" s="34">
        <f t="shared" si="13"/>
        <v>0</v>
      </c>
      <c r="AS178" s="34">
        <f t="shared" si="13"/>
        <v>0</v>
      </c>
      <c r="AT178" s="34">
        <f t="shared" si="13"/>
        <v>0</v>
      </c>
      <c r="AU178" s="34">
        <f t="shared" si="13"/>
        <v>0</v>
      </c>
      <c r="AV178" s="34">
        <f t="shared" si="13"/>
        <v>0</v>
      </c>
      <c r="AW178" s="34">
        <f t="shared" si="13"/>
        <v>0</v>
      </c>
      <c r="AX178" s="34">
        <f t="shared" si="13"/>
        <v>0</v>
      </c>
      <c r="AY178" s="34">
        <f t="shared" si="13"/>
        <v>0</v>
      </c>
      <c r="AZ178" s="34">
        <f t="shared" si="13"/>
        <v>0</v>
      </c>
      <c r="BA178" s="34">
        <f t="shared" si="13"/>
        <v>0</v>
      </c>
    </row>
    <row r="179" spans="1:53" s="34" customFormat="1" ht="16.25" customHeight="1" x14ac:dyDescent="0.4">
      <c r="A179" s="36" t="s">
        <v>1278</v>
      </c>
      <c r="B179" s="36" t="s">
        <v>1263</v>
      </c>
      <c r="C179" s="36" t="s">
        <v>1267</v>
      </c>
      <c r="D179" s="36" t="s">
        <v>1272</v>
      </c>
      <c r="E179" s="15" t="s">
        <v>661</v>
      </c>
      <c r="F179" s="244" t="s">
        <v>1275</v>
      </c>
      <c r="G179" s="37"/>
      <c r="H179" s="39"/>
      <c r="I179" s="39"/>
      <c r="J179" s="39"/>
      <c r="K179" s="39"/>
      <c r="L179" s="39"/>
      <c r="M179" s="39"/>
      <c r="N179" s="39"/>
      <c r="O179" s="165"/>
      <c r="P179" s="165"/>
      <c r="Q179" s="165">
        <v>0</v>
      </c>
      <c r="R179" s="165">
        <v>2.1080000000000005</v>
      </c>
      <c r="S179" s="118">
        <f t="shared" si="12"/>
        <v>2.1080000000000005</v>
      </c>
      <c r="T179" s="41">
        <v>-21.716000000000001</v>
      </c>
      <c r="U179" s="41">
        <v>0</v>
      </c>
      <c r="V179" s="41">
        <v>0</v>
      </c>
      <c r="W179" s="41">
        <v>0</v>
      </c>
      <c r="X179" s="41">
        <v>0</v>
      </c>
      <c r="Y179" s="41">
        <v>0</v>
      </c>
      <c r="Z179" s="41">
        <v>23.824000000000002</v>
      </c>
      <c r="AA179" s="41">
        <v>0</v>
      </c>
      <c r="AB179" s="41">
        <v>0</v>
      </c>
      <c r="AC179" s="41">
        <v>0</v>
      </c>
      <c r="AD179" s="41">
        <v>0</v>
      </c>
      <c r="AE179" s="41">
        <v>0</v>
      </c>
      <c r="AG179" s="165"/>
      <c r="AH179" s="250"/>
      <c r="AI179" s="250"/>
      <c r="AJ179" s="250"/>
      <c r="AK179" s="250"/>
      <c r="AL179" s="250"/>
      <c r="AM179" s="250"/>
      <c r="AN179" s="250">
        <v>0</v>
      </c>
      <c r="AO179" s="250">
        <v>0</v>
      </c>
      <c r="AP179" s="250">
        <v>0</v>
      </c>
      <c r="AR179" s="34">
        <f t="shared" si="13"/>
        <v>0</v>
      </c>
      <c r="AS179" s="34">
        <f t="shared" si="13"/>
        <v>0</v>
      </c>
      <c r="AT179" s="34">
        <f t="shared" si="13"/>
        <v>0</v>
      </c>
      <c r="AU179" s="34">
        <f t="shared" si="13"/>
        <v>0</v>
      </c>
      <c r="AV179" s="34">
        <f t="shared" si="13"/>
        <v>0</v>
      </c>
      <c r="AW179" s="34">
        <f t="shared" si="13"/>
        <v>0</v>
      </c>
      <c r="AX179" s="34">
        <f t="shared" si="13"/>
        <v>0</v>
      </c>
      <c r="AY179" s="34">
        <f t="shared" si="13"/>
        <v>0</v>
      </c>
      <c r="AZ179" s="34">
        <f t="shared" si="13"/>
        <v>0</v>
      </c>
      <c r="BA179" s="34">
        <f t="shared" si="13"/>
        <v>0</v>
      </c>
    </row>
    <row r="180" spans="1:53" s="34" customFormat="1" ht="16.25" customHeight="1" x14ac:dyDescent="0.4">
      <c r="A180" s="36" t="s">
        <v>1278</v>
      </c>
      <c r="B180" s="36" t="s">
        <v>1263</v>
      </c>
      <c r="C180" s="36" t="s">
        <v>1267</v>
      </c>
      <c r="D180" s="36" t="s">
        <v>1272</v>
      </c>
      <c r="E180" s="15" t="s">
        <v>665</v>
      </c>
      <c r="F180" s="246" t="s">
        <v>1179</v>
      </c>
      <c r="G180" s="45"/>
      <c r="H180" s="45"/>
      <c r="I180" s="118">
        <v>129.553</v>
      </c>
      <c r="J180" s="118">
        <v>142</v>
      </c>
      <c r="K180" s="118">
        <v>145.071</v>
      </c>
      <c r="L180" s="118">
        <v>145.071</v>
      </c>
      <c r="M180" s="118">
        <v>206</v>
      </c>
      <c r="N180" s="118">
        <v>202.81299999999999</v>
      </c>
      <c r="O180" s="165">
        <v>202.81299999999999</v>
      </c>
      <c r="P180" s="165">
        <v>202.81299999999999</v>
      </c>
      <c r="Q180" s="165">
        <v>229.72399999999999</v>
      </c>
      <c r="R180" s="165">
        <v>236.654</v>
      </c>
      <c r="S180" s="118">
        <f t="shared" si="12"/>
        <v>236.654</v>
      </c>
      <c r="T180" s="41">
        <v>0</v>
      </c>
      <c r="U180" s="41">
        <v>15.4</v>
      </c>
      <c r="V180" s="41">
        <v>10.023999999999999</v>
      </c>
      <c r="W180" s="41">
        <v>8.2100000000000009</v>
      </c>
      <c r="X180" s="41">
        <v>2.56</v>
      </c>
      <c r="Y180" s="41">
        <v>46.655000000000001</v>
      </c>
      <c r="Z180" s="41">
        <v>62.866</v>
      </c>
      <c r="AA180" s="41">
        <v>31.97</v>
      </c>
      <c r="AB180" s="41">
        <v>29.911999999999999</v>
      </c>
      <c r="AC180" s="41">
        <v>20.023</v>
      </c>
      <c r="AD180" s="41">
        <v>11.358000000000001</v>
      </c>
      <c r="AE180" s="41">
        <v>-2.3239999999999998</v>
      </c>
      <c r="AG180" s="165"/>
    </row>
    <row r="181" spans="1:53" s="34" customFormat="1" ht="16.25" customHeight="1" x14ac:dyDescent="0.4">
      <c r="A181" s="36" t="s">
        <v>1278</v>
      </c>
      <c r="B181" s="36" t="s">
        <v>1263</v>
      </c>
      <c r="C181" s="36" t="s">
        <v>1267</v>
      </c>
      <c r="D181" s="36" t="s">
        <v>1272</v>
      </c>
      <c r="E181" s="36" t="s">
        <v>667</v>
      </c>
      <c r="F181" s="244" t="s">
        <v>1185</v>
      </c>
      <c r="G181" s="45">
        <v>0</v>
      </c>
      <c r="H181" s="45"/>
      <c r="I181" s="45">
        <v>30.725000000000001</v>
      </c>
      <c r="J181" s="45">
        <v>30.725000000000001</v>
      </c>
      <c r="K181" s="45">
        <v>30.725000000000001</v>
      </c>
      <c r="L181" s="45">
        <v>30.725000000000001</v>
      </c>
      <c r="M181" s="45">
        <v>30.725000000000001</v>
      </c>
      <c r="N181" s="45">
        <v>31.054000000000002</v>
      </c>
      <c r="O181" s="165">
        <v>31.054000000000002</v>
      </c>
      <c r="P181" s="165">
        <v>31.054000000000002</v>
      </c>
      <c r="Q181" s="165">
        <v>31.054000000000002</v>
      </c>
      <c r="R181" s="165">
        <v>31.054000000000002</v>
      </c>
      <c r="S181" s="118">
        <f t="shared" si="12"/>
        <v>31.054000000000002</v>
      </c>
      <c r="T181" s="41">
        <v>30.725000000000001</v>
      </c>
      <c r="U181" s="41">
        <v>0</v>
      </c>
      <c r="V181" s="41">
        <v>0</v>
      </c>
      <c r="W181" s="41">
        <v>0.32900000000000001</v>
      </c>
      <c r="X181" s="41">
        <v>0</v>
      </c>
      <c r="Y181" s="41">
        <v>0</v>
      </c>
      <c r="Z181" s="41">
        <v>0</v>
      </c>
      <c r="AA181" s="41">
        <v>0</v>
      </c>
      <c r="AB181" s="41">
        <v>0</v>
      </c>
      <c r="AC181" s="41">
        <v>0</v>
      </c>
      <c r="AD181" s="41">
        <v>0</v>
      </c>
      <c r="AE181" s="41">
        <v>0</v>
      </c>
      <c r="AG181" s="165"/>
    </row>
    <row r="182" spans="1:53" s="34" customFormat="1" ht="16.25" customHeight="1" x14ac:dyDescent="0.4">
      <c r="A182" s="36" t="s">
        <v>1278</v>
      </c>
      <c r="B182" s="36" t="s">
        <v>1263</v>
      </c>
      <c r="C182" s="36" t="s">
        <v>1267</v>
      </c>
      <c r="D182" s="32" t="s">
        <v>1271</v>
      </c>
      <c r="E182" s="36" t="s">
        <v>669</v>
      </c>
      <c r="F182" s="244" t="s">
        <v>1276</v>
      </c>
      <c r="G182" s="45">
        <v>0</v>
      </c>
      <c r="H182" s="45">
        <v>2.27</v>
      </c>
      <c r="I182" s="45">
        <v>2.27</v>
      </c>
      <c r="J182" s="45">
        <v>0</v>
      </c>
      <c r="K182" s="45">
        <v>-5.0000000000000001E-3</v>
      </c>
      <c r="L182" s="45">
        <v>-5.0000000000000001E-3</v>
      </c>
      <c r="M182" s="45">
        <v>-5.0000000000000001E-3</v>
      </c>
      <c r="N182" s="45">
        <v>-5.0000000000000001E-3</v>
      </c>
      <c r="O182" s="165">
        <v>-5.0000000000000001E-3</v>
      </c>
      <c r="P182" s="165">
        <v>-5.0000000000000001E-3</v>
      </c>
      <c r="Q182" s="165">
        <v>-5.0000000000000001E-3</v>
      </c>
      <c r="R182" s="165">
        <v>-5.0000000000000001E-3</v>
      </c>
      <c r="S182" s="118">
        <f t="shared" si="12"/>
        <v>-5.0000000000000001E-3</v>
      </c>
      <c r="T182" s="41">
        <v>0</v>
      </c>
      <c r="U182" s="41">
        <v>0</v>
      </c>
      <c r="V182" s="41">
        <v>-5.0000000000000001E-3</v>
      </c>
      <c r="W182" s="41">
        <v>0</v>
      </c>
      <c r="X182" s="41">
        <v>0</v>
      </c>
      <c r="Y182" s="41">
        <v>0</v>
      </c>
      <c r="Z182" s="41">
        <v>0</v>
      </c>
      <c r="AA182" s="41">
        <v>0</v>
      </c>
      <c r="AB182" s="41">
        <v>0</v>
      </c>
      <c r="AC182" s="41">
        <v>0</v>
      </c>
      <c r="AD182" s="41">
        <v>0</v>
      </c>
      <c r="AE182" s="41">
        <v>0</v>
      </c>
      <c r="AG182" s="165"/>
    </row>
    <row r="183" spans="1:53" s="34" customFormat="1" ht="16.25" customHeight="1" x14ac:dyDescent="0.4">
      <c r="A183" s="36" t="s">
        <v>1278</v>
      </c>
      <c r="B183" s="36" t="s">
        <v>1263</v>
      </c>
      <c r="C183" s="36" t="s">
        <v>1267</v>
      </c>
      <c r="D183" s="36" t="s">
        <v>1273</v>
      </c>
      <c r="E183" s="15" t="s">
        <v>672</v>
      </c>
      <c r="F183" s="244" t="s">
        <v>1185</v>
      </c>
      <c r="G183" s="45">
        <v>2175</v>
      </c>
      <c r="H183" s="118">
        <v>2175</v>
      </c>
      <c r="I183" s="118">
        <v>2175</v>
      </c>
      <c r="J183" s="118">
        <v>2175</v>
      </c>
      <c r="K183" s="45">
        <v>1170</v>
      </c>
      <c r="L183" s="45">
        <v>1170</v>
      </c>
      <c r="M183" s="45">
        <v>2000</v>
      </c>
      <c r="N183" s="45">
        <v>2028.77</v>
      </c>
      <c r="O183" s="165">
        <v>2039</v>
      </c>
      <c r="P183" s="165">
        <v>2005.527</v>
      </c>
      <c r="Q183" s="165">
        <v>1999.6549999999997</v>
      </c>
      <c r="R183" s="165">
        <v>1891.3629999999998</v>
      </c>
      <c r="S183" s="118">
        <f t="shared" si="12"/>
        <v>1891.3629999999998</v>
      </c>
      <c r="T183" s="41">
        <v>61.707999999999998</v>
      </c>
      <c r="U183" s="41">
        <v>32.149000000000001</v>
      </c>
      <c r="V183" s="41">
        <v>24.928000000000001</v>
      </c>
      <c r="W183" s="41">
        <v>80.209000000000003</v>
      </c>
      <c r="X183" s="41">
        <v>87.927000000000007</v>
      </c>
      <c r="Y183" s="41">
        <v>271.89</v>
      </c>
      <c r="Z183" s="41">
        <v>30.268999999999998</v>
      </c>
      <c r="AA183" s="41">
        <v>206.96</v>
      </c>
      <c r="AB183" s="41">
        <v>395.19600000000003</v>
      </c>
      <c r="AC183" s="41">
        <v>39.372999999999998</v>
      </c>
      <c r="AD183" s="41">
        <v>523.65300000000002</v>
      </c>
      <c r="AE183" s="41">
        <v>137.101</v>
      </c>
      <c r="AG183" s="165"/>
    </row>
    <row r="184" spans="1:53" s="34" customFormat="1" ht="16.25" customHeight="1" x14ac:dyDescent="0.4">
      <c r="A184" s="36" t="s">
        <v>1278</v>
      </c>
      <c r="B184" s="36" t="s">
        <v>1263</v>
      </c>
      <c r="C184" s="36" t="s">
        <v>1267</v>
      </c>
      <c r="D184" s="32" t="s">
        <v>1270</v>
      </c>
      <c r="E184" s="15" t="s">
        <v>675</v>
      </c>
      <c r="F184" s="244" t="s">
        <v>1275</v>
      </c>
      <c r="G184" s="39">
        <v>1890</v>
      </c>
      <c r="H184" s="118">
        <v>1890</v>
      </c>
      <c r="I184" s="118">
        <v>2005.2</v>
      </c>
      <c r="J184" s="118">
        <v>2052</v>
      </c>
      <c r="K184" s="118">
        <v>2101.3420000000001</v>
      </c>
      <c r="L184" s="118">
        <v>2101.3420000000001</v>
      </c>
      <c r="M184" s="118">
        <v>2110</v>
      </c>
      <c r="N184" s="118">
        <v>2168.8789999999995</v>
      </c>
      <c r="O184" s="165">
        <v>2174</v>
      </c>
      <c r="P184" s="165">
        <v>2203.431</v>
      </c>
      <c r="Q184" s="165">
        <v>2182.9049999999997</v>
      </c>
      <c r="R184" s="165">
        <v>2167.8879999999995</v>
      </c>
      <c r="S184" s="118">
        <f t="shared" si="12"/>
        <v>2167.8879999999995</v>
      </c>
      <c r="T184" s="41">
        <v>246.46700000000001</v>
      </c>
      <c r="U184" s="41">
        <v>164.274</v>
      </c>
      <c r="V184" s="41">
        <v>163.12200000000001</v>
      </c>
      <c r="W184" s="41">
        <v>92.57</v>
      </c>
      <c r="X184" s="41">
        <v>694.375</v>
      </c>
      <c r="Y184" s="41">
        <v>81.081000000000003</v>
      </c>
      <c r="Z184" s="41">
        <v>51.185000000000002</v>
      </c>
      <c r="AA184" s="41">
        <v>38.085999999999999</v>
      </c>
      <c r="AB184" s="41">
        <v>532.57500000000005</v>
      </c>
      <c r="AC184" s="41">
        <v>25.844999999999999</v>
      </c>
      <c r="AD184" s="41">
        <v>34.415999999999997</v>
      </c>
      <c r="AE184" s="41">
        <v>43.892000000000003</v>
      </c>
      <c r="AG184" s="165"/>
    </row>
    <row r="185" spans="1:53" s="34" customFormat="1" ht="16.25" customHeight="1" x14ac:dyDescent="0.4">
      <c r="A185" s="36" t="s">
        <v>1278</v>
      </c>
      <c r="B185" s="36" t="s">
        <v>1263</v>
      </c>
      <c r="C185" s="36" t="s">
        <v>1267</v>
      </c>
      <c r="D185" s="32" t="s">
        <v>1270</v>
      </c>
      <c r="E185" s="15" t="s">
        <v>675</v>
      </c>
      <c r="F185" s="244" t="s">
        <v>1275</v>
      </c>
      <c r="G185" s="39">
        <v>1000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165">
        <v>0</v>
      </c>
      <c r="P185" s="165">
        <v>0</v>
      </c>
      <c r="Q185" s="165">
        <v>0</v>
      </c>
      <c r="R185" s="165">
        <v>0</v>
      </c>
      <c r="S185" s="165">
        <f t="shared" si="12"/>
        <v>0</v>
      </c>
      <c r="T185" s="41">
        <v>0</v>
      </c>
      <c r="U185" s="41">
        <v>0</v>
      </c>
      <c r="V185" s="41">
        <v>0</v>
      </c>
      <c r="W185" s="41">
        <v>0</v>
      </c>
      <c r="X185" s="41">
        <v>0</v>
      </c>
      <c r="Y185" s="41">
        <v>0</v>
      </c>
      <c r="Z185" s="41">
        <v>0</v>
      </c>
      <c r="AA185" s="41">
        <v>0</v>
      </c>
      <c r="AB185" s="41">
        <v>0</v>
      </c>
      <c r="AC185" s="41">
        <v>0</v>
      </c>
      <c r="AD185" s="41">
        <v>0</v>
      </c>
      <c r="AE185" s="41">
        <v>0</v>
      </c>
    </row>
    <row r="186" spans="1:53" s="34" customFormat="1" ht="16.25" customHeight="1" x14ac:dyDescent="0.4">
      <c r="A186" s="36" t="s">
        <v>1278</v>
      </c>
      <c r="B186" s="36" t="s">
        <v>1263</v>
      </c>
      <c r="C186" s="36" t="s">
        <v>1267</v>
      </c>
      <c r="D186" s="36" t="s">
        <v>1272</v>
      </c>
      <c r="E186" s="15" t="s">
        <v>684</v>
      </c>
      <c r="F186" s="244" t="s">
        <v>1275</v>
      </c>
      <c r="G186" s="39"/>
      <c r="H186" s="118">
        <v>0</v>
      </c>
      <c r="I186" s="118">
        <v>0.50900000000000001</v>
      </c>
      <c r="J186" s="118">
        <v>0.50900000000000001</v>
      </c>
      <c r="K186" s="118">
        <v>0.50900000000000001</v>
      </c>
      <c r="L186" s="118">
        <v>0.50900000000000001</v>
      </c>
      <c r="M186" s="118">
        <v>0.50900000000000001</v>
      </c>
      <c r="N186" s="118">
        <v>3.194</v>
      </c>
      <c r="O186" s="165">
        <v>3.194</v>
      </c>
      <c r="P186" s="165">
        <v>0.50900000000000001</v>
      </c>
      <c r="Q186" s="165">
        <v>2.6850000000000001</v>
      </c>
      <c r="R186" s="165">
        <v>2.6850000000000001</v>
      </c>
      <c r="S186" s="118">
        <f t="shared" si="12"/>
        <v>2.6850000000000001</v>
      </c>
      <c r="T186" s="41">
        <v>1.0349999999999999</v>
      </c>
      <c r="U186" s="41">
        <v>0.52800000000000002</v>
      </c>
      <c r="V186" s="41">
        <v>1.1220000000000001</v>
      </c>
      <c r="W186" s="41">
        <v>0</v>
      </c>
      <c r="X186" s="41">
        <v>0</v>
      </c>
      <c r="Y186" s="41">
        <v>0</v>
      </c>
      <c r="Z186" s="41">
        <v>0</v>
      </c>
      <c r="AA186" s="41">
        <v>0</v>
      </c>
      <c r="AB186" s="41">
        <v>0</v>
      </c>
      <c r="AC186" s="41">
        <v>0</v>
      </c>
      <c r="AD186" s="41">
        <v>0</v>
      </c>
      <c r="AE186" s="41">
        <v>0</v>
      </c>
      <c r="AG186" s="165"/>
    </row>
    <row r="187" spans="1:53" s="34" customFormat="1" ht="16.25" customHeight="1" x14ac:dyDescent="0.4">
      <c r="A187" s="36" t="s">
        <v>1278</v>
      </c>
      <c r="B187" s="36" t="s">
        <v>1263</v>
      </c>
      <c r="C187" s="36" t="s">
        <v>1267</v>
      </c>
      <c r="D187" s="32" t="s">
        <v>1270</v>
      </c>
      <c r="E187" s="15" t="s">
        <v>685</v>
      </c>
      <c r="F187" s="244" t="s">
        <v>1276</v>
      </c>
      <c r="G187" s="39"/>
      <c r="H187" s="118">
        <v>0</v>
      </c>
      <c r="I187" s="118">
        <v>23.99</v>
      </c>
      <c r="J187" s="118">
        <v>23.99</v>
      </c>
      <c r="K187" s="118">
        <v>23.99</v>
      </c>
      <c r="L187" s="118">
        <v>23.99</v>
      </c>
      <c r="M187" s="118">
        <v>23.99</v>
      </c>
      <c r="N187" s="118">
        <v>23.990000000000002</v>
      </c>
      <c r="O187" s="165">
        <v>23.990000000000002</v>
      </c>
      <c r="P187" s="165">
        <v>23.990000000000002</v>
      </c>
      <c r="Q187" s="165">
        <v>26.445</v>
      </c>
      <c r="R187" s="165">
        <v>23.990000000000002</v>
      </c>
      <c r="S187" s="118">
        <f t="shared" si="12"/>
        <v>23.990000000000002</v>
      </c>
      <c r="T187" s="41">
        <v>24.134</v>
      </c>
      <c r="U187" s="41">
        <v>-0.14399999999999999</v>
      </c>
      <c r="V187" s="41">
        <v>0</v>
      </c>
      <c r="W187" s="41">
        <v>0</v>
      </c>
      <c r="X187" s="41">
        <v>0</v>
      </c>
      <c r="Y187" s="41">
        <v>0</v>
      </c>
      <c r="Z187" s="41">
        <v>0</v>
      </c>
      <c r="AA187" s="41">
        <v>0</v>
      </c>
      <c r="AB187" s="41">
        <v>0</v>
      </c>
      <c r="AC187" s="41">
        <v>0</v>
      </c>
      <c r="AD187" s="41">
        <v>0</v>
      </c>
      <c r="AE187" s="41">
        <v>0</v>
      </c>
      <c r="AG187" s="165"/>
    </row>
    <row r="188" spans="1:53" s="34" customFormat="1" ht="16.25" customHeight="1" x14ac:dyDescent="0.4">
      <c r="A188" s="36" t="s">
        <v>1278</v>
      </c>
      <c r="B188" s="36" t="s">
        <v>1263</v>
      </c>
      <c r="C188" s="36" t="s">
        <v>1267</v>
      </c>
      <c r="D188" s="32" t="s">
        <v>1270</v>
      </c>
      <c r="E188" s="15" t="s">
        <v>685</v>
      </c>
      <c r="F188" s="244" t="s">
        <v>1276</v>
      </c>
      <c r="G188" s="37"/>
      <c r="H188" s="39"/>
      <c r="I188" s="39"/>
      <c r="J188" s="39"/>
      <c r="K188" s="39"/>
      <c r="L188" s="39"/>
      <c r="M188" s="39"/>
      <c r="N188" s="39"/>
      <c r="O188" s="165"/>
      <c r="P188" s="165"/>
      <c r="Q188" s="165">
        <v>0</v>
      </c>
      <c r="R188" s="165">
        <v>2.4550000000000001</v>
      </c>
      <c r="S188" s="118">
        <f t="shared" si="12"/>
        <v>2.4550000000000001</v>
      </c>
      <c r="T188" s="41">
        <v>0</v>
      </c>
      <c r="U188" s="41">
        <v>0</v>
      </c>
      <c r="V188" s="41">
        <v>0</v>
      </c>
      <c r="W188" s="41">
        <v>0</v>
      </c>
      <c r="X188" s="41">
        <v>2.4550000000000001</v>
      </c>
      <c r="Y188" s="41">
        <v>0</v>
      </c>
      <c r="Z188" s="41">
        <v>0</v>
      </c>
      <c r="AA188" s="41">
        <v>0</v>
      </c>
      <c r="AB188" s="41">
        <v>0</v>
      </c>
      <c r="AC188" s="41">
        <v>0</v>
      </c>
      <c r="AD188" s="41">
        <v>0</v>
      </c>
      <c r="AE188" s="41">
        <v>0</v>
      </c>
      <c r="AG188" s="165"/>
    </row>
    <row r="189" spans="1:53" s="34" customFormat="1" ht="16.25" customHeight="1" x14ac:dyDescent="0.4">
      <c r="A189" s="36" t="s">
        <v>1278</v>
      </c>
      <c r="B189" s="36" t="s">
        <v>1263</v>
      </c>
      <c r="C189" s="36" t="s">
        <v>1267</v>
      </c>
      <c r="D189" s="32" t="s">
        <v>1270</v>
      </c>
      <c r="E189" s="15" t="s">
        <v>688</v>
      </c>
      <c r="F189" s="244" t="s">
        <v>1275</v>
      </c>
      <c r="G189" s="39">
        <v>247.5</v>
      </c>
      <c r="H189" s="118">
        <v>247.5</v>
      </c>
      <c r="I189" s="118">
        <v>247.5</v>
      </c>
      <c r="J189" s="118">
        <v>247.5</v>
      </c>
      <c r="K189" s="118">
        <v>252.637</v>
      </c>
      <c r="L189" s="118">
        <v>252.637</v>
      </c>
      <c r="M189" s="118">
        <v>252.637</v>
      </c>
      <c r="N189" s="118">
        <v>258.363</v>
      </c>
      <c r="O189" s="165">
        <v>258.363</v>
      </c>
      <c r="P189" s="165">
        <v>259.64800000000002</v>
      </c>
      <c r="Q189" s="165">
        <v>301.89499999999998</v>
      </c>
      <c r="R189" s="165">
        <v>280.86700000000002</v>
      </c>
      <c r="S189" s="118">
        <f t="shared" si="12"/>
        <v>280.86700000000002</v>
      </c>
      <c r="T189" s="41">
        <v>0</v>
      </c>
      <c r="U189" s="41">
        <v>0</v>
      </c>
      <c r="V189" s="41">
        <v>37.904000000000003</v>
      </c>
      <c r="W189" s="41">
        <v>0</v>
      </c>
      <c r="X189" s="41">
        <v>0</v>
      </c>
      <c r="Y189" s="41">
        <v>10.9</v>
      </c>
      <c r="Z189" s="41">
        <v>0</v>
      </c>
      <c r="AA189" s="41">
        <v>11.475</v>
      </c>
      <c r="AB189" s="41">
        <v>18.788</v>
      </c>
      <c r="AC189" s="41">
        <v>6.7430000000000003</v>
      </c>
      <c r="AD189" s="41">
        <v>103.255</v>
      </c>
      <c r="AE189" s="41">
        <v>91.802000000000007</v>
      </c>
      <c r="AG189" s="165"/>
    </row>
    <row r="190" spans="1:53" s="34" customFormat="1" ht="16.25" customHeight="1" x14ac:dyDescent="0.4">
      <c r="A190" s="36" t="s">
        <v>1278</v>
      </c>
      <c r="B190" s="36" t="s">
        <v>1263</v>
      </c>
      <c r="C190" s="36" t="s">
        <v>1267</v>
      </c>
      <c r="D190" s="36" t="s">
        <v>1272</v>
      </c>
      <c r="E190" s="15" t="s">
        <v>692</v>
      </c>
      <c r="F190" s="244" t="s">
        <v>1276</v>
      </c>
      <c r="G190" s="45">
        <v>0</v>
      </c>
      <c r="H190" s="118">
        <v>0</v>
      </c>
      <c r="I190" s="118">
        <v>0</v>
      </c>
      <c r="J190" s="118">
        <v>0</v>
      </c>
      <c r="K190" s="118">
        <v>0</v>
      </c>
      <c r="L190" s="118">
        <v>0</v>
      </c>
      <c r="M190" s="118">
        <v>0</v>
      </c>
      <c r="N190" s="118">
        <v>0</v>
      </c>
      <c r="O190" s="165">
        <v>0</v>
      </c>
      <c r="P190" s="165">
        <v>0</v>
      </c>
      <c r="Q190" s="165">
        <v>0</v>
      </c>
      <c r="R190" s="165">
        <v>0</v>
      </c>
      <c r="S190" s="165">
        <f t="shared" ref="S190:S191" si="14">SUM(T190:AE190)</f>
        <v>0</v>
      </c>
      <c r="T190" s="41">
        <v>0</v>
      </c>
      <c r="U190" s="41">
        <v>0</v>
      </c>
      <c r="V190" s="41">
        <v>0</v>
      </c>
      <c r="W190" s="41">
        <v>0</v>
      </c>
      <c r="X190" s="41">
        <v>0</v>
      </c>
      <c r="Y190" s="41">
        <v>0</v>
      </c>
      <c r="Z190" s="41">
        <v>0</v>
      </c>
      <c r="AA190" s="41">
        <v>0</v>
      </c>
      <c r="AB190" s="41">
        <v>0</v>
      </c>
      <c r="AC190" s="41">
        <v>0</v>
      </c>
      <c r="AD190" s="41">
        <v>0</v>
      </c>
      <c r="AE190" s="41">
        <v>0</v>
      </c>
    </row>
    <row r="191" spans="1:53" s="34" customFormat="1" ht="16.25" customHeight="1" x14ac:dyDescent="0.4">
      <c r="A191" s="36" t="s">
        <v>1278</v>
      </c>
      <c r="B191" s="36" t="s">
        <v>1263</v>
      </c>
      <c r="C191" s="36" t="s">
        <v>1267</v>
      </c>
      <c r="D191" s="36" t="s">
        <v>1272</v>
      </c>
      <c r="E191" s="15" t="s">
        <v>692</v>
      </c>
      <c r="F191" s="244" t="s">
        <v>1276</v>
      </c>
      <c r="G191" s="45">
        <v>1400</v>
      </c>
      <c r="H191" s="39">
        <v>1400</v>
      </c>
      <c r="I191" s="39">
        <v>1400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165">
        <v>0</v>
      </c>
      <c r="P191" s="165">
        <v>0</v>
      </c>
      <c r="Q191" s="165">
        <v>0</v>
      </c>
      <c r="R191" s="165">
        <v>0</v>
      </c>
      <c r="S191" s="165">
        <f t="shared" si="14"/>
        <v>0</v>
      </c>
      <c r="T191" s="41">
        <v>0</v>
      </c>
      <c r="U191" s="41">
        <v>0</v>
      </c>
      <c r="V191" s="41">
        <v>0</v>
      </c>
      <c r="W191" s="41">
        <v>0</v>
      </c>
      <c r="X191" s="41">
        <v>0</v>
      </c>
      <c r="Y191" s="41">
        <v>0</v>
      </c>
      <c r="Z191" s="41">
        <v>0</v>
      </c>
      <c r="AA191" s="41">
        <v>0</v>
      </c>
      <c r="AB191" s="41">
        <v>0</v>
      </c>
      <c r="AC191" s="41">
        <v>0</v>
      </c>
      <c r="AD191" s="41">
        <v>0</v>
      </c>
      <c r="AE191" s="41">
        <v>0</v>
      </c>
    </row>
    <row r="192" spans="1:53" s="34" customFormat="1" ht="16.25" customHeight="1" x14ac:dyDescent="0.4">
      <c r="A192" s="36" t="s">
        <v>1278</v>
      </c>
      <c r="B192" s="36" t="s">
        <v>1263</v>
      </c>
      <c r="C192" s="36" t="s">
        <v>1267</v>
      </c>
      <c r="D192" s="32" t="s">
        <v>1271</v>
      </c>
      <c r="E192" s="15" t="s">
        <v>696</v>
      </c>
      <c r="F192" s="244" t="s">
        <v>1276</v>
      </c>
      <c r="G192" s="37">
        <v>90.4</v>
      </c>
      <c r="H192" s="118">
        <v>90</v>
      </c>
      <c r="I192" s="118">
        <v>74</v>
      </c>
      <c r="J192" s="118">
        <v>73</v>
      </c>
      <c r="K192" s="118">
        <v>74.025000000000006</v>
      </c>
      <c r="L192" s="118">
        <v>74.025000000000006</v>
      </c>
      <c r="M192" s="118">
        <v>67</v>
      </c>
      <c r="N192" s="118">
        <v>67.531999999999996</v>
      </c>
      <c r="O192" s="165">
        <v>67.531999999999996</v>
      </c>
      <c r="P192" s="165">
        <v>67.531999999999996</v>
      </c>
      <c r="Q192" s="165">
        <v>67.531999999999996</v>
      </c>
      <c r="R192" s="165">
        <v>67.531999999999996</v>
      </c>
      <c r="S192" s="118">
        <f t="shared" ref="S192:S232" si="15">SUM(T192:AE192)</f>
        <v>67.531999999999996</v>
      </c>
      <c r="T192" s="41">
        <v>32.767000000000003</v>
      </c>
      <c r="U192" s="41">
        <v>7.7839999999999998</v>
      </c>
      <c r="V192" s="41">
        <v>8.7129999999999992</v>
      </c>
      <c r="W192" s="41">
        <v>2.8639999999999999</v>
      </c>
      <c r="X192" s="41">
        <v>0</v>
      </c>
      <c r="Y192" s="41">
        <v>15.404</v>
      </c>
      <c r="Z192" s="41">
        <v>0</v>
      </c>
      <c r="AA192" s="41">
        <v>0</v>
      </c>
      <c r="AB192" s="41">
        <v>0</v>
      </c>
      <c r="AC192" s="41">
        <v>0</v>
      </c>
      <c r="AD192" s="41">
        <v>0</v>
      </c>
      <c r="AE192" s="41">
        <v>0</v>
      </c>
      <c r="AG192" s="165"/>
    </row>
    <row r="193" spans="1:39" s="34" customFormat="1" ht="16.25" customHeight="1" x14ac:dyDescent="0.4">
      <c r="A193" s="36" t="s">
        <v>1278</v>
      </c>
      <c r="B193" s="36" t="s">
        <v>1263</v>
      </c>
      <c r="C193" s="36" t="s">
        <v>1267</v>
      </c>
      <c r="D193" s="32" t="s">
        <v>1271</v>
      </c>
      <c r="E193" s="15" t="s">
        <v>698</v>
      </c>
      <c r="F193" s="244" t="s">
        <v>1276</v>
      </c>
      <c r="G193" s="37">
        <v>0</v>
      </c>
      <c r="H193" s="118">
        <v>0</v>
      </c>
      <c r="I193" s="118">
        <v>75</v>
      </c>
      <c r="J193" s="118">
        <v>76</v>
      </c>
      <c r="K193" s="118">
        <v>76.599000000000004</v>
      </c>
      <c r="L193" s="118">
        <v>76.599000000000004</v>
      </c>
      <c r="M193" s="118">
        <v>74</v>
      </c>
      <c r="N193" s="118">
        <v>74.629000000000005</v>
      </c>
      <c r="O193" s="165">
        <v>74.629000000000005</v>
      </c>
      <c r="P193" s="165">
        <v>74.629000000000005</v>
      </c>
      <c r="Q193" s="165">
        <v>74.629000000000005</v>
      </c>
      <c r="R193" s="165">
        <v>74.629000000000005</v>
      </c>
      <c r="S193" s="118">
        <f t="shared" si="15"/>
        <v>74.629000000000005</v>
      </c>
      <c r="T193" s="41">
        <v>3.2490000000000001</v>
      </c>
      <c r="U193" s="41">
        <v>28.379000000000001</v>
      </c>
      <c r="V193" s="41">
        <v>7.3570000000000002</v>
      </c>
      <c r="W193" s="41">
        <v>10.292</v>
      </c>
      <c r="X193" s="41">
        <v>5.1340000000000003</v>
      </c>
      <c r="Y193" s="41">
        <v>20.218</v>
      </c>
      <c r="Z193" s="41">
        <v>0</v>
      </c>
      <c r="AA193" s="41">
        <v>0</v>
      </c>
      <c r="AB193" s="41">
        <v>0</v>
      </c>
      <c r="AC193" s="41">
        <v>0</v>
      </c>
      <c r="AD193" s="41">
        <v>0</v>
      </c>
      <c r="AE193" s="41">
        <v>0</v>
      </c>
      <c r="AG193" s="165"/>
    </row>
    <row r="194" spans="1:39" s="34" customFormat="1" ht="16.25" customHeight="1" x14ac:dyDescent="0.4">
      <c r="A194" s="36" t="s">
        <v>1280</v>
      </c>
      <c r="B194" s="36" t="s">
        <v>1263</v>
      </c>
      <c r="C194" s="36" t="s">
        <v>1267</v>
      </c>
      <c r="D194" s="32" t="s">
        <v>1270</v>
      </c>
      <c r="E194" s="15" t="s">
        <v>700</v>
      </c>
      <c r="F194" s="244" t="s">
        <v>1276</v>
      </c>
      <c r="G194" s="39">
        <v>675</v>
      </c>
      <c r="H194" s="118">
        <v>675</v>
      </c>
      <c r="I194" s="118">
        <v>672.30000000000007</v>
      </c>
      <c r="J194" s="118">
        <v>672.30000000000007</v>
      </c>
      <c r="K194" s="118">
        <v>687.51900000000001</v>
      </c>
      <c r="L194" s="118">
        <v>687.51900000000001</v>
      </c>
      <c r="M194" s="118">
        <v>482</v>
      </c>
      <c r="N194" s="118">
        <v>481.52800000000002</v>
      </c>
      <c r="O194" s="165">
        <v>481.52800000000002</v>
      </c>
      <c r="P194" s="165">
        <v>443.47800000000001</v>
      </c>
      <c r="Q194" s="165">
        <v>442.78800000000001</v>
      </c>
      <c r="R194" s="165">
        <v>442.58300000000003</v>
      </c>
      <c r="S194" s="118">
        <f t="shared" si="15"/>
        <v>442.58300000000003</v>
      </c>
      <c r="T194" s="41">
        <v>66.176000000000002</v>
      </c>
      <c r="U194" s="41">
        <v>223.53700000000001</v>
      </c>
      <c r="V194" s="41">
        <v>22.181999999999999</v>
      </c>
      <c r="W194" s="41">
        <v>109.051</v>
      </c>
      <c r="X194" s="41">
        <v>67.793999999999997</v>
      </c>
      <c r="Y194" s="41">
        <v>-71.483000000000004</v>
      </c>
      <c r="Z194" s="41">
        <v>0</v>
      </c>
      <c r="AA194" s="41">
        <v>3.6360000000000001</v>
      </c>
      <c r="AB194" s="41">
        <v>17</v>
      </c>
      <c r="AC194" s="41">
        <v>0</v>
      </c>
      <c r="AD194" s="41">
        <v>4.6900000000000004</v>
      </c>
      <c r="AE194" s="41">
        <v>0</v>
      </c>
      <c r="AG194" s="165"/>
    </row>
    <row r="195" spans="1:39" s="34" customFormat="1" ht="16.25" customHeight="1" x14ac:dyDescent="0.4">
      <c r="A195" s="36" t="s">
        <v>1280</v>
      </c>
      <c r="B195" s="36" t="s">
        <v>1263</v>
      </c>
      <c r="C195" s="36" t="s">
        <v>1267</v>
      </c>
      <c r="D195" s="36" t="s">
        <v>1272</v>
      </c>
      <c r="E195" s="15" t="s">
        <v>706</v>
      </c>
      <c r="F195" s="244" t="s">
        <v>1276</v>
      </c>
      <c r="G195" s="39">
        <v>276.3</v>
      </c>
      <c r="H195" s="118">
        <v>276.3</v>
      </c>
      <c r="I195" s="118">
        <v>276.3</v>
      </c>
      <c r="J195" s="118">
        <v>276.3</v>
      </c>
      <c r="K195" s="118">
        <v>280.93900000000002</v>
      </c>
      <c r="L195" s="118">
        <v>126</v>
      </c>
      <c r="M195" s="118">
        <v>126</v>
      </c>
      <c r="N195" s="118">
        <v>126.33400000000002</v>
      </c>
      <c r="O195" s="165">
        <v>126.33400000000002</v>
      </c>
      <c r="P195" s="165">
        <v>126.33400000000002</v>
      </c>
      <c r="Q195" s="165">
        <v>126.33400000000002</v>
      </c>
      <c r="R195" s="165">
        <v>126.33400000000002</v>
      </c>
      <c r="S195" s="118">
        <f t="shared" si="15"/>
        <v>126.33400000000002</v>
      </c>
      <c r="T195" s="41">
        <v>-7.6020000000000003</v>
      </c>
      <c r="U195" s="41">
        <v>-1E-3</v>
      </c>
      <c r="V195" s="41">
        <v>133.99</v>
      </c>
      <c r="W195" s="41">
        <v>0</v>
      </c>
      <c r="X195" s="41">
        <v>-5.2999999999999999E-2</v>
      </c>
      <c r="Y195" s="41">
        <v>0</v>
      </c>
      <c r="Z195" s="41">
        <v>0</v>
      </c>
      <c r="AA195" s="41">
        <v>0</v>
      </c>
      <c r="AB195" s="41">
        <v>0</v>
      </c>
      <c r="AC195" s="41">
        <v>0</v>
      </c>
      <c r="AD195" s="41">
        <v>0</v>
      </c>
      <c r="AE195" s="41">
        <v>0</v>
      </c>
      <c r="AG195" s="165"/>
    </row>
    <row r="196" spans="1:39" s="34" customFormat="1" ht="15.6" customHeight="1" x14ac:dyDescent="0.4">
      <c r="A196" s="36" t="s">
        <v>1279</v>
      </c>
      <c r="B196" s="36" t="s">
        <v>1263</v>
      </c>
      <c r="C196" s="36" t="s">
        <v>1267</v>
      </c>
      <c r="D196" s="32" t="s">
        <v>1271</v>
      </c>
      <c r="E196" s="15" t="s">
        <v>709</v>
      </c>
      <c r="F196" s="244" t="s">
        <v>1276</v>
      </c>
      <c r="G196" s="37">
        <v>130</v>
      </c>
      <c r="H196" s="118">
        <v>130</v>
      </c>
      <c r="I196" s="118">
        <v>147</v>
      </c>
      <c r="J196" s="118">
        <v>147</v>
      </c>
      <c r="K196" s="118">
        <v>150.17500000000001</v>
      </c>
      <c r="L196" s="118">
        <v>150.17500000000001</v>
      </c>
      <c r="M196" s="118">
        <v>149</v>
      </c>
      <c r="N196" s="118">
        <v>147.577</v>
      </c>
      <c r="O196" s="165">
        <v>141.648</v>
      </c>
      <c r="P196" s="165">
        <v>141.648</v>
      </c>
      <c r="Q196" s="165">
        <v>141.648</v>
      </c>
      <c r="R196" s="165">
        <v>141.648</v>
      </c>
      <c r="S196" s="118">
        <f t="shared" si="15"/>
        <v>141.648</v>
      </c>
      <c r="T196" s="41">
        <v>16.690000000000001</v>
      </c>
      <c r="U196" s="41">
        <v>0</v>
      </c>
      <c r="V196" s="41">
        <v>111.81699999999999</v>
      </c>
      <c r="W196" s="41">
        <v>12.933999999999999</v>
      </c>
      <c r="X196" s="41">
        <v>0.20699999999999999</v>
      </c>
      <c r="Y196" s="41">
        <v>0</v>
      </c>
      <c r="Z196" s="41">
        <v>0</v>
      </c>
      <c r="AA196" s="41">
        <v>0</v>
      </c>
      <c r="AB196" s="41">
        <v>0</v>
      </c>
      <c r="AC196" s="41">
        <v>0</v>
      </c>
      <c r="AD196" s="41">
        <v>0</v>
      </c>
      <c r="AE196" s="41">
        <v>0</v>
      </c>
      <c r="AG196" s="165"/>
    </row>
    <row r="197" spans="1:39" s="34" customFormat="1" ht="16.25" customHeight="1" x14ac:dyDescent="0.4">
      <c r="A197" s="36" t="s">
        <v>1285</v>
      </c>
      <c r="B197" s="36" t="s">
        <v>1263</v>
      </c>
      <c r="C197" s="36" t="s">
        <v>1267</v>
      </c>
      <c r="D197" s="32" t="s">
        <v>1270</v>
      </c>
      <c r="E197" s="15" t="s">
        <v>710</v>
      </c>
      <c r="F197" s="244" t="s">
        <v>1275</v>
      </c>
      <c r="G197" s="39">
        <v>17550</v>
      </c>
      <c r="H197" s="118">
        <v>13230</v>
      </c>
      <c r="I197" s="118">
        <v>13185</v>
      </c>
      <c r="J197" s="118">
        <v>13185</v>
      </c>
      <c r="K197" s="118">
        <v>11160</v>
      </c>
      <c r="L197" s="118">
        <v>0</v>
      </c>
      <c r="M197" s="118">
        <v>0</v>
      </c>
      <c r="N197" s="118">
        <v>0</v>
      </c>
      <c r="O197" s="165">
        <v>-271</v>
      </c>
      <c r="P197" s="165">
        <v>-416.613</v>
      </c>
      <c r="Q197" s="165">
        <v>-265.53699999999998</v>
      </c>
      <c r="R197" s="165">
        <v>0.46300000000002228</v>
      </c>
      <c r="S197" s="118">
        <f t="shared" si="15"/>
        <v>0.46300000000002228</v>
      </c>
      <c r="T197" s="41">
        <v>0.72799999999999998</v>
      </c>
      <c r="U197" s="41">
        <v>0</v>
      </c>
      <c r="V197" s="41">
        <v>32.975999999999999</v>
      </c>
      <c r="W197" s="41">
        <v>90.427000000000007</v>
      </c>
      <c r="X197" s="41">
        <v>11.972</v>
      </c>
      <c r="Y197" s="41">
        <v>2.407</v>
      </c>
      <c r="Z197" s="41">
        <v>34.796999999999997</v>
      </c>
      <c r="AA197" s="41">
        <v>-438.84399999999999</v>
      </c>
      <c r="AB197" s="41">
        <v>0</v>
      </c>
      <c r="AC197" s="41">
        <v>0</v>
      </c>
      <c r="AD197" s="41">
        <v>0</v>
      </c>
      <c r="AE197" s="41">
        <v>266</v>
      </c>
      <c r="AG197" s="165"/>
    </row>
    <row r="198" spans="1:39" s="34" customFormat="1" ht="16.25" customHeight="1" x14ac:dyDescent="0.4">
      <c r="A198" s="36" t="s">
        <v>1285</v>
      </c>
      <c r="B198" s="36" t="s">
        <v>1263</v>
      </c>
      <c r="C198" s="36" t="s">
        <v>1267</v>
      </c>
      <c r="D198" s="32" t="s">
        <v>1270</v>
      </c>
      <c r="E198" s="15" t="s">
        <v>710</v>
      </c>
      <c r="F198" s="244" t="s">
        <v>1275</v>
      </c>
      <c r="G198" s="39"/>
      <c r="H198" s="118"/>
      <c r="I198" s="118"/>
      <c r="J198" s="118"/>
      <c r="K198" s="118"/>
      <c r="L198" s="118"/>
      <c r="M198" s="118"/>
      <c r="N198" s="118"/>
      <c r="O198" s="165">
        <v>1000</v>
      </c>
      <c r="P198" s="165">
        <v>0</v>
      </c>
      <c r="Q198" s="165">
        <v>0</v>
      </c>
      <c r="R198" s="165">
        <v>0</v>
      </c>
      <c r="S198" s="165">
        <f t="shared" si="15"/>
        <v>0</v>
      </c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</row>
    <row r="199" spans="1:39" s="34" customFormat="1" ht="16.25" customHeight="1" x14ac:dyDescent="0.4">
      <c r="A199" s="36" t="s">
        <v>1285</v>
      </c>
      <c r="B199" s="36" t="s">
        <v>1263</v>
      </c>
      <c r="C199" s="36" t="s">
        <v>1267</v>
      </c>
      <c r="D199" s="36" t="s">
        <v>1272</v>
      </c>
      <c r="E199" s="15" t="s">
        <v>718</v>
      </c>
      <c r="F199" s="244" t="s">
        <v>1276</v>
      </c>
      <c r="G199" s="45">
        <v>5418.9000000000005</v>
      </c>
      <c r="H199" s="118">
        <v>5418.9000000000005</v>
      </c>
      <c r="I199" s="118">
        <v>5400</v>
      </c>
      <c r="J199" s="118">
        <v>5400</v>
      </c>
      <c r="K199" s="45">
        <v>5489.6167999999998</v>
      </c>
      <c r="L199" s="45">
        <v>5125.5</v>
      </c>
      <c r="M199" s="45">
        <v>5386</v>
      </c>
      <c r="N199" s="45">
        <v>5477.4497999999994</v>
      </c>
      <c r="O199" s="165">
        <v>5621</v>
      </c>
      <c r="P199" s="165">
        <v>4847</v>
      </c>
      <c r="Q199" s="165">
        <v>4762</v>
      </c>
      <c r="R199" s="165">
        <v>4582.3789999999999</v>
      </c>
      <c r="S199" s="118">
        <f t="shared" si="15"/>
        <v>4582.3789999999999</v>
      </c>
      <c r="T199" s="41">
        <v>97.382000000000005</v>
      </c>
      <c r="U199" s="41">
        <v>228.80099999999999</v>
      </c>
      <c r="V199" s="41">
        <v>238.05699999999999</v>
      </c>
      <c r="W199" s="41">
        <v>161.04400000000001</v>
      </c>
      <c r="X199" s="41">
        <v>144.06399999999999</v>
      </c>
      <c r="Y199" s="41">
        <v>1050.653</v>
      </c>
      <c r="Z199" s="41">
        <v>571.15800000000002</v>
      </c>
      <c r="AA199" s="41">
        <v>101.679</v>
      </c>
      <c r="AB199" s="41">
        <v>385.66899999999998</v>
      </c>
      <c r="AC199" s="41">
        <v>720.97299999999996</v>
      </c>
      <c r="AD199" s="41">
        <v>591.48199999999997</v>
      </c>
      <c r="AE199" s="41">
        <v>291.41699999999997</v>
      </c>
      <c r="AG199" s="165"/>
    </row>
    <row r="200" spans="1:39" s="34" customFormat="1" ht="16.25" customHeight="1" x14ac:dyDescent="0.4">
      <c r="A200" s="36" t="s">
        <v>1285</v>
      </c>
      <c r="B200" s="36" t="s">
        <v>1263</v>
      </c>
      <c r="C200" s="36" t="s">
        <v>1267</v>
      </c>
      <c r="D200" s="36" t="s">
        <v>1272</v>
      </c>
      <c r="E200" s="15" t="s">
        <v>718</v>
      </c>
      <c r="F200" s="244" t="s">
        <v>1276</v>
      </c>
      <c r="G200" s="37"/>
      <c r="H200" s="39"/>
      <c r="I200" s="39"/>
      <c r="J200" s="39"/>
      <c r="K200" s="39"/>
      <c r="L200" s="39"/>
      <c r="M200" s="39"/>
      <c r="N200" s="39"/>
      <c r="O200" s="165"/>
      <c r="P200" s="165"/>
      <c r="Q200" s="165">
        <v>-1480.1660000000002</v>
      </c>
      <c r="R200" s="165">
        <v>-1480.1660000000002</v>
      </c>
      <c r="S200" s="118">
        <f t="shared" si="15"/>
        <v>-1480.1660000000002</v>
      </c>
      <c r="T200" s="41">
        <v>0</v>
      </c>
      <c r="U200" s="41">
        <v>-49.465000000000003</v>
      </c>
      <c r="V200" s="41">
        <v>0</v>
      </c>
      <c r="W200" s="41">
        <v>0</v>
      </c>
      <c r="X200" s="41">
        <v>0</v>
      </c>
      <c r="Y200" s="41">
        <v>-777.01800000000003</v>
      </c>
      <c r="Z200" s="41">
        <v>-37.371000000000002</v>
      </c>
      <c r="AA200" s="41">
        <v>0</v>
      </c>
      <c r="AB200" s="41">
        <v>0</v>
      </c>
      <c r="AC200" s="41">
        <v>-616.31200000000001</v>
      </c>
      <c r="AD200" s="41">
        <v>0</v>
      </c>
      <c r="AE200" s="41">
        <v>0</v>
      </c>
      <c r="AG200" s="165"/>
      <c r="AH200" s="41"/>
      <c r="AI200" s="41"/>
      <c r="AJ200" s="41"/>
      <c r="AK200" s="41"/>
      <c r="AL200" s="41"/>
      <c r="AM200" s="41"/>
    </row>
    <row r="201" spans="1:39" s="34" customFormat="1" ht="16.25" customHeight="1" x14ac:dyDescent="0.4">
      <c r="A201" s="36" t="s">
        <v>1285</v>
      </c>
      <c r="B201" s="36" t="s">
        <v>1263</v>
      </c>
      <c r="C201" s="36" t="s">
        <v>1267</v>
      </c>
      <c r="D201" s="36" t="s">
        <v>1272</v>
      </c>
      <c r="E201" s="15" t="s">
        <v>718</v>
      </c>
      <c r="F201" s="244" t="s">
        <v>1276</v>
      </c>
      <c r="G201" s="37"/>
      <c r="H201" s="39"/>
      <c r="I201" s="39"/>
      <c r="J201" s="39"/>
      <c r="K201" s="39"/>
      <c r="L201" s="39"/>
      <c r="M201" s="39"/>
      <c r="N201" s="39"/>
      <c r="O201" s="165"/>
      <c r="P201" s="165"/>
      <c r="Q201" s="165">
        <v>1160.998</v>
      </c>
      <c r="R201" s="165">
        <v>1160.998</v>
      </c>
      <c r="S201" s="118">
        <f t="shared" si="15"/>
        <v>1160.998</v>
      </c>
      <c r="T201" s="41">
        <v>53.628999999999998</v>
      </c>
      <c r="U201" s="41">
        <v>8.8230000000000004</v>
      </c>
      <c r="V201" s="41">
        <v>0.84199999999999997</v>
      </c>
      <c r="W201" s="41">
        <v>136.268</v>
      </c>
      <c r="X201" s="41">
        <v>-0.499</v>
      </c>
      <c r="Y201" s="41">
        <v>541.75300000000004</v>
      </c>
      <c r="Z201" s="41">
        <v>-4.8019999999999996</v>
      </c>
      <c r="AA201" s="41">
        <v>8.3789999999999996</v>
      </c>
      <c r="AB201" s="41">
        <v>0</v>
      </c>
      <c r="AC201" s="41">
        <v>416.60500000000002</v>
      </c>
      <c r="AD201" s="41">
        <v>0</v>
      </c>
      <c r="AE201" s="41">
        <v>0</v>
      </c>
      <c r="AG201" s="165"/>
    </row>
    <row r="202" spans="1:39" s="34" customFormat="1" ht="16.25" customHeight="1" x14ac:dyDescent="0.4">
      <c r="A202" s="36" t="s">
        <v>1281</v>
      </c>
      <c r="B202" s="36" t="s">
        <v>1263</v>
      </c>
      <c r="C202" s="36" t="s">
        <v>1267</v>
      </c>
      <c r="D202" s="36" t="s">
        <v>1272</v>
      </c>
      <c r="E202" s="15" t="s">
        <v>726</v>
      </c>
      <c r="F202" s="244" t="s">
        <v>1276</v>
      </c>
      <c r="G202" s="39">
        <v>249.3</v>
      </c>
      <c r="H202" s="118">
        <v>249.3</v>
      </c>
      <c r="I202" s="118">
        <v>248.22300000000001</v>
      </c>
      <c r="J202" s="118">
        <v>248.22300000000001</v>
      </c>
      <c r="K202" s="118">
        <v>251.18899999999999</v>
      </c>
      <c r="L202" s="118">
        <v>251.18899999999999</v>
      </c>
      <c r="M202" s="118">
        <v>186</v>
      </c>
      <c r="N202" s="118">
        <v>186.66999999999996</v>
      </c>
      <c r="O202" s="165">
        <v>186.67299999999997</v>
      </c>
      <c r="P202" s="165">
        <v>34.835999999999999</v>
      </c>
      <c r="Q202" s="165">
        <v>186.67299999999997</v>
      </c>
      <c r="R202" s="165">
        <v>186.67299999999997</v>
      </c>
      <c r="S202" s="118">
        <f t="shared" si="15"/>
        <v>186.67299999999997</v>
      </c>
      <c r="T202" s="41">
        <v>100.538</v>
      </c>
      <c r="U202" s="41">
        <v>0.11600000000000001</v>
      </c>
      <c r="V202" s="41">
        <v>77.091999999999999</v>
      </c>
      <c r="W202" s="41">
        <v>0.80800000000000005</v>
      </c>
      <c r="X202" s="41">
        <v>0</v>
      </c>
      <c r="Y202" s="41">
        <v>7.702</v>
      </c>
      <c r="Z202" s="41">
        <v>0.41699999999999998</v>
      </c>
      <c r="AA202" s="41">
        <v>0</v>
      </c>
      <c r="AB202" s="41">
        <v>0</v>
      </c>
      <c r="AC202" s="41">
        <v>0</v>
      </c>
      <c r="AD202" s="41">
        <v>0</v>
      </c>
      <c r="AE202" s="41">
        <v>0</v>
      </c>
      <c r="AG202" s="165"/>
    </row>
    <row r="203" spans="1:39" s="34" customFormat="1" ht="16.25" customHeight="1" x14ac:dyDescent="0.4">
      <c r="A203" s="36" t="s">
        <v>1282</v>
      </c>
      <c r="B203" s="36" t="s">
        <v>1263</v>
      </c>
      <c r="C203" s="36" t="s">
        <v>1267</v>
      </c>
      <c r="D203" s="32" t="s">
        <v>1270</v>
      </c>
      <c r="E203" s="15" t="s">
        <v>730</v>
      </c>
      <c r="F203" s="244" t="s">
        <v>1276</v>
      </c>
      <c r="G203" s="39">
        <v>2912.4</v>
      </c>
      <c r="H203" s="118">
        <v>2538</v>
      </c>
      <c r="I203" s="118">
        <v>2268</v>
      </c>
      <c r="J203" s="118">
        <v>2268</v>
      </c>
      <c r="K203" s="118">
        <v>2315.4780000000001</v>
      </c>
      <c r="L203" s="118">
        <v>2315.4780000000001</v>
      </c>
      <c r="M203" s="118">
        <v>2479</v>
      </c>
      <c r="N203" s="118">
        <v>2508</v>
      </c>
      <c r="O203" s="165">
        <v>2315</v>
      </c>
      <c r="P203" s="165">
        <v>1898.425</v>
      </c>
      <c r="Q203" s="165">
        <v>1819.7739999999999</v>
      </c>
      <c r="R203" s="165">
        <v>1792.9770000000001</v>
      </c>
      <c r="S203" s="118">
        <f t="shared" si="15"/>
        <v>1792.9770000000001</v>
      </c>
      <c r="T203" s="41">
        <v>10.226000000000001</v>
      </c>
      <c r="U203" s="41">
        <v>14.901</v>
      </c>
      <c r="V203" s="41">
        <v>598.65200000000004</v>
      </c>
      <c r="W203" s="41">
        <v>42.225000000000001</v>
      </c>
      <c r="X203" s="41">
        <v>100.852</v>
      </c>
      <c r="Y203" s="41">
        <v>477.95499999999998</v>
      </c>
      <c r="Z203" s="41">
        <v>138.14500000000001</v>
      </c>
      <c r="AA203" s="41">
        <v>74.025999999999996</v>
      </c>
      <c r="AB203" s="41">
        <v>196.209</v>
      </c>
      <c r="AC203" s="41">
        <v>40.963000000000001</v>
      </c>
      <c r="AD203" s="41">
        <v>84.055000000000007</v>
      </c>
      <c r="AE203" s="41">
        <v>14.768000000000001</v>
      </c>
      <c r="AG203" s="165"/>
    </row>
    <row r="204" spans="1:39" s="34" customFormat="1" ht="16.25" customHeight="1" x14ac:dyDescent="0.4">
      <c r="A204" s="36" t="s">
        <v>1283</v>
      </c>
      <c r="B204" s="36" t="s">
        <v>1263</v>
      </c>
      <c r="C204" s="36" t="s">
        <v>1267</v>
      </c>
      <c r="D204" s="32" t="s">
        <v>1274</v>
      </c>
      <c r="E204" s="15" t="s">
        <v>739</v>
      </c>
      <c r="F204" s="246" t="s">
        <v>1179</v>
      </c>
      <c r="G204" s="37">
        <v>245.70000000000002</v>
      </c>
      <c r="H204" s="118">
        <v>245.70000000000002</v>
      </c>
      <c r="I204" s="118">
        <v>185.345</v>
      </c>
      <c r="J204" s="118">
        <v>185.345</v>
      </c>
      <c r="K204" s="118">
        <v>190.52</v>
      </c>
      <c r="L204" s="118">
        <v>244.60809765299999</v>
      </c>
      <c r="M204" s="118">
        <v>244.60809765299999</v>
      </c>
      <c r="N204" s="118">
        <v>246.84300000000002</v>
      </c>
      <c r="O204" s="165">
        <v>246.84300000000002</v>
      </c>
      <c r="P204" s="165">
        <v>244.4</v>
      </c>
      <c r="Q204" s="165">
        <v>240.64699999999999</v>
      </c>
      <c r="R204" s="165">
        <v>235.38</v>
      </c>
      <c r="S204" s="118">
        <f t="shared" si="15"/>
        <v>235.38</v>
      </c>
      <c r="T204" s="41">
        <v>0</v>
      </c>
      <c r="U204" s="41">
        <v>112.971</v>
      </c>
      <c r="V204" s="41">
        <v>0</v>
      </c>
      <c r="W204" s="41">
        <v>0</v>
      </c>
      <c r="X204" s="41">
        <v>0</v>
      </c>
      <c r="Y204" s="41">
        <v>0.56499999999999995</v>
      </c>
      <c r="Z204" s="41">
        <v>0</v>
      </c>
      <c r="AA204" s="41">
        <v>0.89700000000000002</v>
      </c>
      <c r="AB204" s="41">
        <v>0</v>
      </c>
      <c r="AC204" s="41">
        <v>29.061</v>
      </c>
      <c r="AD204" s="41">
        <v>91.885999999999996</v>
      </c>
      <c r="AE204" s="41">
        <v>0</v>
      </c>
      <c r="AG204" s="165"/>
    </row>
    <row r="205" spans="1:39" s="34" customFormat="1" ht="16.25" customHeight="1" x14ac:dyDescent="0.4">
      <c r="A205" s="36" t="s">
        <v>1283</v>
      </c>
      <c r="B205" s="36" t="s">
        <v>1263</v>
      </c>
      <c r="C205" s="36" t="s">
        <v>1267</v>
      </c>
      <c r="D205" s="32" t="s">
        <v>1270</v>
      </c>
      <c r="E205" s="15" t="s">
        <v>741</v>
      </c>
      <c r="F205" s="244" t="s">
        <v>1276</v>
      </c>
      <c r="G205" s="39">
        <v>2981.7000000000003</v>
      </c>
      <c r="H205" s="39">
        <v>1926</v>
      </c>
      <c r="I205" s="39">
        <v>1746</v>
      </c>
      <c r="J205" s="39">
        <v>1746</v>
      </c>
      <c r="K205" s="39">
        <v>1785.2570000000001</v>
      </c>
      <c r="L205" s="39">
        <v>1785.2570000000001</v>
      </c>
      <c r="M205" s="39">
        <v>1785.2570000000001</v>
      </c>
      <c r="N205" s="118">
        <v>1790.7809999999999</v>
      </c>
      <c r="O205" s="165">
        <v>1665</v>
      </c>
      <c r="P205" s="165">
        <v>1421.6859999999999</v>
      </c>
      <c r="Q205" s="165">
        <v>1282.106</v>
      </c>
      <c r="R205" s="165">
        <v>1278.933</v>
      </c>
      <c r="S205" s="118">
        <f t="shared" si="15"/>
        <v>1278.933</v>
      </c>
      <c r="T205" s="41">
        <v>77.385999999999996</v>
      </c>
      <c r="U205" s="41">
        <v>97.212000000000003</v>
      </c>
      <c r="V205" s="41">
        <v>190.505</v>
      </c>
      <c r="W205" s="41">
        <v>4.915</v>
      </c>
      <c r="X205" s="41">
        <v>105.92100000000001</v>
      </c>
      <c r="Y205" s="41">
        <v>244.02199999999999</v>
      </c>
      <c r="Z205" s="41">
        <v>39.253</v>
      </c>
      <c r="AA205" s="41">
        <v>78.216999999999999</v>
      </c>
      <c r="AB205" s="41">
        <v>23</v>
      </c>
      <c r="AC205" s="41">
        <v>15.904999999999999</v>
      </c>
      <c r="AD205" s="41">
        <v>38.851999999999997</v>
      </c>
      <c r="AE205" s="41">
        <v>363.745</v>
      </c>
      <c r="AG205" s="165"/>
    </row>
    <row r="206" spans="1:39" s="34" customFormat="1" ht="16.25" customHeight="1" x14ac:dyDescent="0.4">
      <c r="A206" s="36" t="s">
        <v>1284</v>
      </c>
      <c r="B206" s="36" t="s">
        <v>1263</v>
      </c>
      <c r="C206" s="36" t="s">
        <v>1267</v>
      </c>
      <c r="D206" s="32" t="s">
        <v>1271</v>
      </c>
      <c r="E206" s="15" t="s">
        <v>749</v>
      </c>
      <c r="F206" s="244" t="s">
        <v>1276</v>
      </c>
      <c r="G206" s="37">
        <v>1458.9</v>
      </c>
      <c r="H206" s="39">
        <v>1458.9</v>
      </c>
      <c r="I206" s="39">
        <v>1453.5</v>
      </c>
      <c r="J206" s="39">
        <v>1453.5</v>
      </c>
      <c r="K206" s="39">
        <v>1484.981</v>
      </c>
      <c r="L206" s="39">
        <v>1430</v>
      </c>
      <c r="M206" s="39">
        <v>1422</v>
      </c>
      <c r="N206" s="39">
        <v>1432.989</v>
      </c>
      <c r="O206" s="165">
        <v>1408</v>
      </c>
      <c r="P206" s="165">
        <v>1393.194</v>
      </c>
      <c r="Q206" s="165">
        <v>1390.7180000000003</v>
      </c>
      <c r="R206" s="165">
        <v>1400.471</v>
      </c>
      <c r="S206" s="118">
        <f t="shared" si="15"/>
        <v>1400.471</v>
      </c>
      <c r="T206" s="41">
        <v>0.57899999999999996</v>
      </c>
      <c r="U206" s="41">
        <v>84.489000000000004</v>
      </c>
      <c r="V206" s="41">
        <v>576.16800000000001</v>
      </c>
      <c r="W206" s="41">
        <v>66.965000000000003</v>
      </c>
      <c r="X206" s="41">
        <v>112.66800000000001</v>
      </c>
      <c r="Y206" s="41">
        <v>32.536999999999999</v>
      </c>
      <c r="Z206" s="41">
        <v>304.959</v>
      </c>
      <c r="AA206" s="41">
        <v>135.81800000000001</v>
      </c>
      <c r="AB206" s="41">
        <v>28</v>
      </c>
      <c r="AC206" s="41">
        <v>5.9530000000000003</v>
      </c>
      <c r="AD206" s="41">
        <v>43.475999999999999</v>
      </c>
      <c r="AE206" s="41">
        <v>8.859</v>
      </c>
      <c r="AG206" s="165"/>
    </row>
    <row r="207" spans="1:39" s="34" customFormat="1" ht="16.25" customHeight="1" x14ac:dyDescent="0.4">
      <c r="A207" s="36" t="s">
        <v>1284</v>
      </c>
      <c r="B207" s="36" t="s">
        <v>1263</v>
      </c>
      <c r="C207" s="36" t="s">
        <v>1267</v>
      </c>
      <c r="D207" s="32" t="s">
        <v>1271</v>
      </c>
      <c r="E207" s="15" t="s">
        <v>759</v>
      </c>
      <c r="F207" s="244" t="s">
        <v>1276</v>
      </c>
      <c r="G207" s="37">
        <v>1361.7</v>
      </c>
      <c r="H207" s="39">
        <v>1361.7</v>
      </c>
      <c r="I207" s="39">
        <v>1357.3377</v>
      </c>
      <c r="J207" s="39">
        <v>1357.3377</v>
      </c>
      <c r="K207" s="39">
        <v>3690</v>
      </c>
      <c r="L207" s="39">
        <v>3690</v>
      </c>
      <c r="M207" s="39">
        <v>3690</v>
      </c>
      <c r="N207" s="39">
        <v>2419.2000000000003</v>
      </c>
      <c r="O207" s="165">
        <v>2180</v>
      </c>
      <c r="P207" s="165">
        <v>1688.9079999999999</v>
      </c>
      <c r="Q207" s="165">
        <v>1656.056</v>
      </c>
      <c r="R207" s="165">
        <v>1747.93</v>
      </c>
      <c r="S207" s="118">
        <f t="shared" si="15"/>
        <v>1747.93</v>
      </c>
      <c r="T207" s="41">
        <v>0</v>
      </c>
      <c r="U207" s="41">
        <v>0</v>
      </c>
      <c r="V207" s="41">
        <v>47.616999999999997</v>
      </c>
      <c r="W207" s="41">
        <v>-0.56899999999999995</v>
      </c>
      <c r="X207" s="41">
        <v>31.91</v>
      </c>
      <c r="Y207" s="41">
        <v>290.15100000000001</v>
      </c>
      <c r="Z207" s="41">
        <v>7.7640000000000002</v>
      </c>
      <c r="AA207" s="41">
        <v>77.5</v>
      </c>
      <c r="AB207" s="41">
        <v>380.52699999999999</v>
      </c>
      <c r="AC207" s="41">
        <v>64.016000000000005</v>
      </c>
      <c r="AD207" s="41">
        <v>47.756</v>
      </c>
      <c r="AE207" s="41">
        <v>801.25800000000004</v>
      </c>
      <c r="AG207" s="165"/>
    </row>
    <row r="208" spans="1:39" s="34" customFormat="1" ht="16.25" customHeight="1" x14ac:dyDescent="0.4">
      <c r="A208" s="36"/>
      <c r="B208" s="36" t="s">
        <v>1263</v>
      </c>
      <c r="C208" s="36" t="s">
        <v>1267</v>
      </c>
      <c r="D208" s="32" t="s">
        <v>1274</v>
      </c>
      <c r="E208" s="36" t="s">
        <v>769</v>
      </c>
      <c r="F208" s="246" t="s">
        <v>1179</v>
      </c>
      <c r="G208" s="37"/>
      <c r="H208" s="37"/>
      <c r="I208" s="37">
        <v>807.53399999999999</v>
      </c>
      <c r="J208" s="37">
        <v>807.53399999999999</v>
      </c>
      <c r="K208" s="37">
        <v>824.41099999999994</v>
      </c>
      <c r="L208" s="37">
        <v>824.41099999999994</v>
      </c>
      <c r="M208" s="37">
        <v>824.41099999999994</v>
      </c>
      <c r="N208" s="37">
        <v>789.41399999999999</v>
      </c>
      <c r="O208" s="165">
        <v>795</v>
      </c>
      <c r="P208" s="165">
        <v>515.36199999999997</v>
      </c>
      <c r="Q208" s="165">
        <v>500.98900000000003</v>
      </c>
      <c r="R208" s="165">
        <v>484.14300000000003</v>
      </c>
      <c r="S208" s="118">
        <f t="shared" si="15"/>
        <v>484.14300000000003</v>
      </c>
      <c r="T208" s="41">
        <v>0</v>
      </c>
      <c r="U208" s="41">
        <v>0</v>
      </c>
      <c r="V208" s="41">
        <v>0</v>
      </c>
      <c r="W208" s="41">
        <v>0</v>
      </c>
      <c r="X208" s="41">
        <v>0.21</v>
      </c>
      <c r="Y208" s="41">
        <v>13.317</v>
      </c>
      <c r="Z208" s="41">
        <v>4.3620000000000001</v>
      </c>
      <c r="AA208" s="41">
        <v>0</v>
      </c>
      <c r="AB208" s="41">
        <v>78.031000000000006</v>
      </c>
      <c r="AC208" s="41">
        <v>380.68400000000003</v>
      </c>
      <c r="AD208" s="41">
        <v>0.26800000000000002</v>
      </c>
      <c r="AE208" s="41">
        <v>7.2709999999999999</v>
      </c>
      <c r="AG208" s="165"/>
    </row>
    <row r="209" spans="1:33" s="34" customFormat="1" ht="16.25" customHeight="1" x14ac:dyDescent="0.4">
      <c r="A209" s="36"/>
      <c r="B209" s="36" t="s">
        <v>1263</v>
      </c>
      <c r="C209" s="36" t="s">
        <v>1267</v>
      </c>
      <c r="D209" s="32" t="s">
        <v>1270</v>
      </c>
      <c r="E209" s="15" t="s">
        <v>771</v>
      </c>
      <c r="F209" s="244" t="s">
        <v>1275</v>
      </c>
      <c r="G209" s="47">
        <v>1458</v>
      </c>
      <c r="H209" s="39">
        <v>1458</v>
      </c>
      <c r="I209" s="39">
        <v>1392.3</v>
      </c>
      <c r="J209" s="39">
        <v>1392.3</v>
      </c>
      <c r="K209" s="39">
        <v>1392.3</v>
      </c>
      <c r="L209" s="39">
        <v>1392.3</v>
      </c>
      <c r="M209" s="39">
        <v>1392.3</v>
      </c>
      <c r="N209" s="39">
        <v>900</v>
      </c>
      <c r="O209" s="165">
        <v>906</v>
      </c>
      <c r="P209" s="165">
        <v>921.03210000000001</v>
      </c>
      <c r="Q209" s="165">
        <v>1199.9370000000001</v>
      </c>
      <c r="R209" s="165">
        <v>1151.8489999999999</v>
      </c>
      <c r="S209" s="118">
        <f t="shared" si="15"/>
        <v>1151.8489999999999</v>
      </c>
      <c r="T209" s="41">
        <v>0</v>
      </c>
      <c r="U209" s="41">
        <v>0</v>
      </c>
      <c r="V209" s="41">
        <v>0</v>
      </c>
      <c r="W209" s="41">
        <v>0</v>
      </c>
      <c r="X209" s="41">
        <v>0</v>
      </c>
      <c r="Y209" s="41">
        <v>5.2949999999999999</v>
      </c>
      <c r="Z209" s="41">
        <v>42.744999999999997</v>
      </c>
      <c r="AA209" s="41">
        <v>0</v>
      </c>
      <c r="AB209" s="41">
        <v>0</v>
      </c>
      <c r="AC209" s="41">
        <v>94.471000000000004</v>
      </c>
      <c r="AD209" s="41">
        <v>0</v>
      </c>
      <c r="AE209" s="41">
        <v>1009.338</v>
      </c>
      <c r="AG209" s="165"/>
    </row>
    <row r="210" spans="1:33" s="34" customFormat="1" ht="16.25" customHeight="1" x14ac:dyDescent="0.4">
      <c r="A210" s="36"/>
      <c r="B210" s="36" t="s">
        <v>1263</v>
      </c>
      <c r="C210" s="36" t="s">
        <v>1267</v>
      </c>
      <c r="D210" s="32" t="s">
        <v>1271</v>
      </c>
      <c r="E210" s="15" t="s">
        <v>774</v>
      </c>
      <c r="F210" s="244" t="s">
        <v>1185</v>
      </c>
      <c r="G210" s="37">
        <v>1000</v>
      </c>
      <c r="H210" s="39">
        <v>1000</v>
      </c>
      <c r="I210" s="39">
        <v>720</v>
      </c>
      <c r="J210" s="39">
        <v>810</v>
      </c>
      <c r="K210" s="39">
        <v>826.92</v>
      </c>
      <c r="L210" s="39">
        <v>500</v>
      </c>
      <c r="M210" s="39">
        <v>495</v>
      </c>
      <c r="N210" s="39">
        <v>429.41170000000005</v>
      </c>
      <c r="O210" s="165">
        <v>429.41170000000005</v>
      </c>
      <c r="P210" s="165">
        <v>385.10899999999998</v>
      </c>
      <c r="Q210" s="165">
        <v>364.154</v>
      </c>
      <c r="R210" s="165">
        <v>344.35399999999998</v>
      </c>
      <c r="S210" s="118">
        <f t="shared" si="15"/>
        <v>344.35399999999998</v>
      </c>
      <c r="T210" s="41">
        <v>0</v>
      </c>
      <c r="U210" s="41">
        <v>0</v>
      </c>
      <c r="V210" s="41">
        <v>0</v>
      </c>
      <c r="W210" s="41">
        <v>0</v>
      </c>
      <c r="X210" s="41">
        <v>9.84</v>
      </c>
      <c r="Y210" s="41">
        <v>207.07</v>
      </c>
      <c r="Z210" s="41">
        <v>12.103</v>
      </c>
      <c r="AA210" s="41">
        <v>82.385000000000005</v>
      </c>
      <c r="AB210" s="41">
        <v>10.585000000000001</v>
      </c>
      <c r="AC210" s="41">
        <v>9.7390000000000008</v>
      </c>
      <c r="AD210" s="41">
        <v>0</v>
      </c>
      <c r="AE210" s="41">
        <v>12.632</v>
      </c>
      <c r="AG210" s="165"/>
    </row>
    <row r="211" spans="1:33" s="34" customFormat="1" ht="16.25" customHeight="1" x14ac:dyDescent="0.4">
      <c r="A211" s="36"/>
      <c r="B211" s="36" t="s">
        <v>1263</v>
      </c>
      <c r="C211" s="36" t="s">
        <v>1267</v>
      </c>
      <c r="D211" s="32" t="s">
        <v>1270</v>
      </c>
      <c r="E211" s="15" t="s">
        <v>779</v>
      </c>
      <c r="F211" s="244" t="s">
        <v>1276</v>
      </c>
      <c r="G211" s="39">
        <v>2000</v>
      </c>
      <c r="H211" s="39">
        <v>3000</v>
      </c>
      <c r="I211" s="39">
        <v>3701.25</v>
      </c>
      <c r="J211" s="39">
        <v>3701.25</v>
      </c>
      <c r="K211" s="39">
        <v>2610</v>
      </c>
      <c r="L211" s="39">
        <v>2610</v>
      </c>
      <c r="M211" s="39">
        <v>0</v>
      </c>
      <c r="N211" s="39">
        <v>44</v>
      </c>
      <c r="O211" s="165">
        <v>43</v>
      </c>
      <c r="P211" s="165">
        <v>45.121000000000002</v>
      </c>
      <c r="Q211" s="165">
        <v>45.120999999999981</v>
      </c>
      <c r="R211" s="165">
        <v>45.120999999999981</v>
      </c>
      <c r="S211" s="118">
        <f t="shared" si="15"/>
        <v>45.120999999999981</v>
      </c>
      <c r="T211" s="41">
        <v>0</v>
      </c>
      <c r="U211" s="41">
        <v>0</v>
      </c>
      <c r="V211" s="41">
        <v>0</v>
      </c>
      <c r="W211" s="41">
        <v>0</v>
      </c>
      <c r="X211" s="41">
        <v>1.9890000000000001</v>
      </c>
      <c r="Y211" s="41">
        <v>217.31299999999999</v>
      </c>
      <c r="Z211" s="34">
        <v>0</v>
      </c>
      <c r="AA211" s="41">
        <v>-174.18100000000001</v>
      </c>
      <c r="AB211" s="41">
        <v>0</v>
      </c>
      <c r="AC211" s="41">
        <v>0</v>
      </c>
      <c r="AD211" s="41">
        <v>0</v>
      </c>
      <c r="AE211" s="41">
        <v>0</v>
      </c>
      <c r="AG211" s="165"/>
    </row>
    <row r="212" spans="1:33" s="34" customFormat="1" ht="16.25" customHeight="1" x14ac:dyDescent="0.4">
      <c r="A212" s="36"/>
      <c r="B212" s="36" t="s">
        <v>1263</v>
      </c>
      <c r="C212" s="36" t="s">
        <v>1267</v>
      </c>
      <c r="D212" s="32" t="s">
        <v>1271</v>
      </c>
      <c r="E212" s="15" t="s">
        <v>789</v>
      </c>
      <c r="F212" s="244" t="s">
        <v>1185</v>
      </c>
      <c r="G212" s="39">
        <v>360</v>
      </c>
      <c r="H212" s="39">
        <v>360</v>
      </c>
      <c r="I212" s="39">
        <v>360</v>
      </c>
      <c r="J212" s="39">
        <v>990</v>
      </c>
      <c r="K212" s="39">
        <v>1080</v>
      </c>
      <c r="L212" s="39">
        <v>1080</v>
      </c>
      <c r="M212" s="39">
        <v>1080</v>
      </c>
      <c r="N212" s="39">
        <v>1098</v>
      </c>
      <c r="O212" s="165">
        <v>649.80000000000007</v>
      </c>
      <c r="P212" s="165">
        <v>367.82650000000001</v>
      </c>
      <c r="Q212" s="165">
        <v>348.935</v>
      </c>
      <c r="R212" s="165">
        <v>346.37899999999996</v>
      </c>
      <c r="S212" s="118">
        <f t="shared" si="15"/>
        <v>346.37899999999996</v>
      </c>
      <c r="T212" s="41">
        <v>0</v>
      </c>
      <c r="U212" s="41">
        <v>0</v>
      </c>
      <c r="V212" s="41">
        <v>0</v>
      </c>
      <c r="W212" s="41">
        <v>0</v>
      </c>
      <c r="X212" s="41">
        <v>0</v>
      </c>
      <c r="Y212" s="41">
        <v>1.2250000000000001</v>
      </c>
      <c r="Z212" s="41">
        <v>0</v>
      </c>
      <c r="AA212" s="41">
        <v>38.113</v>
      </c>
      <c r="AB212" s="41">
        <v>213.55799999999999</v>
      </c>
      <c r="AC212" s="41">
        <v>17.405999999999999</v>
      </c>
      <c r="AD212" s="41">
        <v>52.158000000000001</v>
      </c>
      <c r="AE212" s="41">
        <v>23.919</v>
      </c>
      <c r="AG212" s="165"/>
    </row>
    <row r="213" spans="1:33" s="34" customFormat="1" ht="16.25" customHeight="1" x14ac:dyDescent="0.4">
      <c r="A213" s="36"/>
      <c r="B213" s="36" t="s">
        <v>1263</v>
      </c>
      <c r="C213" s="36" t="s">
        <v>1267</v>
      </c>
      <c r="D213" s="32" t="s">
        <v>1270</v>
      </c>
      <c r="E213" s="15" t="s">
        <v>794</v>
      </c>
      <c r="F213" s="244" t="s">
        <v>1276</v>
      </c>
      <c r="G213" s="39"/>
      <c r="H213" s="39"/>
      <c r="I213" s="39">
        <v>0</v>
      </c>
      <c r="J213" s="39">
        <v>2000</v>
      </c>
      <c r="K213" s="39">
        <v>3300</v>
      </c>
      <c r="L213" s="39">
        <v>3300</v>
      </c>
      <c r="M213" s="39">
        <v>3300</v>
      </c>
      <c r="N213" s="39">
        <v>3357</v>
      </c>
      <c r="O213" s="165">
        <v>3375</v>
      </c>
      <c r="P213" s="165">
        <v>2414.6619999999998</v>
      </c>
      <c r="Q213" s="165">
        <v>2553.1310000000003</v>
      </c>
      <c r="R213" s="165">
        <v>2702.11</v>
      </c>
      <c r="S213" s="118">
        <f t="shared" si="15"/>
        <v>2702.11</v>
      </c>
      <c r="T213" s="41">
        <v>0</v>
      </c>
      <c r="U213" s="41">
        <v>0</v>
      </c>
      <c r="V213" s="41">
        <v>0</v>
      </c>
      <c r="W213" s="41">
        <v>0</v>
      </c>
      <c r="X213" s="41">
        <v>117.80500000000001</v>
      </c>
      <c r="Y213" s="41">
        <v>4.9930000000000003</v>
      </c>
      <c r="Z213" s="41">
        <v>34.225999999999999</v>
      </c>
      <c r="AA213" s="41">
        <v>537.23500000000001</v>
      </c>
      <c r="AB213" s="41">
        <v>460.92099999999999</v>
      </c>
      <c r="AC213" s="41">
        <v>314.67099999999999</v>
      </c>
      <c r="AD213" s="41">
        <v>429.39299999999997</v>
      </c>
      <c r="AE213" s="41">
        <v>802.86599999999999</v>
      </c>
      <c r="AG213" s="165"/>
    </row>
    <row r="214" spans="1:33" s="34" customFormat="1" ht="16.25" customHeight="1" x14ac:dyDescent="0.4">
      <c r="A214" s="36"/>
      <c r="B214" s="36" t="s">
        <v>1263</v>
      </c>
      <c r="C214" s="36" t="s">
        <v>1267</v>
      </c>
      <c r="D214" s="32" t="s">
        <v>1271</v>
      </c>
      <c r="E214" s="15" t="s">
        <v>797</v>
      </c>
      <c r="F214" s="244" t="s">
        <v>1276</v>
      </c>
      <c r="G214" s="37">
        <v>800</v>
      </c>
      <c r="H214" s="39">
        <v>800</v>
      </c>
      <c r="I214" s="39">
        <v>1000</v>
      </c>
      <c r="J214" s="39">
        <v>1000</v>
      </c>
      <c r="K214" s="39">
        <v>1000</v>
      </c>
      <c r="L214" s="39">
        <v>990</v>
      </c>
      <c r="M214" s="39">
        <v>990</v>
      </c>
      <c r="N214" s="39">
        <v>1006.521</v>
      </c>
      <c r="O214" s="165">
        <v>600</v>
      </c>
      <c r="P214" s="165">
        <v>358.45319999999998</v>
      </c>
      <c r="Q214" s="165">
        <v>358.30700000000002</v>
      </c>
      <c r="R214" s="165">
        <v>346.38599999999997</v>
      </c>
      <c r="S214" s="118">
        <f t="shared" si="15"/>
        <v>346.38599999999997</v>
      </c>
      <c r="T214" s="41">
        <v>0</v>
      </c>
      <c r="U214" s="41">
        <v>0</v>
      </c>
      <c r="V214" s="41">
        <v>0</v>
      </c>
      <c r="W214" s="41">
        <v>0</v>
      </c>
      <c r="X214" s="41">
        <v>0</v>
      </c>
      <c r="Y214" s="41">
        <v>27.597999999999999</v>
      </c>
      <c r="Z214" s="41">
        <v>0</v>
      </c>
      <c r="AA214" s="41">
        <v>0</v>
      </c>
      <c r="AB214" s="41">
        <v>44.978999999999999</v>
      </c>
      <c r="AC214" s="41">
        <v>87.418000000000006</v>
      </c>
      <c r="AD214" s="41">
        <v>92.123999999999995</v>
      </c>
      <c r="AE214" s="41">
        <v>94.266999999999996</v>
      </c>
      <c r="AG214" s="165"/>
    </row>
    <row r="215" spans="1:33" s="34" customFormat="1" ht="16.25" customHeight="1" x14ac:dyDescent="0.4">
      <c r="A215" s="36"/>
      <c r="B215" s="36" t="s">
        <v>1263</v>
      </c>
      <c r="C215" s="36" t="s">
        <v>1267</v>
      </c>
      <c r="D215" s="36" t="s">
        <v>1272</v>
      </c>
      <c r="E215" s="15" t="s">
        <v>806</v>
      </c>
      <c r="F215" s="244" t="s">
        <v>1185</v>
      </c>
      <c r="G215" s="45">
        <v>800</v>
      </c>
      <c r="H215" s="39">
        <v>800</v>
      </c>
      <c r="I215" s="39">
        <v>800</v>
      </c>
      <c r="J215" s="39">
        <v>800</v>
      </c>
      <c r="K215" s="39">
        <v>800</v>
      </c>
      <c r="L215" s="39">
        <v>1500</v>
      </c>
      <c r="M215" s="39">
        <v>1500</v>
      </c>
      <c r="N215" s="39">
        <v>1524.6000000000001</v>
      </c>
      <c r="O215" s="165">
        <v>1536</v>
      </c>
      <c r="P215" s="165">
        <v>1535.6</v>
      </c>
      <c r="Q215" s="165">
        <v>1949.1759999999999</v>
      </c>
      <c r="R215" s="165">
        <v>1968.5170000000001</v>
      </c>
      <c r="S215" s="118">
        <f t="shared" si="15"/>
        <v>1968.5170000000001</v>
      </c>
      <c r="T215" s="41">
        <v>0</v>
      </c>
      <c r="U215" s="41">
        <v>0</v>
      </c>
      <c r="V215" s="41">
        <v>0</v>
      </c>
      <c r="W215" s="41">
        <v>0</v>
      </c>
      <c r="X215" s="41">
        <v>0</v>
      </c>
      <c r="Y215" s="41">
        <v>0</v>
      </c>
      <c r="Z215" s="41">
        <v>0</v>
      </c>
      <c r="AA215" s="41">
        <v>0</v>
      </c>
      <c r="AB215" s="41">
        <v>51.643000000000001</v>
      </c>
      <c r="AC215" s="41">
        <v>33.094000000000001</v>
      </c>
      <c r="AD215" s="41">
        <v>470.04</v>
      </c>
      <c r="AE215" s="41">
        <v>1413.74</v>
      </c>
      <c r="AG215" s="165"/>
    </row>
    <row r="216" spans="1:33" s="34" customFormat="1" ht="16.25" customHeight="1" x14ac:dyDescent="0.4">
      <c r="A216" s="36"/>
      <c r="B216" s="36" t="s">
        <v>1263</v>
      </c>
      <c r="C216" s="36" t="s">
        <v>1267</v>
      </c>
      <c r="D216" s="32" t="s">
        <v>1271</v>
      </c>
      <c r="E216" s="15" t="s">
        <v>813</v>
      </c>
      <c r="F216" s="244" t="s">
        <v>1276</v>
      </c>
      <c r="G216" s="37">
        <v>750</v>
      </c>
      <c r="H216" s="39">
        <v>750</v>
      </c>
      <c r="I216" s="39">
        <v>750</v>
      </c>
      <c r="J216" s="39">
        <v>750</v>
      </c>
      <c r="K216" s="39">
        <v>750</v>
      </c>
      <c r="L216" s="39">
        <v>750</v>
      </c>
      <c r="M216" s="39">
        <v>750</v>
      </c>
      <c r="N216" s="39">
        <v>750</v>
      </c>
      <c r="O216" s="165">
        <v>750</v>
      </c>
      <c r="P216" s="165">
        <v>13.114000000000001</v>
      </c>
      <c r="Q216" s="165">
        <v>13.114000000000001</v>
      </c>
      <c r="R216" s="165">
        <v>14.112999999999992</v>
      </c>
      <c r="S216" s="118">
        <f t="shared" si="15"/>
        <v>14.112999999999992</v>
      </c>
      <c r="T216" s="41">
        <v>0</v>
      </c>
      <c r="U216" s="41">
        <v>0</v>
      </c>
      <c r="V216" s="41">
        <v>0</v>
      </c>
      <c r="W216" s="41">
        <v>0</v>
      </c>
      <c r="X216" s="41">
        <v>0</v>
      </c>
      <c r="Y216" s="41">
        <v>0</v>
      </c>
      <c r="Z216" s="41">
        <v>0</v>
      </c>
      <c r="AA216" s="41">
        <v>21.541</v>
      </c>
      <c r="AB216" s="41">
        <v>17.353999999999999</v>
      </c>
      <c r="AC216" s="41">
        <v>12.145</v>
      </c>
      <c r="AD216" s="41">
        <v>-36.927</v>
      </c>
      <c r="AE216" s="41">
        <v>0</v>
      </c>
      <c r="AG216" s="165"/>
    </row>
    <row r="217" spans="1:33" s="34" customFormat="1" ht="16.25" customHeight="1" x14ac:dyDescent="0.4">
      <c r="A217" s="36"/>
      <c r="B217" s="36" t="s">
        <v>1263</v>
      </c>
      <c r="C217" s="36" t="s">
        <v>1267</v>
      </c>
      <c r="D217" s="32" t="s">
        <v>1270</v>
      </c>
      <c r="E217" s="15" t="s">
        <v>819</v>
      </c>
      <c r="F217" s="244" t="s">
        <v>1275</v>
      </c>
      <c r="G217" s="39"/>
      <c r="H217" s="39">
        <v>0</v>
      </c>
      <c r="I217" s="39">
        <v>0</v>
      </c>
      <c r="J217" s="39">
        <v>0</v>
      </c>
      <c r="K217" s="39">
        <v>0</v>
      </c>
      <c r="L217" s="39">
        <v>0</v>
      </c>
      <c r="M217" s="39">
        <v>900</v>
      </c>
      <c r="N217" s="39">
        <v>915.30000000000007</v>
      </c>
      <c r="O217" s="165">
        <v>1066</v>
      </c>
      <c r="P217" s="165">
        <v>754</v>
      </c>
      <c r="Q217" s="165">
        <v>756.05799999999999</v>
      </c>
      <c r="R217" s="165">
        <v>840.10900000000004</v>
      </c>
      <c r="S217" s="118">
        <f t="shared" si="15"/>
        <v>840.10900000000004</v>
      </c>
      <c r="T217" s="41">
        <v>0</v>
      </c>
      <c r="U217" s="41">
        <v>0</v>
      </c>
      <c r="V217" s="41">
        <v>0</v>
      </c>
      <c r="W217" s="41">
        <v>0</v>
      </c>
      <c r="X217" s="41">
        <v>0</v>
      </c>
      <c r="Y217" s="41">
        <v>0</v>
      </c>
      <c r="Z217" s="41">
        <v>0</v>
      </c>
      <c r="AA217" s="41">
        <v>187.09700000000001</v>
      </c>
      <c r="AB217" s="41">
        <v>119.242</v>
      </c>
      <c r="AC217" s="41">
        <v>1.3080000000000001</v>
      </c>
      <c r="AD217" s="41">
        <v>443.084</v>
      </c>
      <c r="AE217" s="41">
        <v>89.378</v>
      </c>
      <c r="AG217" s="165"/>
    </row>
    <row r="218" spans="1:33" s="34" customFormat="1" ht="16.25" customHeight="1" x14ac:dyDescent="0.4">
      <c r="A218" s="36"/>
      <c r="B218" s="36" t="s">
        <v>1263</v>
      </c>
      <c r="C218" s="36" t="s">
        <v>1267</v>
      </c>
      <c r="D218" s="32" t="s">
        <v>1271</v>
      </c>
      <c r="E218" s="15" t="s">
        <v>822</v>
      </c>
      <c r="F218" s="244" t="s">
        <v>1275</v>
      </c>
      <c r="G218" s="37"/>
      <c r="H218" s="39"/>
      <c r="I218" s="39"/>
      <c r="J218" s="39"/>
      <c r="K218" s="39"/>
      <c r="L218" s="39">
        <v>400</v>
      </c>
      <c r="M218" s="39">
        <v>423</v>
      </c>
      <c r="N218" s="39">
        <v>423</v>
      </c>
      <c r="O218" s="165">
        <v>423</v>
      </c>
      <c r="P218" s="165">
        <v>-67.150999999999996</v>
      </c>
      <c r="Q218" s="165">
        <v>0</v>
      </c>
      <c r="R218" s="165">
        <v>0</v>
      </c>
      <c r="S218" s="165">
        <f t="shared" si="15"/>
        <v>0</v>
      </c>
      <c r="T218" s="41">
        <v>0</v>
      </c>
      <c r="U218" s="41">
        <v>0</v>
      </c>
      <c r="V218" s="41">
        <v>0</v>
      </c>
      <c r="W218" s="41">
        <v>0</v>
      </c>
      <c r="X218" s="41">
        <v>0</v>
      </c>
      <c r="Y218" s="41">
        <v>0</v>
      </c>
      <c r="Z218" s="41">
        <v>0</v>
      </c>
      <c r="AA218" s="41">
        <v>0</v>
      </c>
      <c r="AB218" s="41">
        <v>0</v>
      </c>
      <c r="AC218" s="41">
        <v>0</v>
      </c>
      <c r="AD218" s="41">
        <v>0</v>
      </c>
      <c r="AE218" s="41">
        <v>0</v>
      </c>
    </row>
    <row r="219" spans="1:33" s="34" customFormat="1" ht="16.25" customHeight="1" x14ac:dyDescent="0.4">
      <c r="A219" s="36"/>
      <c r="B219" s="36" t="s">
        <v>1263</v>
      </c>
      <c r="C219" s="36" t="s">
        <v>1267</v>
      </c>
      <c r="D219" s="32" t="s">
        <v>1274</v>
      </c>
      <c r="E219" s="15" t="s">
        <v>826</v>
      </c>
      <c r="F219" s="244" t="s">
        <v>1185</v>
      </c>
      <c r="G219" s="39"/>
      <c r="H219" s="118"/>
      <c r="I219" s="118"/>
      <c r="J219" s="118"/>
      <c r="K219" s="118"/>
      <c r="L219" s="118">
        <v>11160</v>
      </c>
      <c r="M219" s="118">
        <v>11160</v>
      </c>
      <c r="N219" s="118">
        <v>6219</v>
      </c>
      <c r="O219" s="165">
        <v>6210</v>
      </c>
      <c r="P219" s="165">
        <v>3816</v>
      </c>
      <c r="Q219" s="165">
        <v>4124.1790000000001</v>
      </c>
      <c r="R219" s="165">
        <v>4046.643</v>
      </c>
      <c r="S219" s="118">
        <f t="shared" si="15"/>
        <v>4046.643</v>
      </c>
      <c r="T219" s="41">
        <v>0</v>
      </c>
      <c r="U219" s="41">
        <v>0</v>
      </c>
      <c r="V219" s="41">
        <v>0</v>
      </c>
      <c r="W219" s="41">
        <v>0</v>
      </c>
      <c r="X219" s="41">
        <v>0</v>
      </c>
      <c r="Y219" s="41">
        <v>0</v>
      </c>
      <c r="Z219" s="41">
        <v>0</v>
      </c>
      <c r="AA219" s="41">
        <v>444.81099999999998</v>
      </c>
      <c r="AB219" s="41">
        <v>96.426000000000002</v>
      </c>
      <c r="AC219" s="41">
        <v>1713.2190000000001</v>
      </c>
      <c r="AD219" s="41">
        <v>69.846000000000004</v>
      </c>
      <c r="AE219" s="41">
        <v>1722.3409999999999</v>
      </c>
      <c r="AG219" s="165"/>
    </row>
    <row r="220" spans="1:33" s="34" customFormat="1" ht="16.25" customHeight="1" x14ac:dyDescent="0.4">
      <c r="A220" s="36" t="s">
        <v>1279</v>
      </c>
      <c r="B220" s="36" t="s">
        <v>1263</v>
      </c>
      <c r="C220" s="36" t="s">
        <v>1267</v>
      </c>
      <c r="D220" s="32" t="s">
        <v>1274</v>
      </c>
      <c r="E220" s="15" t="s">
        <v>830</v>
      </c>
      <c r="F220" s="246" t="s">
        <v>1179</v>
      </c>
      <c r="G220" s="37"/>
      <c r="H220" s="37"/>
      <c r="I220" s="37">
        <v>336.61700000000002</v>
      </c>
      <c r="J220" s="37">
        <v>336.61700000000002</v>
      </c>
      <c r="K220" s="37">
        <v>367.92899999999997</v>
      </c>
      <c r="L220" s="37">
        <v>323.87247687900003</v>
      </c>
      <c r="M220" s="37">
        <v>323.87247687900003</v>
      </c>
      <c r="N220" s="37">
        <v>375.52600000000001</v>
      </c>
      <c r="O220" s="165">
        <v>211</v>
      </c>
      <c r="P220" s="165">
        <v>81.043000000000006</v>
      </c>
      <c r="Q220" s="165">
        <v>188.452</v>
      </c>
      <c r="R220" s="165">
        <v>188.452</v>
      </c>
      <c r="S220" s="118">
        <f t="shared" si="15"/>
        <v>188.452</v>
      </c>
      <c r="T220" s="41">
        <v>13.548</v>
      </c>
      <c r="U220" s="41">
        <v>50.067</v>
      </c>
      <c r="V220" s="41">
        <v>19.501999999999999</v>
      </c>
      <c r="W220" s="41">
        <v>25.116</v>
      </c>
      <c r="X220" s="41">
        <v>15.41</v>
      </c>
      <c r="Y220" s="41">
        <v>61.808999999999997</v>
      </c>
      <c r="Z220" s="41">
        <v>0</v>
      </c>
      <c r="AA220" s="41">
        <v>0</v>
      </c>
      <c r="AB220" s="41">
        <v>3</v>
      </c>
      <c r="AC220" s="41">
        <v>0</v>
      </c>
      <c r="AD220" s="41">
        <v>0</v>
      </c>
      <c r="AE220" s="41">
        <v>0</v>
      </c>
      <c r="AG220" s="165"/>
    </row>
    <row r="221" spans="1:33" s="34" customFormat="1" ht="16.25" customHeight="1" x14ac:dyDescent="0.4">
      <c r="A221" s="36" t="s">
        <v>1280</v>
      </c>
      <c r="B221" s="36" t="s">
        <v>1263</v>
      </c>
      <c r="C221" s="36" t="s">
        <v>1267</v>
      </c>
      <c r="D221" s="32" t="s">
        <v>1274</v>
      </c>
      <c r="E221" s="15" t="s">
        <v>831</v>
      </c>
      <c r="F221" s="246" t="s">
        <v>1179</v>
      </c>
      <c r="G221" s="37"/>
      <c r="H221" s="37"/>
      <c r="I221" s="37">
        <v>227.13300000000001</v>
      </c>
      <c r="J221" s="37">
        <v>227.13300000000001</v>
      </c>
      <c r="K221" s="37">
        <v>189.209</v>
      </c>
      <c r="L221" s="37">
        <v>189.209</v>
      </c>
      <c r="M221" s="37">
        <v>189.209</v>
      </c>
      <c r="N221" s="37">
        <v>191.43200000000002</v>
      </c>
      <c r="O221" s="165">
        <v>133.16200000000001</v>
      </c>
      <c r="P221" s="165">
        <v>133.16200000000001</v>
      </c>
      <c r="Q221" s="165">
        <v>133.16200000000001</v>
      </c>
      <c r="R221" s="165">
        <v>133.155</v>
      </c>
      <c r="S221" s="118">
        <f t="shared" si="15"/>
        <v>133.155</v>
      </c>
      <c r="T221" s="41">
        <v>16.23</v>
      </c>
      <c r="U221" s="41">
        <v>6.7949999999999999</v>
      </c>
      <c r="V221" s="41">
        <v>0</v>
      </c>
      <c r="W221" s="41">
        <v>0</v>
      </c>
      <c r="X221" s="41">
        <v>109.958</v>
      </c>
      <c r="Y221" s="41">
        <v>0.17899999999999999</v>
      </c>
      <c r="Z221" s="41">
        <v>0</v>
      </c>
      <c r="AA221" s="41">
        <v>0</v>
      </c>
      <c r="AB221" s="41">
        <v>0</v>
      </c>
      <c r="AC221" s="41">
        <f>-7/1000</f>
        <v>-7.0000000000000001E-3</v>
      </c>
      <c r="AD221" s="41">
        <v>0</v>
      </c>
      <c r="AE221" s="41">
        <v>0</v>
      </c>
      <c r="AG221" s="165"/>
    </row>
    <row r="222" spans="1:33" s="34" customFormat="1" ht="16.25" customHeight="1" x14ac:dyDescent="0.4">
      <c r="A222" s="36" t="s">
        <v>1286</v>
      </c>
      <c r="B222" s="36" t="s">
        <v>1263</v>
      </c>
      <c r="C222" s="36" t="s">
        <v>1267</v>
      </c>
      <c r="D222" s="32" t="s">
        <v>1274</v>
      </c>
      <c r="E222" s="15" t="s">
        <v>833</v>
      </c>
      <c r="F222" s="246" t="s">
        <v>1179</v>
      </c>
      <c r="G222" s="37"/>
      <c r="H222" s="37"/>
      <c r="I222" s="37"/>
      <c r="J222" s="37">
        <v>7.0000000000000001E-3</v>
      </c>
      <c r="K222" s="37">
        <v>7.0000000000000001E-3</v>
      </c>
      <c r="L222" s="37">
        <v>7.0000000000000001E-3</v>
      </c>
      <c r="M222" s="37">
        <v>7.0000000000000001E-3</v>
      </c>
      <c r="N222" s="37">
        <v>7.0000000000000001E-3</v>
      </c>
      <c r="O222" s="165">
        <v>7.0000000000000001E-3</v>
      </c>
      <c r="P222" s="165">
        <v>7.0000000000000001E-3</v>
      </c>
      <c r="Q222" s="165">
        <v>7.0000000000000001E-3</v>
      </c>
      <c r="R222" s="165">
        <v>7.0000000000000001E-3</v>
      </c>
      <c r="S222" s="118">
        <f t="shared" si="15"/>
        <v>7.0000000000000001E-3</v>
      </c>
      <c r="T222" s="41">
        <v>7.0000000000000001E-3</v>
      </c>
      <c r="U222" s="41">
        <v>0</v>
      </c>
      <c r="V222" s="41">
        <v>0</v>
      </c>
      <c r="W222" s="41">
        <v>0</v>
      </c>
      <c r="X222" s="41">
        <v>0</v>
      </c>
      <c r="Y222" s="41">
        <v>0</v>
      </c>
      <c r="Z222" s="41">
        <v>0</v>
      </c>
      <c r="AA222" s="41">
        <v>0</v>
      </c>
      <c r="AB222" s="41">
        <v>0</v>
      </c>
      <c r="AC222" s="41">
        <v>0</v>
      </c>
      <c r="AD222" s="41">
        <v>0</v>
      </c>
      <c r="AE222" s="41">
        <v>0</v>
      </c>
      <c r="AG222" s="165"/>
    </row>
    <row r="223" spans="1:33" s="34" customFormat="1" ht="16.25" customHeight="1" x14ac:dyDescent="0.4">
      <c r="A223" s="36" t="s">
        <v>1278</v>
      </c>
      <c r="B223" s="36" t="s">
        <v>1263</v>
      </c>
      <c r="C223" s="36" t="s">
        <v>1267</v>
      </c>
      <c r="D223" s="32" t="s">
        <v>1274</v>
      </c>
      <c r="E223" s="15" t="s">
        <v>835</v>
      </c>
      <c r="F223" s="244" t="s">
        <v>1185</v>
      </c>
      <c r="G223" s="37">
        <v>0</v>
      </c>
      <c r="H223" s="37">
        <v>0</v>
      </c>
      <c r="I223" s="37">
        <v>289.60020000000003</v>
      </c>
      <c r="J223" s="37">
        <v>289.60020000000003</v>
      </c>
      <c r="K223" s="37">
        <v>304.21500000000003</v>
      </c>
      <c r="L223" s="37">
        <v>304.21500000000003</v>
      </c>
      <c r="M223" s="37">
        <v>304.21500000000003</v>
      </c>
      <c r="N223" s="37">
        <v>308.07599999999996</v>
      </c>
      <c r="O223" s="165">
        <v>308.07599999999996</v>
      </c>
      <c r="P223" s="165">
        <v>300.34199999999998</v>
      </c>
      <c r="Q223" s="165">
        <v>296.44099999999997</v>
      </c>
      <c r="R223" s="165">
        <v>284.49299999999999</v>
      </c>
      <c r="S223" s="118">
        <f t="shared" si="15"/>
        <v>284.49299999999999</v>
      </c>
      <c r="T223" s="41">
        <v>0</v>
      </c>
      <c r="U223" s="41">
        <v>17.207999999999998</v>
      </c>
      <c r="V223" s="41">
        <v>30.08</v>
      </c>
      <c r="W223" s="41">
        <v>4.734</v>
      </c>
      <c r="X223" s="41">
        <v>30.015999999999998</v>
      </c>
      <c r="Y223" s="41">
        <v>31.620999999999999</v>
      </c>
      <c r="Z223" s="41">
        <v>12.329000000000001</v>
      </c>
      <c r="AA223" s="41">
        <v>39.356999999999999</v>
      </c>
      <c r="AB223" s="41">
        <v>52.57</v>
      </c>
      <c r="AC223" s="41">
        <v>63.637999999999998</v>
      </c>
      <c r="AD223" s="41">
        <v>2.94</v>
      </c>
      <c r="AE223" s="41">
        <v>0</v>
      </c>
      <c r="AG223" s="165"/>
    </row>
    <row r="224" spans="1:33" s="34" customFormat="1" ht="16.25" customHeight="1" x14ac:dyDescent="0.4">
      <c r="A224" s="36" t="s">
        <v>1281</v>
      </c>
      <c r="B224" s="36" t="s">
        <v>1263</v>
      </c>
      <c r="C224" s="36" t="s">
        <v>1267</v>
      </c>
      <c r="D224" s="32" t="s">
        <v>1274</v>
      </c>
      <c r="E224" s="15" t="s">
        <v>836</v>
      </c>
      <c r="F224" s="244" t="s">
        <v>1185</v>
      </c>
      <c r="G224" s="37">
        <v>0</v>
      </c>
      <c r="H224" s="37">
        <v>0</v>
      </c>
      <c r="I224" s="37">
        <v>172.10300000000001</v>
      </c>
      <c r="J224" s="37">
        <v>172.10300000000001</v>
      </c>
      <c r="K224" s="37">
        <v>172.04599999999999</v>
      </c>
      <c r="L224" s="37">
        <v>172.04599999999999</v>
      </c>
      <c r="M224" s="37">
        <v>172.04599999999999</v>
      </c>
      <c r="N224" s="37">
        <v>172.04599999999999</v>
      </c>
      <c r="O224" s="165">
        <v>172.04599999999999</v>
      </c>
      <c r="P224" s="165">
        <v>172.04599999999999</v>
      </c>
      <c r="Q224" s="165">
        <v>172.04599999999999</v>
      </c>
      <c r="R224" s="165">
        <v>172.04599999999999</v>
      </c>
      <c r="S224" s="118">
        <f t="shared" si="15"/>
        <v>172.04599999999999</v>
      </c>
      <c r="T224" s="41">
        <v>172.04599999999999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1">
        <v>0</v>
      </c>
      <c r="AB224" s="41">
        <v>0</v>
      </c>
      <c r="AC224" s="41">
        <v>0</v>
      </c>
      <c r="AD224" s="41">
        <v>0</v>
      </c>
      <c r="AE224" s="41">
        <v>0</v>
      </c>
      <c r="AG224" s="165"/>
    </row>
    <row r="225" spans="1:33" s="34" customFormat="1" ht="16.25" customHeight="1" x14ac:dyDescent="0.4">
      <c r="A225" s="36" t="s">
        <v>1284</v>
      </c>
      <c r="B225" s="36" t="s">
        <v>1263</v>
      </c>
      <c r="C225" s="36" t="s">
        <v>1267</v>
      </c>
      <c r="D225" s="36" t="s">
        <v>1272</v>
      </c>
      <c r="E225" s="15" t="s">
        <v>838</v>
      </c>
      <c r="F225" s="244" t="s">
        <v>1276</v>
      </c>
      <c r="G225" s="45">
        <v>380.7</v>
      </c>
      <c r="H225" s="39">
        <v>380.7</v>
      </c>
      <c r="I225" s="39">
        <v>379.90800000000002</v>
      </c>
      <c r="J225" s="39">
        <v>379.90800000000002</v>
      </c>
      <c r="K225" s="39">
        <v>388.01600000000002</v>
      </c>
      <c r="L225" s="39">
        <v>388.01600000000002</v>
      </c>
      <c r="M225" s="39">
        <v>320</v>
      </c>
      <c r="N225" s="39">
        <v>320.27</v>
      </c>
      <c r="O225" s="165">
        <v>320.27</v>
      </c>
      <c r="P225" s="165">
        <v>320.43400000000003</v>
      </c>
      <c r="Q225" s="165">
        <v>319.73399999999998</v>
      </c>
      <c r="R225" s="165">
        <v>320.91699999999997</v>
      </c>
      <c r="S225" s="118">
        <f t="shared" si="15"/>
        <v>320.91699999999997</v>
      </c>
      <c r="T225" s="41">
        <v>17.629000000000001</v>
      </c>
      <c r="U225" s="41">
        <v>45.375</v>
      </c>
      <c r="V225" s="41">
        <v>213.55099999999999</v>
      </c>
      <c r="W225" s="41">
        <v>12.464</v>
      </c>
      <c r="X225" s="41">
        <v>7.1829999999999998</v>
      </c>
      <c r="Y225" s="41">
        <v>0</v>
      </c>
      <c r="Z225" s="41">
        <v>0</v>
      </c>
      <c r="AA225" s="41">
        <v>0</v>
      </c>
      <c r="AB225" s="41">
        <v>0</v>
      </c>
      <c r="AC225" s="41">
        <v>0</v>
      </c>
      <c r="AD225" s="41">
        <v>24.715</v>
      </c>
      <c r="AE225" s="41">
        <v>0</v>
      </c>
      <c r="AG225" s="165"/>
    </row>
    <row r="226" spans="1:33" s="34" customFormat="1" ht="16.25" customHeight="1" x14ac:dyDescent="0.4">
      <c r="A226" s="36"/>
      <c r="B226" s="36" t="s">
        <v>1263</v>
      </c>
      <c r="C226" s="36" t="s">
        <v>1267</v>
      </c>
      <c r="D226" s="32" t="s">
        <v>1274</v>
      </c>
      <c r="E226" s="15" t="s">
        <v>841</v>
      </c>
      <c r="F226" s="246" t="s">
        <v>1179</v>
      </c>
      <c r="G226" s="37">
        <v>2287.8000000000002</v>
      </c>
      <c r="H226" s="39">
        <v>2287.8000000000002</v>
      </c>
      <c r="I226" s="39">
        <v>1526.5350000000001</v>
      </c>
      <c r="J226" s="39">
        <v>1260</v>
      </c>
      <c r="K226" s="39">
        <v>1326.0078000000001</v>
      </c>
      <c r="L226" s="39">
        <v>1326.0078000000001</v>
      </c>
      <c r="M226" s="39">
        <v>1326.0078000000001</v>
      </c>
      <c r="N226" s="39">
        <v>1828.2529999999999</v>
      </c>
      <c r="O226" s="165">
        <v>2564</v>
      </c>
      <c r="P226" s="165">
        <v>2303.3009999999999</v>
      </c>
      <c r="Q226" s="165">
        <v>1939.9210000000003</v>
      </c>
      <c r="R226" s="165">
        <v>1888.4030000000002</v>
      </c>
      <c r="S226" s="118">
        <f t="shared" si="15"/>
        <v>1888.4030000000002</v>
      </c>
      <c r="T226" s="41">
        <v>0</v>
      </c>
      <c r="U226" s="41">
        <v>20.271999999999998</v>
      </c>
      <c r="V226" s="41">
        <v>0.97399999999999998</v>
      </c>
      <c r="W226" s="41">
        <v>0</v>
      </c>
      <c r="X226" s="41">
        <v>70.153000000000006</v>
      </c>
      <c r="Y226" s="41">
        <v>234.655</v>
      </c>
      <c r="Z226" s="41">
        <v>79.168000000000006</v>
      </c>
      <c r="AA226" s="165">
        <v>72.287999999999997</v>
      </c>
      <c r="AB226" s="41">
        <v>239.00800000000001</v>
      </c>
      <c r="AC226" s="41">
        <v>197.21100000000001</v>
      </c>
      <c r="AD226" s="41">
        <v>589.94799999999998</v>
      </c>
      <c r="AE226" s="41">
        <v>384.726</v>
      </c>
      <c r="AG226" s="165"/>
    </row>
    <row r="227" spans="1:33" s="34" customFormat="1" ht="16.25" customHeight="1" x14ac:dyDescent="0.4">
      <c r="A227" s="36"/>
      <c r="B227" s="36" t="s">
        <v>1263</v>
      </c>
      <c r="C227" s="36" t="s">
        <v>1267</v>
      </c>
      <c r="D227" s="32" t="s">
        <v>1274</v>
      </c>
      <c r="E227" s="15" t="s">
        <v>842</v>
      </c>
      <c r="F227" s="246" t="s">
        <v>1179</v>
      </c>
      <c r="G227" s="45"/>
      <c r="H227" s="39"/>
      <c r="I227" s="37">
        <v>371.24280000000005</v>
      </c>
      <c r="J227" s="37">
        <v>459</v>
      </c>
      <c r="K227" s="37">
        <v>468</v>
      </c>
      <c r="L227" s="37">
        <v>468</v>
      </c>
      <c r="M227" s="37">
        <v>468</v>
      </c>
      <c r="N227" s="37">
        <v>699.51600000000008</v>
      </c>
      <c r="O227" s="165">
        <v>705</v>
      </c>
      <c r="P227" s="165">
        <v>966.89700000000005</v>
      </c>
      <c r="Q227" s="165">
        <v>1325.211</v>
      </c>
      <c r="R227" s="165">
        <v>1497.546</v>
      </c>
      <c r="S227" s="118">
        <f t="shared" si="15"/>
        <v>1497.546</v>
      </c>
      <c r="T227" s="41">
        <v>0</v>
      </c>
      <c r="U227" s="41">
        <v>0</v>
      </c>
      <c r="V227" s="41">
        <v>0</v>
      </c>
      <c r="W227" s="41">
        <v>17.009</v>
      </c>
      <c r="X227" s="41">
        <v>53.746000000000002</v>
      </c>
      <c r="Y227" s="41">
        <v>53.676000000000002</v>
      </c>
      <c r="Z227" s="41">
        <v>145.97200000000001</v>
      </c>
      <c r="AA227" s="41">
        <v>67.56</v>
      </c>
      <c r="AB227" s="41">
        <v>8.984</v>
      </c>
      <c r="AC227" s="41">
        <v>6.7370000000000001</v>
      </c>
      <c r="AD227" s="41">
        <v>138.33799999999999</v>
      </c>
      <c r="AE227" s="41">
        <v>1005.524</v>
      </c>
      <c r="AG227" s="165"/>
    </row>
    <row r="228" spans="1:33" s="34" customFormat="1" ht="16.25" customHeight="1" x14ac:dyDescent="0.4">
      <c r="A228" s="36"/>
      <c r="B228" s="36" t="s">
        <v>1263</v>
      </c>
      <c r="C228" s="36" t="s">
        <v>1267</v>
      </c>
      <c r="D228" s="32" t="s">
        <v>1271</v>
      </c>
      <c r="E228" s="15" t="s">
        <v>844</v>
      </c>
      <c r="F228" s="246" t="s">
        <v>1179</v>
      </c>
      <c r="G228" s="37"/>
      <c r="H228" s="39"/>
      <c r="I228" s="39"/>
      <c r="J228" s="39"/>
      <c r="K228" s="39"/>
      <c r="L228" s="39"/>
      <c r="M228" s="39"/>
      <c r="N228" s="39"/>
      <c r="O228" s="165">
        <v>0</v>
      </c>
      <c r="P228" s="165">
        <v>96.93</v>
      </c>
      <c r="Q228" s="165">
        <v>94.13</v>
      </c>
      <c r="R228" s="165">
        <v>103.73</v>
      </c>
      <c r="S228" s="118">
        <f t="shared" si="15"/>
        <v>103.73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3.3180000000000001</v>
      </c>
      <c r="AE228" s="41">
        <v>100.41200000000001</v>
      </c>
      <c r="AF228" s="41"/>
      <c r="AG228" s="165"/>
    </row>
    <row r="229" spans="1:33" s="34" customFormat="1" ht="16.25" customHeight="1" x14ac:dyDescent="0.4">
      <c r="A229" s="36"/>
      <c r="B229" s="36" t="s">
        <v>1263</v>
      </c>
      <c r="C229" s="36" t="s">
        <v>1267</v>
      </c>
      <c r="D229" s="32" t="s">
        <v>1274</v>
      </c>
      <c r="E229" s="15" t="s">
        <v>845</v>
      </c>
      <c r="F229" s="244" t="s">
        <v>1185</v>
      </c>
      <c r="G229" s="37"/>
      <c r="H229" s="39">
        <v>0</v>
      </c>
      <c r="I229" s="39">
        <v>400</v>
      </c>
      <c r="J229" s="39">
        <v>400</v>
      </c>
      <c r="K229" s="39">
        <v>400.005</v>
      </c>
      <c r="L229" s="39">
        <v>400.005</v>
      </c>
      <c r="M229" s="39">
        <v>249</v>
      </c>
      <c r="N229" s="39">
        <v>253.53199999999998</v>
      </c>
      <c r="O229" s="165">
        <v>253.53199999999998</v>
      </c>
      <c r="P229" s="165">
        <v>85.768000000000001</v>
      </c>
      <c r="Q229" s="165">
        <v>223.39000000000001</v>
      </c>
      <c r="R229" s="165">
        <v>222.90900000000002</v>
      </c>
      <c r="S229" s="118">
        <f t="shared" si="15"/>
        <v>222.90900000000002</v>
      </c>
      <c r="T229" s="41">
        <v>0</v>
      </c>
      <c r="U229" s="41">
        <v>0</v>
      </c>
      <c r="V229" s="41">
        <v>0</v>
      </c>
      <c r="W229" s="41">
        <v>0</v>
      </c>
      <c r="X229" s="41">
        <v>0</v>
      </c>
      <c r="Y229" s="41">
        <v>0.46899999999999997</v>
      </c>
      <c r="Z229" s="41">
        <v>21.198</v>
      </c>
      <c r="AA229" s="41">
        <v>0.311</v>
      </c>
      <c r="AB229" s="41">
        <v>186.84100000000001</v>
      </c>
      <c r="AC229" s="41">
        <v>0</v>
      </c>
      <c r="AD229" s="41">
        <v>14.09</v>
      </c>
      <c r="AE229" s="41">
        <v>0</v>
      </c>
      <c r="AG229" s="165"/>
    </row>
    <row r="230" spans="1:33" s="34" customFormat="1" ht="16.25" customHeight="1" x14ac:dyDescent="0.4">
      <c r="A230" s="36"/>
      <c r="B230" s="36" t="s">
        <v>1263</v>
      </c>
      <c r="C230" s="36" t="s">
        <v>1267</v>
      </c>
      <c r="D230" s="32" t="s">
        <v>1274</v>
      </c>
      <c r="E230" s="15" t="s">
        <v>846</v>
      </c>
      <c r="F230" s="244" t="s">
        <v>1185</v>
      </c>
      <c r="G230" s="39"/>
      <c r="H230" s="39"/>
      <c r="I230" s="39"/>
      <c r="J230" s="39"/>
      <c r="K230" s="39"/>
      <c r="L230" s="39"/>
      <c r="M230" s="39">
        <v>151</v>
      </c>
      <c r="N230" s="39">
        <v>153</v>
      </c>
      <c r="O230" s="165">
        <v>153</v>
      </c>
      <c r="P230" s="165">
        <v>149.351</v>
      </c>
      <c r="Q230" s="165">
        <v>145.072</v>
      </c>
      <c r="R230" s="165">
        <v>139.065</v>
      </c>
      <c r="S230" s="118">
        <f t="shared" si="15"/>
        <v>139.065</v>
      </c>
      <c r="T230" s="41">
        <v>0</v>
      </c>
      <c r="U230" s="41">
        <v>0</v>
      </c>
      <c r="V230" s="41">
        <v>0</v>
      </c>
      <c r="W230" s="41">
        <v>0</v>
      </c>
      <c r="X230" s="41">
        <v>0</v>
      </c>
      <c r="Y230" s="41">
        <v>0</v>
      </c>
      <c r="Z230" s="41">
        <v>0</v>
      </c>
      <c r="AA230" s="41">
        <v>0</v>
      </c>
      <c r="AB230" s="41">
        <v>1.204</v>
      </c>
      <c r="AC230" s="41">
        <v>0</v>
      </c>
      <c r="AD230" s="41">
        <v>137.86099999999999</v>
      </c>
      <c r="AE230" s="41">
        <v>0</v>
      </c>
      <c r="AG230" s="165"/>
    </row>
    <row r="231" spans="1:33" s="34" customFormat="1" ht="16.25" customHeight="1" x14ac:dyDescent="0.4">
      <c r="A231" s="36"/>
      <c r="B231" s="36" t="s">
        <v>1263</v>
      </c>
      <c r="C231" s="36" t="s">
        <v>1267</v>
      </c>
      <c r="D231" s="32" t="s">
        <v>1270</v>
      </c>
      <c r="E231" s="15" t="s">
        <v>848</v>
      </c>
      <c r="F231" s="244" t="s">
        <v>1275</v>
      </c>
      <c r="G231" s="37">
        <v>450</v>
      </c>
      <c r="H231" s="39">
        <v>450</v>
      </c>
      <c r="I231" s="39">
        <v>360</v>
      </c>
      <c r="J231" s="39">
        <v>99</v>
      </c>
      <c r="K231" s="39">
        <v>112.95399999999999</v>
      </c>
      <c r="L231" s="39">
        <v>112.95399999999999</v>
      </c>
      <c r="M231" s="39">
        <v>112.95399999999999</v>
      </c>
      <c r="N231" s="39">
        <v>113.30799999999999</v>
      </c>
      <c r="O231" s="165">
        <v>113.30799999999999</v>
      </c>
      <c r="P231" s="165">
        <v>102</v>
      </c>
      <c r="Q231" s="165">
        <v>100.613</v>
      </c>
      <c r="R231" s="165">
        <v>100.613</v>
      </c>
      <c r="S231" s="118">
        <f t="shared" si="15"/>
        <v>100.613</v>
      </c>
      <c r="T231" s="41">
        <v>0</v>
      </c>
      <c r="U231" s="41">
        <v>0</v>
      </c>
      <c r="V231" s="41">
        <v>0</v>
      </c>
      <c r="W231" s="41">
        <v>0</v>
      </c>
      <c r="X231" s="41">
        <v>0.58399999999999996</v>
      </c>
      <c r="Y231" s="41">
        <v>43.079000000000001</v>
      </c>
      <c r="Z231" s="41">
        <v>9.8870000000000005</v>
      </c>
      <c r="AA231" s="41">
        <v>0</v>
      </c>
      <c r="AB231" s="41">
        <v>47.063000000000002</v>
      </c>
      <c r="AC231" s="41">
        <v>0</v>
      </c>
      <c r="AD231" s="41">
        <v>0</v>
      </c>
      <c r="AE231" s="41">
        <v>0</v>
      </c>
      <c r="AG231" s="165"/>
    </row>
    <row r="232" spans="1:33" s="34" customFormat="1" ht="16.25" customHeight="1" x14ac:dyDescent="0.4">
      <c r="A232" s="36"/>
      <c r="B232" s="36" t="s">
        <v>1263</v>
      </c>
      <c r="C232" s="36" t="s">
        <v>1267</v>
      </c>
      <c r="D232" s="32" t="s">
        <v>1271</v>
      </c>
      <c r="E232" s="15" t="s">
        <v>852</v>
      </c>
      <c r="F232" s="244" t="s">
        <v>1276</v>
      </c>
      <c r="G232" s="37">
        <v>122.4</v>
      </c>
      <c r="H232" s="39">
        <v>122.4</v>
      </c>
      <c r="I232" s="39">
        <v>108</v>
      </c>
      <c r="J232" s="39">
        <v>108</v>
      </c>
      <c r="K232" s="39">
        <v>108</v>
      </c>
      <c r="L232" s="39">
        <v>108</v>
      </c>
      <c r="M232" s="39">
        <v>50</v>
      </c>
      <c r="N232" s="39">
        <v>312.47400000000005</v>
      </c>
      <c r="O232" s="165">
        <v>260</v>
      </c>
      <c r="P232" s="165">
        <v>261.49</v>
      </c>
      <c r="Q232" s="165">
        <v>254.43342999999999</v>
      </c>
      <c r="R232" s="165">
        <v>223.04742999999999</v>
      </c>
      <c r="S232" s="118">
        <f t="shared" si="15"/>
        <v>223.04742999999999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31.577999999999999</v>
      </c>
      <c r="Z232" s="41">
        <v>4.4299999999999999E-3</v>
      </c>
      <c r="AA232" s="41">
        <v>0.316</v>
      </c>
      <c r="AB232" s="41">
        <v>10.9</v>
      </c>
      <c r="AC232" s="41">
        <v>0</v>
      </c>
      <c r="AD232" s="41">
        <v>159.297</v>
      </c>
      <c r="AE232" s="41">
        <v>20.952000000000002</v>
      </c>
      <c r="AG232" s="165"/>
    </row>
    <row r="233" spans="1:33" s="34" customFormat="1" ht="16.25" customHeight="1" x14ac:dyDescent="0.4">
      <c r="A233" s="36"/>
      <c r="B233" s="36" t="s">
        <v>1263</v>
      </c>
      <c r="C233" s="36" t="s">
        <v>1267</v>
      </c>
      <c r="D233" s="32" t="s">
        <v>1271</v>
      </c>
      <c r="E233" s="15" t="s">
        <v>852</v>
      </c>
      <c r="F233" s="244" t="s">
        <v>1276</v>
      </c>
      <c r="G233" s="37"/>
      <c r="H233" s="39"/>
      <c r="I233" s="39"/>
      <c r="J233" s="39"/>
      <c r="K233" s="39">
        <v>0</v>
      </c>
      <c r="L233" s="39">
        <v>203</v>
      </c>
      <c r="M233" s="39">
        <v>260</v>
      </c>
      <c r="N233" s="39">
        <v>0</v>
      </c>
      <c r="O233" s="165">
        <v>0</v>
      </c>
      <c r="P233" s="165">
        <v>0</v>
      </c>
      <c r="Q233" s="165">
        <v>0</v>
      </c>
      <c r="R233" s="165">
        <v>0</v>
      </c>
      <c r="S233" s="165">
        <f t="shared" ref="S233:S245" si="16">SUM(T233:AE233)</f>
        <v>0</v>
      </c>
      <c r="T233" s="41">
        <v>0</v>
      </c>
      <c r="U233" s="41">
        <v>0</v>
      </c>
      <c r="V233" s="41">
        <v>0</v>
      </c>
      <c r="W233" s="41">
        <v>0</v>
      </c>
      <c r="X233" s="41">
        <v>0</v>
      </c>
      <c r="Y233" s="41">
        <v>0</v>
      </c>
      <c r="Z233" s="41">
        <v>0</v>
      </c>
      <c r="AA233" s="41">
        <v>0</v>
      </c>
      <c r="AB233" s="41">
        <v>0</v>
      </c>
      <c r="AC233" s="41">
        <v>0</v>
      </c>
      <c r="AD233" s="41">
        <v>0</v>
      </c>
      <c r="AE233" s="41">
        <v>0</v>
      </c>
      <c r="AF233" s="41">
        <v>0</v>
      </c>
    </row>
    <row r="234" spans="1:33" s="34" customFormat="1" ht="16.25" customHeight="1" x14ac:dyDescent="0.4">
      <c r="A234" s="36"/>
      <c r="B234" s="36" t="s">
        <v>1263</v>
      </c>
      <c r="C234" s="36" t="s">
        <v>1267</v>
      </c>
      <c r="D234" s="32" t="s">
        <v>1271</v>
      </c>
      <c r="E234" s="36" t="s">
        <v>858</v>
      </c>
      <c r="F234" s="246" t="s">
        <v>1179</v>
      </c>
      <c r="G234" s="37">
        <v>90</v>
      </c>
      <c r="H234" s="39">
        <v>90</v>
      </c>
      <c r="I234" s="39">
        <v>90</v>
      </c>
      <c r="J234" s="39">
        <v>90</v>
      </c>
      <c r="K234" s="39">
        <v>90</v>
      </c>
      <c r="L234" s="39">
        <v>90</v>
      </c>
      <c r="M234" s="39">
        <v>0</v>
      </c>
      <c r="N234" s="39">
        <v>0</v>
      </c>
      <c r="O234" s="165">
        <v>0</v>
      </c>
      <c r="P234" s="165">
        <v>0</v>
      </c>
      <c r="Q234" s="165">
        <v>0</v>
      </c>
      <c r="R234" s="165">
        <v>0</v>
      </c>
      <c r="S234" s="165">
        <f t="shared" si="16"/>
        <v>0</v>
      </c>
      <c r="T234" s="41">
        <v>0</v>
      </c>
      <c r="U234" s="41">
        <v>0</v>
      </c>
      <c r="V234" s="41">
        <v>0</v>
      </c>
      <c r="W234" s="41">
        <v>0</v>
      </c>
      <c r="X234" s="41">
        <v>0</v>
      </c>
      <c r="Y234" s="41">
        <v>0</v>
      </c>
      <c r="Z234" s="41">
        <v>0</v>
      </c>
      <c r="AA234" s="41">
        <v>0</v>
      </c>
      <c r="AB234" s="41">
        <v>0</v>
      </c>
      <c r="AC234" s="41">
        <v>0</v>
      </c>
      <c r="AD234" s="41">
        <v>0</v>
      </c>
      <c r="AE234" s="41">
        <v>0</v>
      </c>
    </row>
    <row r="235" spans="1:33" s="34" customFormat="1" ht="16.25" customHeight="1" x14ac:dyDescent="0.4">
      <c r="A235" s="36"/>
      <c r="B235" s="36" t="s">
        <v>1263</v>
      </c>
      <c r="C235" s="36" t="s">
        <v>1267</v>
      </c>
      <c r="D235" s="36" t="s">
        <v>1272</v>
      </c>
      <c r="E235" s="15" t="s">
        <v>859</v>
      </c>
      <c r="F235" s="246" t="s">
        <v>1179</v>
      </c>
      <c r="G235" s="45">
        <v>550</v>
      </c>
      <c r="H235" s="39">
        <v>550</v>
      </c>
      <c r="I235" s="39">
        <v>420</v>
      </c>
      <c r="J235" s="39">
        <v>420</v>
      </c>
      <c r="K235" s="39">
        <v>420</v>
      </c>
      <c r="L235" s="39">
        <v>180</v>
      </c>
      <c r="M235" s="39">
        <v>0</v>
      </c>
      <c r="N235" s="39">
        <v>0</v>
      </c>
      <c r="O235" s="165">
        <v>0</v>
      </c>
      <c r="P235" s="165">
        <v>0</v>
      </c>
      <c r="Q235" s="165">
        <v>0</v>
      </c>
      <c r="R235" s="165">
        <v>0</v>
      </c>
      <c r="S235" s="165">
        <f t="shared" si="16"/>
        <v>0</v>
      </c>
      <c r="T235" s="41">
        <v>0</v>
      </c>
      <c r="U235" s="41">
        <v>0</v>
      </c>
      <c r="V235" s="41">
        <v>0</v>
      </c>
      <c r="W235" s="41">
        <v>0</v>
      </c>
      <c r="X235" s="41">
        <v>0</v>
      </c>
      <c r="Y235" s="41">
        <v>0</v>
      </c>
      <c r="Z235" s="41">
        <v>0</v>
      </c>
      <c r="AA235" s="41">
        <v>0</v>
      </c>
      <c r="AB235" s="41">
        <v>0</v>
      </c>
      <c r="AC235" s="41">
        <v>0</v>
      </c>
      <c r="AD235" s="41">
        <v>0</v>
      </c>
      <c r="AE235" s="41">
        <v>0</v>
      </c>
    </row>
    <row r="236" spans="1:33" s="34" customFormat="1" ht="16.25" customHeight="1" x14ac:dyDescent="0.4">
      <c r="A236" s="36"/>
      <c r="B236" s="36" t="s">
        <v>1263</v>
      </c>
      <c r="C236" s="36" t="s">
        <v>1267</v>
      </c>
      <c r="D236" s="32" t="s">
        <v>1270</v>
      </c>
      <c r="E236" s="15" t="s">
        <v>860</v>
      </c>
      <c r="F236" s="246" t="s">
        <v>1179</v>
      </c>
      <c r="G236" s="39">
        <v>125</v>
      </c>
      <c r="H236" s="39">
        <v>125</v>
      </c>
      <c r="I236" s="39">
        <v>125</v>
      </c>
      <c r="J236" s="39">
        <v>125</v>
      </c>
      <c r="K236" s="39">
        <v>125</v>
      </c>
      <c r="L236" s="39">
        <v>125</v>
      </c>
      <c r="M236" s="39">
        <v>0</v>
      </c>
      <c r="N236" s="39">
        <v>0</v>
      </c>
      <c r="O236" s="165">
        <v>0</v>
      </c>
      <c r="P236" s="165">
        <v>0</v>
      </c>
      <c r="Q236" s="165">
        <v>0</v>
      </c>
      <c r="R236" s="165">
        <v>0</v>
      </c>
      <c r="S236" s="165">
        <f t="shared" si="16"/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</row>
    <row r="237" spans="1:33" s="34" customFormat="1" ht="16.25" customHeight="1" x14ac:dyDescent="0.4">
      <c r="A237" s="36"/>
      <c r="B237" s="36" t="s">
        <v>1263</v>
      </c>
      <c r="C237" s="36" t="s">
        <v>1267</v>
      </c>
      <c r="D237" s="32" t="s">
        <v>1274</v>
      </c>
      <c r="E237" s="15" t="s">
        <v>861</v>
      </c>
      <c r="F237" s="246" t="s">
        <v>1179</v>
      </c>
      <c r="G237" s="37">
        <v>810</v>
      </c>
      <c r="H237" s="39">
        <v>810</v>
      </c>
      <c r="I237" s="39">
        <v>185.6403</v>
      </c>
      <c r="J237" s="39">
        <v>185.6403</v>
      </c>
      <c r="K237" s="39">
        <v>186.3</v>
      </c>
      <c r="L237" s="39">
        <v>186.3</v>
      </c>
      <c r="M237" s="39">
        <v>186.3</v>
      </c>
      <c r="N237" s="39">
        <v>500</v>
      </c>
      <c r="O237" s="165">
        <v>0</v>
      </c>
      <c r="P237" s="165">
        <v>0</v>
      </c>
      <c r="Q237" s="165">
        <v>0</v>
      </c>
      <c r="R237" s="165">
        <v>0</v>
      </c>
      <c r="S237" s="165">
        <f t="shared" si="16"/>
        <v>0</v>
      </c>
      <c r="T237" s="41">
        <v>0</v>
      </c>
      <c r="U237" s="41">
        <v>0</v>
      </c>
      <c r="V237" s="41">
        <v>0</v>
      </c>
      <c r="W237" s="41">
        <v>0</v>
      </c>
      <c r="X237" s="41">
        <v>0</v>
      </c>
      <c r="Y237" s="41">
        <v>0</v>
      </c>
      <c r="Z237" s="41">
        <v>0</v>
      </c>
      <c r="AA237" s="41">
        <v>0</v>
      </c>
      <c r="AB237" s="41">
        <v>0</v>
      </c>
      <c r="AC237" s="41">
        <v>0</v>
      </c>
      <c r="AD237" s="41">
        <v>0</v>
      </c>
      <c r="AE237" s="41">
        <v>0</v>
      </c>
    </row>
    <row r="238" spans="1:33" s="34" customFormat="1" ht="16.25" customHeight="1" x14ac:dyDescent="0.4">
      <c r="A238" s="36"/>
      <c r="B238" s="36" t="s">
        <v>1263</v>
      </c>
      <c r="C238" s="36" t="s">
        <v>1267</v>
      </c>
      <c r="D238" s="32" t="s">
        <v>1271</v>
      </c>
      <c r="E238" s="15" t="s">
        <v>862</v>
      </c>
      <c r="F238" s="244" t="s">
        <v>1275</v>
      </c>
      <c r="G238" s="37">
        <v>1000</v>
      </c>
      <c r="H238" s="39">
        <v>1000</v>
      </c>
      <c r="I238" s="39">
        <v>1000</v>
      </c>
      <c r="J238" s="39">
        <v>1000</v>
      </c>
      <c r="K238" s="39">
        <v>1000</v>
      </c>
      <c r="L238" s="39">
        <v>1000</v>
      </c>
      <c r="M238" s="39">
        <v>0</v>
      </c>
      <c r="N238" s="39">
        <v>0</v>
      </c>
      <c r="O238" s="165">
        <v>0</v>
      </c>
      <c r="P238" s="165">
        <v>0</v>
      </c>
      <c r="Q238" s="165">
        <v>0</v>
      </c>
      <c r="R238" s="165">
        <v>0</v>
      </c>
      <c r="S238" s="165">
        <f t="shared" si="16"/>
        <v>0</v>
      </c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</row>
    <row r="239" spans="1:33" s="34" customFormat="1" ht="16.25" customHeight="1" x14ac:dyDescent="0.4">
      <c r="A239" s="36"/>
      <c r="B239" s="36" t="s">
        <v>1263</v>
      </c>
      <c r="C239" s="36" t="s">
        <v>1267</v>
      </c>
      <c r="D239" s="32" t="s">
        <v>1271</v>
      </c>
      <c r="E239" s="15" t="s">
        <v>868</v>
      </c>
      <c r="F239" s="244" t="s">
        <v>1185</v>
      </c>
      <c r="G239" s="37">
        <v>2500</v>
      </c>
      <c r="H239" s="39">
        <v>2500</v>
      </c>
      <c r="I239" s="39">
        <v>2500</v>
      </c>
      <c r="J239" s="39">
        <v>2500</v>
      </c>
      <c r="K239" s="39">
        <v>200</v>
      </c>
      <c r="L239" s="39">
        <v>200</v>
      </c>
      <c r="M239" s="39">
        <v>200</v>
      </c>
      <c r="N239" s="39">
        <v>0</v>
      </c>
      <c r="O239" s="165">
        <v>0</v>
      </c>
      <c r="P239" s="165">
        <v>0</v>
      </c>
      <c r="Q239" s="165">
        <v>0</v>
      </c>
      <c r="R239" s="165">
        <v>0</v>
      </c>
      <c r="S239" s="165">
        <f t="shared" si="16"/>
        <v>0</v>
      </c>
      <c r="T239" s="41">
        <v>0</v>
      </c>
      <c r="U239" s="41">
        <v>0</v>
      </c>
      <c r="V239" s="41">
        <v>0</v>
      </c>
      <c r="W239" s="41">
        <v>0</v>
      </c>
      <c r="X239" s="41">
        <v>0</v>
      </c>
      <c r="Y239" s="41">
        <v>0</v>
      </c>
      <c r="Z239" s="41">
        <v>0</v>
      </c>
      <c r="AA239" s="41">
        <v>0</v>
      </c>
      <c r="AB239" s="41">
        <v>0</v>
      </c>
      <c r="AC239" s="41">
        <v>0</v>
      </c>
      <c r="AD239" s="41">
        <v>0</v>
      </c>
      <c r="AE239" s="41">
        <v>0</v>
      </c>
    </row>
    <row r="240" spans="1:33" s="34" customFormat="1" ht="16.25" customHeight="1" x14ac:dyDescent="0.4">
      <c r="A240" s="36"/>
      <c r="B240" s="36" t="s">
        <v>1263</v>
      </c>
      <c r="C240" s="36" t="s">
        <v>1267</v>
      </c>
      <c r="D240" s="32" t="s">
        <v>1271</v>
      </c>
      <c r="E240" s="15" t="s">
        <v>872</v>
      </c>
      <c r="F240" s="244" t="s">
        <v>1185</v>
      </c>
      <c r="G240" s="37">
        <v>400</v>
      </c>
      <c r="H240" s="39">
        <v>400</v>
      </c>
      <c r="I240" s="39">
        <v>400</v>
      </c>
      <c r="J240" s="39">
        <v>400</v>
      </c>
      <c r="K240" s="39">
        <v>400</v>
      </c>
      <c r="L240" s="39">
        <v>200</v>
      </c>
      <c r="M240" s="39">
        <v>0</v>
      </c>
      <c r="N240" s="39">
        <v>0</v>
      </c>
      <c r="O240" s="165">
        <v>0</v>
      </c>
      <c r="P240" s="165">
        <v>0</v>
      </c>
      <c r="Q240" s="165">
        <v>0</v>
      </c>
      <c r="R240" s="165">
        <v>0</v>
      </c>
      <c r="S240" s="165">
        <f t="shared" si="16"/>
        <v>0</v>
      </c>
      <c r="T240" s="41">
        <v>0</v>
      </c>
      <c r="U240" s="41">
        <v>0</v>
      </c>
      <c r="V240" s="41">
        <v>0</v>
      </c>
      <c r="W240" s="41">
        <v>0</v>
      </c>
      <c r="X240" s="41">
        <v>0</v>
      </c>
      <c r="Y240" s="41">
        <v>0</v>
      </c>
      <c r="Z240" s="41">
        <v>0</v>
      </c>
      <c r="AA240" s="41">
        <v>0</v>
      </c>
      <c r="AB240" s="41">
        <v>0</v>
      </c>
      <c r="AC240" s="41">
        <v>0</v>
      </c>
      <c r="AD240" s="41">
        <v>0</v>
      </c>
      <c r="AE240" s="41">
        <v>0</v>
      </c>
    </row>
    <row r="241" spans="1:33" s="34" customFormat="1" ht="16.25" customHeight="1" x14ac:dyDescent="0.4">
      <c r="A241" s="36"/>
      <c r="B241" s="36" t="s">
        <v>1263</v>
      </c>
      <c r="C241" s="36" t="s">
        <v>1267</v>
      </c>
      <c r="D241" s="32" t="s">
        <v>1271</v>
      </c>
      <c r="E241" s="15" t="s">
        <v>876</v>
      </c>
      <c r="F241" s="244" t="s">
        <v>1275</v>
      </c>
      <c r="G241" s="37">
        <v>300</v>
      </c>
      <c r="H241" s="39">
        <v>300</v>
      </c>
      <c r="I241" s="39">
        <v>300</v>
      </c>
      <c r="J241" s="39">
        <v>300</v>
      </c>
      <c r="K241" s="39">
        <v>300</v>
      </c>
      <c r="L241" s="39">
        <v>300</v>
      </c>
      <c r="M241" s="39">
        <v>0</v>
      </c>
      <c r="N241" s="39">
        <v>0</v>
      </c>
      <c r="O241" s="165">
        <v>0</v>
      </c>
      <c r="P241" s="165">
        <v>0</v>
      </c>
      <c r="Q241" s="165">
        <v>0</v>
      </c>
      <c r="R241" s="165">
        <v>0</v>
      </c>
      <c r="S241" s="165">
        <f t="shared" si="16"/>
        <v>0</v>
      </c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</row>
    <row r="242" spans="1:33" s="34" customFormat="1" ht="16.25" customHeight="1" x14ac:dyDescent="0.4">
      <c r="A242" s="36"/>
      <c r="B242" s="36" t="s">
        <v>1263</v>
      </c>
      <c r="C242" s="36" t="s">
        <v>1267</v>
      </c>
      <c r="D242" s="32" t="s">
        <v>1271</v>
      </c>
      <c r="E242" s="15" t="s">
        <v>880</v>
      </c>
      <c r="F242" s="244" t="s">
        <v>1275</v>
      </c>
      <c r="G242" s="37">
        <v>112.5</v>
      </c>
      <c r="H242" s="39">
        <v>112.5</v>
      </c>
      <c r="I242" s="39">
        <v>112.5</v>
      </c>
      <c r="J242" s="39">
        <v>0</v>
      </c>
      <c r="K242" s="39">
        <v>0</v>
      </c>
      <c r="L242" s="39">
        <v>0</v>
      </c>
      <c r="M242" s="39">
        <v>0</v>
      </c>
      <c r="N242" s="39">
        <v>0</v>
      </c>
      <c r="O242" s="165">
        <v>0</v>
      </c>
      <c r="P242" s="165">
        <v>0</v>
      </c>
      <c r="Q242" s="165">
        <v>0</v>
      </c>
      <c r="R242" s="165">
        <v>0</v>
      </c>
      <c r="S242" s="165">
        <f t="shared" si="16"/>
        <v>0</v>
      </c>
      <c r="T242" s="41">
        <v>0</v>
      </c>
      <c r="U242" s="41">
        <v>0</v>
      </c>
      <c r="V242" s="41">
        <v>0</v>
      </c>
      <c r="W242" s="41">
        <v>0</v>
      </c>
      <c r="X242" s="41">
        <v>0</v>
      </c>
      <c r="Y242" s="41">
        <v>0</v>
      </c>
      <c r="Z242" s="41">
        <v>0</v>
      </c>
      <c r="AA242" s="41">
        <v>0</v>
      </c>
      <c r="AB242" s="41">
        <v>0</v>
      </c>
      <c r="AC242" s="41">
        <v>0</v>
      </c>
      <c r="AD242" s="41">
        <v>0</v>
      </c>
      <c r="AE242" s="41">
        <v>0</v>
      </c>
    </row>
    <row r="243" spans="1:33" s="34" customFormat="1" ht="16.25" customHeight="1" x14ac:dyDescent="0.4">
      <c r="A243" s="36"/>
      <c r="B243" s="36" t="s">
        <v>1263</v>
      </c>
      <c r="C243" s="36" t="s">
        <v>1267</v>
      </c>
      <c r="D243" s="32" t="s">
        <v>1271</v>
      </c>
      <c r="E243" s="15" t="s">
        <v>883</v>
      </c>
      <c r="F243" s="244" t="s">
        <v>1185</v>
      </c>
      <c r="G243" s="37">
        <v>90</v>
      </c>
      <c r="H243" s="39">
        <v>90</v>
      </c>
      <c r="I243" s="39">
        <v>90</v>
      </c>
      <c r="J243" s="39">
        <v>90</v>
      </c>
      <c r="K243" s="39">
        <v>90</v>
      </c>
      <c r="L243" s="39">
        <v>90</v>
      </c>
      <c r="M243" s="39">
        <v>150</v>
      </c>
      <c r="N243" s="39">
        <v>0</v>
      </c>
      <c r="O243" s="165">
        <v>0</v>
      </c>
      <c r="P243" s="165">
        <v>0</v>
      </c>
      <c r="Q243" s="165">
        <v>0</v>
      </c>
      <c r="R243" s="165">
        <v>0</v>
      </c>
      <c r="S243" s="165">
        <f t="shared" si="16"/>
        <v>0</v>
      </c>
      <c r="T243" s="41">
        <v>0</v>
      </c>
      <c r="U243" s="41">
        <v>0</v>
      </c>
      <c r="V243" s="41">
        <v>0</v>
      </c>
      <c r="W243" s="41">
        <v>0</v>
      </c>
      <c r="X243" s="41">
        <v>0</v>
      </c>
      <c r="Y243" s="41">
        <v>0</v>
      </c>
      <c r="Z243" s="41">
        <v>0</v>
      </c>
      <c r="AA243" s="41">
        <v>0</v>
      </c>
      <c r="AB243" s="41">
        <v>0</v>
      </c>
      <c r="AC243" s="41">
        <v>0</v>
      </c>
      <c r="AD243" s="41">
        <v>0</v>
      </c>
      <c r="AE243" s="41">
        <v>0</v>
      </c>
    </row>
    <row r="244" spans="1:33" s="34" customFormat="1" ht="16.25" customHeight="1" x14ac:dyDescent="0.4">
      <c r="A244" s="36"/>
      <c r="B244" s="36" t="s">
        <v>1263</v>
      </c>
      <c r="C244" s="36" t="s">
        <v>1267</v>
      </c>
      <c r="D244" s="32" t="s">
        <v>1270</v>
      </c>
      <c r="E244" s="15" t="s">
        <v>886</v>
      </c>
      <c r="F244" s="244" t="s">
        <v>1276</v>
      </c>
      <c r="G244" s="39">
        <v>0</v>
      </c>
      <c r="H244" s="39">
        <v>0</v>
      </c>
      <c r="I244" s="39">
        <v>0</v>
      </c>
      <c r="J244" s="39">
        <v>0</v>
      </c>
      <c r="K244" s="39">
        <v>0</v>
      </c>
      <c r="L244" s="39">
        <v>0</v>
      </c>
      <c r="M244" s="39">
        <v>0</v>
      </c>
      <c r="N244" s="39">
        <v>0</v>
      </c>
      <c r="O244" s="165">
        <v>0</v>
      </c>
      <c r="P244" s="165">
        <v>0</v>
      </c>
      <c r="Q244" s="165">
        <v>0</v>
      </c>
      <c r="R244" s="165">
        <v>0</v>
      </c>
      <c r="S244" s="165">
        <f t="shared" si="16"/>
        <v>0</v>
      </c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</row>
    <row r="245" spans="1:33" s="34" customFormat="1" ht="16.25" customHeight="1" x14ac:dyDescent="0.4">
      <c r="A245" s="36"/>
      <c r="B245" s="36" t="s">
        <v>1263</v>
      </c>
      <c r="C245" s="36" t="s">
        <v>1267</v>
      </c>
      <c r="D245" s="32" t="s">
        <v>1270</v>
      </c>
      <c r="E245" s="36" t="s">
        <v>889</v>
      </c>
      <c r="F245" s="244" t="s">
        <v>1276</v>
      </c>
      <c r="G245" s="39">
        <v>0</v>
      </c>
      <c r="H245" s="39">
        <v>0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165">
        <v>0</v>
      </c>
      <c r="P245" s="165">
        <v>0</v>
      </c>
      <c r="Q245" s="165">
        <v>0</v>
      </c>
      <c r="R245" s="165">
        <v>0</v>
      </c>
      <c r="S245" s="165">
        <f t="shared" si="16"/>
        <v>0</v>
      </c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</row>
    <row r="246" spans="1:33" s="34" customFormat="1" ht="16.25" customHeight="1" x14ac:dyDescent="0.4">
      <c r="A246" s="36"/>
      <c r="B246" s="36" t="s">
        <v>1263</v>
      </c>
      <c r="C246" s="36" t="s">
        <v>1267</v>
      </c>
      <c r="D246" s="32" t="s">
        <v>1270</v>
      </c>
      <c r="E246" s="15" t="s">
        <v>892</v>
      </c>
      <c r="F246" s="244" t="s">
        <v>1276</v>
      </c>
      <c r="G246" s="39">
        <v>1700</v>
      </c>
      <c r="H246" s="39">
        <v>1700</v>
      </c>
      <c r="I246" s="39">
        <v>1350</v>
      </c>
      <c r="J246" s="39">
        <v>500</v>
      </c>
      <c r="K246" s="39">
        <v>500</v>
      </c>
      <c r="L246" s="39">
        <v>500</v>
      </c>
      <c r="M246" s="39">
        <v>1000</v>
      </c>
      <c r="N246" s="39">
        <v>600</v>
      </c>
      <c r="O246" s="165">
        <v>375</v>
      </c>
      <c r="P246" s="165">
        <v>100</v>
      </c>
      <c r="Q246" s="165">
        <v>100</v>
      </c>
      <c r="R246" s="165">
        <v>0</v>
      </c>
      <c r="S246" s="118">
        <f>SUM(T246:AE246)</f>
        <v>0</v>
      </c>
      <c r="T246" s="41">
        <v>0</v>
      </c>
      <c r="U246" s="41">
        <v>0</v>
      </c>
      <c r="V246" s="41">
        <v>0</v>
      </c>
      <c r="W246" s="41">
        <v>0</v>
      </c>
      <c r="X246" s="41">
        <v>0</v>
      </c>
      <c r="Y246" s="41">
        <v>0</v>
      </c>
      <c r="Z246" s="41">
        <v>0</v>
      </c>
      <c r="AA246" s="41">
        <v>0</v>
      </c>
      <c r="AB246" s="41">
        <v>0</v>
      </c>
      <c r="AC246" s="41">
        <v>0</v>
      </c>
      <c r="AD246" s="41">
        <v>0</v>
      </c>
      <c r="AE246" s="41">
        <v>0</v>
      </c>
    </row>
    <row r="247" spans="1:33" s="34" customFormat="1" ht="16.25" customHeight="1" x14ac:dyDescent="0.4">
      <c r="A247" s="36"/>
      <c r="B247" s="36" t="s">
        <v>1263</v>
      </c>
      <c r="C247" s="36" t="s">
        <v>1267</v>
      </c>
      <c r="D247" s="32" t="s">
        <v>1270</v>
      </c>
      <c r="E247" s="15" t="s">
        <v>896</v>
      </c>
      <c r="F247" s="244" t="s">
        <v>1276</v>
      </c>
      <c r="G247" s="37">
        <v>1500</v>
      </c>
      <c r="H247" s="39">
        <v>1500</v>
      </c>
      <c r="I247" s="39">
        <v>0</v>
      </c>
      <c r="J247" s="39">
        <v>0</v>
      </c>
      <c r="K247" s="39">
        <v>0</v>
      </c>
      <c r="L247" s="39">
        <v>0</v>
      </c>
      <c r="M247" s="39">
        <v>0</v>
      </c>
      <c r="N247" s="39">
        <v>0</v>
      </c>
      <c r="O247" s="165">
        <v>0</v>
      </c>
      <c r="P247" s="165">
        <v>0</v>
      </c>
      <c r="Q247" s="165">
        <v>0</v>
      </c>
      <c r="R247" s="165">
        <v>0</v>
      </c>
      <c r="S247" s="165">
        <f>SUM(T247:AE247)</f>
        <v>0</v>
      </c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</row>
    <row r="248" spans="1:33" s="34" customFormat="1" ht="16.25" customHeight="1" x14ac:dyDescent="0.4">
      <c r="A248" s="36"/>
      <c r="B248" s="36" t="s">
        <v>1263</v>
      </c>
      <c r="C248" s="36" t="s">
        <v>1267</v>
      </c>
      <c r="D248" s="32" t="s">
        <v>1270</v>
      </c>
      <c r="E248" s="15" t="s">
        <v>899</v>
      </c>
      <c r="F248" s="244" t="s">
        <v>1185</v>
      </c>
      <c r="G248" s="39">
        <v>500</v>
      </c>
      <c r="H248" s="39">
        <v>500</v>
      </c>
      <c r="I248" s="39">
        <v>925.2</v>
      </c>
      <c r="J248" s="39">
        <v>925.2</v>
      </c>
      <c r="K248" s="39">
        <v>925.2</v>
      </c>
      <c r="L248" s="39">
        <v>925.2</v>
      </c>
      <c r="M248" s="39">
        <v>0</v>
      </c>
      <c r="N248" s="39">
        <v>90</v>
      </c>
      <c r="O248" s="165">
        <v>0</v>
      </c>
      <c r="P248" s="165">
        <v>0</v>
      </c>
      <c r="Q248" s="165">
        <v>180</v>
      </c>
      <c r="R248" s="165">
        <v>150</v>
      </c>
      <c r="S248" s="118">
        <f>SUM(T248:AE248)</f>
        <v>150</v>
      </c>
      <c r="T248" s="41">
        <v>0</v>
      </c>
      <c r="U248" s="41">
        <v>0</v>
      </c>
      <c r="V248" s="41">
        <v>0</v>
      </c>
      <c r="W248" s="41">
        <v>0</v>
      </c>
      <c r="X248" s="41">
        <v>0</v>
      </c>
      <c r="Y248" s="41">
        <v>0</v>
      </c>
      <c r="Z248" s="41">
        <v>0</v>
      </c>
      <c r="AA248" s="41">
        <v>0</v>
      </c>
      <c r="AB248" s="41">
        <v>0</v>
      </c>
      <c r="AC248" s="41">
        <v>0</v>
      </c>
      <c r="AD248" s="41">
        <v>0</v>
      </c>
      <c r="AE248" s="41">
        <v>150</v>
      </c>
      <c r="AG248" s="165"/>
    </row>
    <row r="249" spans="1:33" s="34" customFormat="1" ht="16.25" customHeight="1" x14ac:dyDescent="0.4">
      <c r="A249" s="36"/>
      <c r="B249" s="36" t="s">
        <v>1263</v>
      </c>
      <c r="C249" s="36" t="s">
        <v>1267</v>
      </c>
      <c r="D249" s="32" t="s">
        <v>1270</v>
      </c>
      <c r="E249" s="15" t="s">
        <v>899</v>
      </c>
      <c r="F249" s="244" t="s">
        <v>1185</v>
      </c>
      <c r="G249" s="39"/>
      <c r="H249" s="39"/>
      <c r="I249" s="39"/>
      <c r="J249" s="39"/>
      <c r="K249" s="39"/>
      <c r="L249" s="39"/>
      <c r="M249" s="39">
        <v>900</v>
      </c>
      <c r="N249" s="39">
        <v>495</v>
      </c>
      <c r="O249" s="165">
        <v>153</v>
      </c>
      <c r="P249" s="165">
        <v>0</v>
      </c>
      <c r="Q249" s="165">
        <v>0</v>
      </c>
      <c r="R249" s="165">
        <v>0</v>
      </c>
      <c r="S249" s="165">
        <f t="shared" ref="S249:S261" si="17">SUM(T249:AE249)</f>
        <v>0</v>
      </c>
      <c r="T249" s="41"/>
      <c r="U249" s="41"/>
      <c r="V249" s="41"/>
      <c r="W249" s="41"/>
      <c r="X249" s="41"/>
      <c r="Y249" s="41"/>
      <c r="Z249" s="41"/>
      <c r="AA249" s="41"/>
      <c r="AB249" s="41"/>
      <c r="AC249" s="41">
        <v>0</v>
      </c>
      <c r="AD249" s="41">
        <v>0</v>
      </c>
      <c r="AE249" s="41">
        <v>0</v>
      </c>
    </row>
    <row r="250" spans="1:33" s="34" customFormat="1" ht="16.25" customHeight="1" x14ac:dyDescent="0.4">
      <c r="A250" s="36"/>
      <c r="B250" s="36" t="s">
        <v>1263</v>
      </c>
      <c r="C250" s="36" t="s">
        <v>1267</v>
      </c>
      <c r="D250" s="32" t="s">
        <v>1270</v>
      </c>
      <c r="E250" s="15" t="s">
        <v>903</v>
      </c>
      <c r="F250" s="244" t="s">
        <v>1276</v>
      </c>
      <c r="G250" s="39">
        <v>0</v>
      </c>
      <c r="H250" s="39">
        <v>0</v>
      </c>
      <c r="I250" s="39">
        <v>0</v>
      </c>
      <c r="J250" s="39">
        <v>0</v>
      </c>
      <c r="K250" s="39">
        <v>0</v>
      </c>
      <c r="L250" s="39">
        <v>0</v>
      </c>
      <c r="M250" s="39">
        <v>0</v>
      </c>
      <c r="N250" s="39">
        <v>0</v>
      </c>
      <c r="O250" s="165">
        <v>0</v>
      </c>
      <c r="P250" s="165">
        <v>0</v>
      </c>
      <c r="Q250" s="165">
        <v>0</v>
      </c>
      <c r="R250" s="165">
        <v>0</v>
      </c>
      <c r="S250" s="165">
        <f t="shared" si="17"/>
        <v>0</v>
      </c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</row>
    <row r="251" spans="1:33" s="34" customFormat="1" ht="16.25" customHeight="1" x14ac:dyDescent="0.4">
      <c r="A251" s="36"/>
      <c r="B251" s="36" t="s">
        <v>1263</v>
      </c>
      <c r="C251" s="36" t="s">
        <v>1267</v>
      </c>
      <c r="D251" s="32" t="s">
        <v>1270</v>
      </c>
      <c r="E251" s="15" t="s">
        <v>908</v>
      </c>
      <c r="F251" s="244" t="s">
        <v>1276</v>
      </c>
      <c r="G251" s="39">
        <v>425</v>
      </c>
      <c r="H251" s="39">
        <v>425</v>
      </c>
      <c r="I251" s="39">
        <v>0</v>
      </c>
      <c r="J251" s="39">
        <v>0</v>
      </c>
      <c r="K251" s="39">
        <v>0</v>
      </c>
      <c r="L251" s="39">
        <v>0</v>
      </c>
      <c r="M251" s="39">
        <v>0</v>
      </c>
      <c r="N251" s="39">
        <v>0</v>
      </c>
      <c r="O251" s="165">
        <v>0</v>
      </c>
      <c r="P251" s="165">
        <v>0</v>
      </c>
      <c r="Q251" s="165">
        <v>0</v>
      </c>
      <c r="R251" s="165">
        <v>0</v>
      </c>
      <c r="S251" s="165">
        <f t="shared" si="17"/>
        <v>0</v>
      </c>
      <c r="T251" s="41">
        <v>0</v>
      </c>
      <c r="U251" s="41">
        <v>0</v>
      </c>
      <c r="V251" s="41">
        <v>0</v>
      </c>
      <c r="W251" s="41">
        <v>0</v>
      </c>
      <c r="X251" s="41">
        <v>0</v>
      </c>
      <c r="Y251" s="41">
        <v>0</v>
      </c>
      <c r="Z251" s="41">
        <v>0</v>
      </c>
      <c r="AA251" s="41">
        <v>0</v>
      </c>
      <c r="AB251" s="41">
        <v>0</v>
      </c>
      <c r="AC251" s="41">
        <v>0</v>
      </c>
      <c r="AD251" s="41">
        <v>0</v>
      </c>
      <c r="AE251" s="41">
        <v>0</v>
      </c>
    </row>
    <row r="252" spans="1:33" s="34" customFormat="1" ht="16.25" customHeight="1" x14ac:dyDescent="0.4">
      <c r="A252" s="36"/>
      <c r="B252" s="36" t="s">
        <v>1263</v>
      </c>
      <c r="C252" s="36" t="s">
        <v>1267</v>
      </c>
      <c r="D252" s="32" t="s">
        <v>1270</v>
      </c>
      <c r="E252" s="15" t="s">
        <v>912</v>
      </c>
      <c r="F252" s="244" t="s">
        <v>1276</v>
      </c>
      <c r="G252" s="39">
        <v>200</v>
      </c>
      <c r="H252" s="39">
        <v>200</v>
      </c>
      <c r="I252" s="39">
        <v>0</v>
      </c>
      <c r="J252" s="39">
        <v>0</v>
      </c>
      <c r="K252" s="39">
        <v>0</v>
      </c>
      <c r="L252" s="39">
        <v>0</v>
      </c>
      <c r="M252" s="39">
        <v>0</v>
      </c>
      <c r="N252" s="39">
        <v>0</v>
      </c>
      <c r="O252" s="165">
        <v>0</v>
      </c>
      <c r="P252" s="165">
        <v>0</v>
      </c>
      <c r="Q252" s="165">
        <v>0</v>
      </c>
      <c r="R252" s="165">
        <v>0</v>
      </c>
      <c r="S252" s="165">
        <f t="shared" si="17"/>
        <v>0</v>
      </c>
      <c r="T252" s="41">
        <v>0</v>
      </c>
      <c r="U252" s="41">
        <v>0</v>
      </c>
      <c r="V252" s="41">
        <v>0</v>
      </c>
      <c r="W252" s="41">
        <v>0</v>
      </c>
      <c r="X252" s="41">
        <v>0</v>
      </c>
      <c r="Y252" s="41">
        <v>0</v>
      </c>
      <c r="Z252" s="41">
        <v>0</v>
      </c>
      <c r="AA252" s="41">
        <v>0</v>
      </c>
      <c r="AB252" s="41">
        <v>0</v>
      </c>
      <c r="AC252" s="41">
        <v>0</v>
      </c>
      <c r="AD252" s="41">
        <v>0</v>
      </c>
      <c r="AE252" s="41">
        <v>0</v>
      </c>
    </row>
    <row r="253" spans="1:33" s="34" customFormat="1" ht="16.25" customHeight="1" x14ac:dyDescent="0.4">
      <c r="A253" s="36"/>
      <c r="B253" s="36" t="s">
        <v>1263</v>
      </c>
      <c r="C253" s="36" t="s">
        <v>1267</v>
      </c>
      <c r="D253" s="36" t="s">
        <v>1272</v>
      </c>
      <c r="E253" s="15" t="s">
        <v>916</v>
      </c>
      <c r="F253" s="244" t="s">
        <v>1275</v>
      </c>
      <c r="G253" s="45">
        <v>8700</v>
      </c>
      <c r="H253" s="39">
        <v>8700</v>
      </c>
      <c r="I253" s="39">
        <v>8700</v>
      </c>
      <c r="J253" s="39">
        <v>4000</v>
      </c>
      <c r="K253" s="39">
        <v>4000</v>
      </c>
      <c r="L253" s="39">
        <v>0</v>
      </c>
      <c r="M253" s="39">
        <v>0</v>
      </c>
      <c r="N253" s="39">
        <v>0</v>
      </c>
      <c r="O253" s="165">
        <v>0</v>
      </c>
      <c r="P253" s="165">
        <v>0</v>
      </c>
      <c r="Q253" s="165">
        <v>0</v>
      </c>
      <c r="R253" s="165">
        <v>0</v>
      </c>
      <c r="S253" s="165">
        <f t="shared" si="17"/>
        <v>0</v>
      </c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</row>
    <row r="254" spans="1:33" s="34" customFormat="1" ht="16.25" customHeight="1" x14ac:dyDescent="0.4">
      <c r="A254" s="36"/>
      <c r="B254" s="36" t="s">
        <v>1263</v>
      </c>
      <c r="C254" s="36" t="s">
        <v>1267</v>
      </c>
      <c r="D254" s="36" t="s">
        <v>1272</v>
      </c>
      <c r="E254" s="15" t="s">
        <v>921</v>
      </c>
      <c r="F254" s="244" t="s">
        <v>1276</v>
      </c>
      <c r="G254" s="39">
        <v>100</v>
      </c>
      <c r="H254" s="39">
        <v>100</v>
      </c>
      <c r="I254" s="39">
        <v>100</v>
      </c>
      <c r="J254" s="39">
        <v>100</v>
      </c>
      <c r="K254" s="39">
        <v>100</v>
      </c>
      <c r="L254" s="39">
        <v>0</v>
      </c>
      <c r="M254" s="39">
        <v>0</v>
      </c>
      <c r="N254" s="39">
        <v>0</v>
      </c>
      <c r="O254" s="165">
        <v>0</v>
      </c>
      <c r="P254" s="165">
        <v>0</v>
      </c>
      <c r="Q254" s="165">
        <v>0</v>
      </c>
      <c r="R254" s="165">
        <v>0</v>
      </c>
      <c r="S254" s="165">
        <f t="shared" si="17"/>
        <v>0</v>
      </c>
      <c r="T254" s="41">
        <v>0</v>
      </c>
      <c r="U254" s="41">
        <v>0</v>
      </c>
      <c r="V254" s="41">
        <v>0</v>
      </c>
      <c r="W254" s="41">
        <v>0</v>
      </c>
      <c r="X254" s="41">
        <v>0</v>
      </c>
      <c r="Y254" s="41">
        <v>0</v>
      </c>
      <c r="Z254" s="41">
        <v>0</v>
      </c>
      <c r="AA254" s="41">
        <v>0</v>
      </c>
      <c r="AB254" s="41">
        <v>0</v>
      </c>
      <c r="AC254" s="41">
        <v>0</v>
      </c>
      <c r="AD254" s="41">
        <v>0</v>
      </c>
      <c r="AE254" s="41">
        <v>0</v>
      </c>
    </row>
    <row r="255" spans="1:33" s="34" customFormat="1" ht="16.25" customHeight="1" x14ac:dyDescent="0.4">
      <c r="A255" s="36"/>
      <c r="B255" s="36" t="s">
        <v>1263</v>
      </c>
      <c r="C255" s="36" t="s">
        <v>1267</v>
      </c>
      <c r="D255" s="36" t="s">
        <v>1272</v>
      </c>
      <c r="E255" s="15" t="s">
        <v>925</v>
      </c>
      <c r="F255" s="244" t="s">
        <v>1276</v>
      </c>
      <c r="G255" s="45">
        <v>300</v>
      </c>
      <c r="H255" s="39">
        <v>300</v>
      </c>
      <c r="I255" s="39">
        <v>300</v>
      </c>
      <c r="J255" s="39">
        <v>300</v>
      </c>
      <c r="K255" s="39">
        <v>300</v>
      </c>
      <c r="L255" s="39">
        <v>0</v>
      </c>
      <c r="M255" s="39">
        <v>0</v>
      </c>
      <c r="N255" s="39">
        <v>0</v>
      </c>
      <c r="O255" s="165">
        <v>0</v>
      </c>
      <c r="P255" s="165">
        <v>0</v>
      </c>
      <c r="Q255" s="165">
        <v>0</v>
      </c>
      <c r="R255" s="165">
        <v>0</v>
      </c>
      <c r="S255" s="165">
        <f t="shared" si="17"/>
        <v>0</v>
      </c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</row>
    <row r="256" spans="1:33" s="34" customFormat="1" ht="16.25" customHeight="1" x14ac:dyDescent="0.4">
      <c r="A256" s="36"/>
      <c r="B256" s="36" t="s">
        <v>1263</v>
      </c>
      <c r="C256" s="36" t="s">
        <v>1267</v>
      </c>
      <c r="D256" s="36" t="s">
        <v>1272</v>
      </c>
      <c r="E256" s="15" t="s">
        <v>929</v>
      </c>
      <c r="F256" s="244" t="s">
        <v>1276</v>
      </c>
      <c r="G256" s="39">
        <v>50</v>
      </c>
      <c r="H256" s="39">
        <v>50</v>
      </c>
      <c r="I256" s="39">
        <v>50</v>
      </c>
      <c r="J256" s="39">
        <v>50</v>
      </c>
      <c r="K256" s="39">
        <v>50</v>
      </c>
      <c r="L256" s="39">
        <v>0</v>
      </c>
      <c r="M256" s="39">
        <v>0</v>
      </c>
      <c r="N256" s="39">
        <v>0</v>
      </c>
      <c r="O256" s="165">
        <v>0</v>
      </c>
      <c r="P256" s="165">
        <v>0</v>
      </c>
      <c r="Q256" s="165">
        <v>0</v>
      </c>
      <c r="R256" s="165">
        <v>0</v>
      </c>
      <c r="S256" s="165">
        <f t="shared" si="17"/>
        <v>0</v>
      </c>
      <c r="T256" s="41">
        <v>0</v>
      </c>
      <c r="U256" s="41">
        <v>0</v>
      </c>
      <c r="V256" s="41">
        <v>0</v>
      </c>
      <c r="W256" s="41">
        <v>0</v>
      </c>
      <c r="X256" s="41">
        <v>0</v>
      </c>
      <c r="Y256" s="41">
        <v>0</v>
      </c>
      <c r="Z256" s="41">
        <v>0</v>
      </c>
      <c r="AA256" s="41">
        <v>0</v>
      </c>
      <c r="AB256" s="41">
        <v>0</v>
      </c>
      <c r="AC256" s="41">
        <v>0</v>
      </c>
      <c r="AD256" s="41">
        <v>0</v>
      </c>
      <c r="AE256" s="41">
        <v>0</v>
      </c>
    </row>
    <row r="257" spans="1:33" s="34" customFormat="1" ht="16.25" customHeight="1" x14ac:dyDescent="0.4">
      <c r="A257" s="36"/>
      <c r="B257" s="36" t="s">
        <v>1263</v>
      </c>
      <c r="C257" s="36" t="s">
        <v>1267</v>
      </c>
      <c r="D257" s="36" t="s">
        <v>1272</v>
      </c>
      <c r="E257" s="15" t="s">
        <v>932</v>
      </c>
      <c r="F257" s="244" t="s">
        <v>1276</v>
      </c>
      <c r="G257" s="45">
        <v>150</v>
      </c>
      <c r="H257" s="39">
        <v>150</v>
      </c>
      <c r="I257" s="39">
        <v>150</v>
      </c>
      <c r="J257" s="39">
        <v>150</v>
      </c>
      <c r="K257" s="39">
        <v>150</v>
      </c>
      <c r="L257" s="39">
        <v>0</v>
      </c>
      <c r="M257" s="39">
        <v>0</v>
      </c>
      <c r="N257" s="39">
        <v>0</v>
      </c>
      <c r="O257" s="165">
        <v>0</v>
      </c>
      <c r="P257" s="165">
        <v>0</v>
      </c>
      <c r="Q257" s="165">
        <v>0</v>
      </c>
      <c r="R257" s="165">
        <v>0</v>
      </c>
      <c r="S257" s="165">
        <f t="shared" si="17"/>
        <v>0</v>
      </c>
      <c r="T257" s="41">
        <v>0</v>
      </c>
      <c r="U257" s="41">
        <v>0</v>
      </c>
      <c r="V257" s="41">
        <v>0</v>
      </c>
      <c r="W257" s="41">
        <v>0</v>
      </c>
      <c r="X257" s="41">
        <v>0</v>
      </c>
      <c r="Y257" s="41">
        <v>0</v>
      </c>
      <c r="Z257" s="41">
        <v>0</v>
      </c>
      <c r="AA257" s="41">
        <v>0</v>
      </c>
      <c r="AB257" s="41">
        <v>0</v>
      </c>
      <c r="AC257" s="41">
        <v>0</v>
      </c>
      <c r="AD257" s="41">
        <v>0</v>
      </c>
      <c r="AE257" s="41">
        <v>0</v>
      </c>
    </row>
    <row r="258" spans="1:33" s="34" customFormat="1" ht="16.25" customHeight="1" x14ac:dyDescent="0.4">
      <c r="A258" s="36"/>
      <c r="B258" s="36" t="s">
        <v>1263</v>
      </c>
      <c r="C258" s="36" t="s">
        <v>1267</v>
      </c>
      <c r="D258" s="36" t="s">
        <v>1272</v>
      </c>
      <c r="E258" s="15" t="s">
        <v>935</v>
      </c>
      <c r="F258" s="244" t="s">
        <v>1276</v>
      </c>
      <c r="G258" s="45">
        <v>100</v>
      </c>
      <c r="H258" s="39">
        <v>100</v>
      </c>
      <c r="I258" s="39">
        <v>100</v>
      </c>
      <c r="J258" s="39">
        <v>0</v>
      </c>
      <c r="K258" s="39">
        <v>0</v>
      </c>
      <c r="L258" s="39">
        <v>0</v>
      </c>
      <c r="M258" s="39">
        <v>0</v>
      </c>
      <c r="N258" s="39">
        <v>0</v>
      </c>
      <c r="O258" s="165">
        <v>0</v>
      </c>
      <c r="P258" s="165">
        <v>0</v>
      </c>
      <c r="Q258" s="165">
        <v>0</v>
      </c>
      <c r="R258" s="165">
        <v>0</v>
      </c>
      <c r="S258" s="165">
        <f t="shared" si="17"/>
        <v>0</v>
      </c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</row>
    <row r="259" spans="1:33" s="34" customFormat="1" ht="16.25" customHeight="1" x14ac:dyDescent="0.4">
      <c r="A259" s="36"/>
      <c r="B259" s="36" t="s">
        <v>1263</v>
      </c>
      <c r="C259" s="36" t="s">
        <v>1267</v>
      </c>
      <c r="D259" s="36" t="s">
        <v>1272</v>
      </c>
      <c r="E259" s="15" t="s">
        <v>938</v>
      </c>
      <c r="F259" s="244" t="s">
        <v>1276</v>
      </c>
      <c r="G259" s="45">
        <v>50</v>
      </c>
      <c r="H259" s="39">
        <v>50</v>
      </c>
      <c r="I259" s="39">
        <v>50</v>
      </c>
      <c r="J259" s="39">
        <v>50</v>
      </c>
      <c r="K259" s="39">
        <v>50</v>
      </c>
      <c r="L259" s="39">
        <v>0</v>
      </c>
      <c r="M259" s="39">
        <v>0</v>
      </c>
      <c r="N259" s="39">
        <v>0</v>
      </c>
      <c r="O259" s="165">
        <v>0</v>
      </c>
      <c r="P259" s="165">
        <v>0</v>
      </c>
      <c r="Q259" s="165">
        <v>0</v>
      </c>
      <c r="R259" s="165">
        <v>0</v>
      </c>
      <c r="S259" s="165">
        <f t="shared" si="17"/>
        <v>0</v>
      </c>
      <c r="T259" s="41">
        <v>0</v>
      </c>
      <c r="U259" s="41">
        <v>0</v>
      </c>
      <c r="V259" s="41">
        <v>0</v>
      </c>
      <c r="W259" s="41">
        <v>0</v>
      </c>
      <c r="X259" s="41">
        <v>0</v>
      </c>
      <c r="Y259" s="41">
        <v>0</v>
      </c>
      <c r="Z259" s="41">
        <v>0</v>
      </c>
      <c r="AA259" s="41">
        <v>0</v>
      </c>
      <c r="AB259" s="41">
        <v>0</v>
      </c>
      <c r="AC259" s="41">
        <v>0</v>
      </c>
      <c r="AD259" s="41">
        <v>0</v>
      </c>
      <c r="AE259" s="41">
        <v>0</v>
      </c>
    </row>
    <row r="260" spans="1:33" s="34" customFormat="1" ht="16.25" customHeight="1" x14ac:dyDescent="0.4">
      <c r="A260" s="36"/>
      <c r="B260" s="36" t="s">
        <v>1263</v>
      </c>
      <c r="C260" s="36" t="s">
        <v>1267</v>
      </c>
      <c r="D260" s="32" t="s">
        <v>1271</v>
      </c>
      <c r="E260" s="15" t="s">
        <v>941</v>
      </c>
      <c r="F260" s="244" t="s">
        <v>1275</v>
      </c>
      <c r="G260" s="45">
        <v>0</v>
      </c>
      <c r="H260" s="39">
        <v>0</v>
      </c>
      <c r="I260" s="39">
        <v>0</v>
      </c>
      <c r="J260" s="39">
        <v>0</v>
      </c>
      <c r="K260" s="39">
        <v>0</v>
      </c>
      <c r="L260" s="39">
        <v>0</v>
      </c>
      <c r="M260" s="39">
        <v>0</v>
      </c>
      <c r="N260" s="39">
        <v>0</v>
      </c>
      <c r="O260" s="165">
        <v>0</v>
      </c>
      <c r="P260" s="165">
        <v>0</v>
      </c>
      <c r="Q260" s="165">
        <v>0</v>
      </c>
      <c r="R260" s="165">
        <v>0</v>
      </c>
      <c r="S260" s="165">
        <f t="shared" si="17"/>
        <v>0</v>
      </c>
      <c r="T260" s="41">
        <v>0</v>
      </c>
      <c r="U260" s="41">
        <v>0</v>
      </c>
      <c r="V260" s="41">
        <v>0</v>
      </c>
      <c r="W260" s="41">
        <v>0</v>
      </c>
      <c r="X260" s="41">
        <v>0</v>
      </c>
      <c r="Y260" s="41">
        <v>0</v>
      </c>
      <c r="Z260" s="41">
        <v>0</v>
      </c>
      <c r="AA260" s="41">
        <v>0</v>
      </c>
      <c r="AB260" s="41">
        <v>0</v>
      </c>
      <c r="AC260" s="41">
        <v>0</v>
      </c>
      <c r="AD260" s="41">
        <v>0</v>
      </c>
      <c r="AE260" s="41">
        <v>0</v>
      </c>
    </row>
    <row r="261" spans="1:33" s="34" customFormat="1" ht="16.25" customHeight="1" x14ac:dyDescent="0.4">
      <c r="A261" s="36"/>
      <c r="B261" s="36" t="s">
        <v>1263</v>
      </c>
      <c r="C261" s="36" t="s">
        <v>1267</v>
      </c>
      <c r="D261" s="32" t="s">
        <v>1271</v>
      </c>
      <c r="E261" s="53" t="s">
        <v>941</v>
      </c>
      <c r="F261" s="246" t="s">
        <v>1179</v>
      </c>
      <c r="G261" s="37">
        <v>35</v>
      </c>
      <c r="H261" s="39">
        <v>35</v>
      </c>
      <c r="I261" s="39">
        <v>35</v>
      </c>
      <c r="J261" s="39">
        <v>35</v>
      </c>
      <c r="K261" s="39">
        <v>35</v>
      </c>
      <c r="L261" s="39">
        <v>35</v>
      </c>
      <c r="M261" s="39">
        <v>0</v>
      </c>
      <c r="N261" s="39">
        <v>0</v>
      </c>
      <c r="O261" s="165">
        <v>0</v>
      </c>
      <c r="P261" s="165">
        <v>0</v>
      </c>
      <c r="Q261" s="165">
        <v>0</v>
      </c>
      <c r="R261" s="165">
        <v>0</v>
      </c>
      <c r="S261" s="165">
        <f t="shared" si="17"/>
        <v>0</v>
      </c>
      <c r="T261" s="41"/>
      <c r="U261" s="41"/>
      <c r="V261" s="41"/>
      <c r="W261" s="41"/>
      <c r="X261" s="41"/>
      <c r="Y261" s="41"/>
      <c r="Z261" s="41"/>
      <c r="AA261" s="41"/>
      <c r="AB261" s="41"/>
      <c r="AC261" s="41">
        <v>0</v>
      </c>
      <c r="AD261" s="41">
        <v>0</v>
      </c>
      <c r="AE261" s="41">
        <v>0</v>
      </c>
    </row>
    <row r="262" spans="1:33" s="34" customFormat="1" ht="16.25" customHeight="1" x14ac:dyDescent="0.4">
      <c r="A262" s="36"/>
      <c r="B262" s="36" t="s">
        <v>1263</v>
      </c>
      <c r="C262" s="36" t="s">
        <v>1267</v>
      </c>
      <c r="D262" s="32" t="s">
        <v>1271</v>
      </c>
      <c r="E262" s="15" t="s">
        <v>945</v>
      </c>
      <c r="F262" s="244" t="s">
        <v>1276</v>
      </c>
      <c r="G262" s="37">
        <v>300</v>
      </c>
      <c r="H262" s="39">
        <v>300</v>
      </c>
      <c r="I262" s="39">
        <v>300</v>
      </c>
      <c r="J262" s="39">
        <v>300</v>
      </c>
      <c r="K262" s="39">
        <v>300</v>
      </c>
      <c r="L262" s="39">
        <v>300</v>
      </c>
      <c r="M262" s="39">
        <v>300</v>
      </c>
      <c r="N262" s="39">
        <v>300</v>
      </c>
      <c r="O262" s="165">
        <v>300</v>
      </c>
      <c r="P262" s="165">
        <v>44</v>
      </c>
      <c r="Q262" s="165">
        <v>44</v>
      </c>
      <c r="R262" s="165">
        <v>48</v>
      </c>
      <c r="S262" s="118">
        <f>SUM(T262:AE262)</f>
        <v>48</v>
      </c>
      <c r="T262" s="41"/>
      <c r="U262" s="41"/>
      <c r="V262" s="41"/>
      <c r="W262" s="41"/>
      <c r="X262" s="41"/>
      <c r="Y262" s="41"/>
      <c r="Z262" s="41"/>
      <c r="AA262" s="41"/>
      <c r="AB262" s="41"/>
      <c r="AC262" s="41">
        <v>0</v>
      </c>
      <c r="AD262" s="41">
        <v>48</v>
      </c>
      <c r="AE262" s="41">
        <v>0</v>
      </c>
      <c r="AG262" s="165"/>
    </row>
    <row r="263" spans="1:33" s="34" customFormat="1" ht="16.25" customHeight="1" x14ac:dyDescent="0.4">
      <c r="A263" s="36"/>
      <c r="B263" s="36" t="s">
        <v>1263</v>
      </c>
      <c r="C263" s="36" t="s">
        <v>1267</v>
      </c>
      <c r="D263" s="32" t="s">
        <v>1274</v>
      </c>
      <c r="E263" s="15" t="s">
        <v>949</v>
      </c>
      <c r="F263" s="246" t="s">
        <v>1179</v>
      </c>
      <c r="G263" s="39"/>
      <c r="H263" s="39"/>
      <c r="I263" s="39">
        <v>1080</v>
      </c>
      <c r="J263" s="39">
        <v>1080</v>
      </c>
      <c r="K263" s="39">
        <v>0</v>
      </c>
      <c r="L263" s="39">
        <v>0</v>
      </c>
      <c r="M263" s="39">
        <v>0</v>
      </c>
      <c r="N263" s="39">
        <v>0</v>
      </c>
      <c r="O263" s="165">
        <v>0</v>
      </c>
      <c r="P263" s="165">
        <v>0</v>
      </c>
      <c r="Q263" s="165">
        <v>0</v>
      </c>
      <c r="R263" s="165">
        <v>0</v>
      </c>
      <c r="S263" s="165">
        <f t="shared" ref="S263:S280" si="18">SUM(T263:AE263)</f>
        <v>0</v>
      </c>
      <c r="T263" s="41">
        <v>0</v>
      </c>
      <c r="U263" s="41">
        <v>0</v>
      </c>
      <c r="V263" s="41">
        <v>0</v>
      </c>
      <c r="W263" s="41">
        <v>0</v>
      </c>
      <c r="X263" s="41">
        <v>0</v>
      </c>
      <c r="Y263" s="41">
        <v>0</v>
      </c>
      <c r="Z263" s="41">
        <v>0</v>
      </c>
      <c r="AA263" s="41">
        <v>0</v>
      </c>
      <c r="AB263" s="41">
        <v>0</v>
      </c>
      <c r="AC263" s="41">
        <v>0</v>
      </c>
      <c r="AD263" s="41">
        <v>0</v>
      </c>
      <c r="AE263" s="41">
        <v>0</v>
      </c>
    </row>
    <row r="264" spans="1:33" s="34" customFormat="1" ht="16.25" customHeight="1" x14ac:dyDescent="0.4">
      <c r="A264" s="36"/>
      <c r="B264" s="36" t="s">
        <v>1263</v>
      </c>
      <c r="C264" s="36" t="s">
        <v>1267</v>
      </c>
      <c r="D264" s="32" t="s">
        <v>1274</v>
      </c>
      <c r="E264" s="15" t="s">
        <v>952</v>
      </c>
      <c r="F264" s="244" t="s">
        <v>1185</v>
      </c>
      <c r="G264" s="37">
        <v>703.80000000000007</v>
      </c>
      <c r="H264" s="39">
        <v>703.80000000000007</v>
      </c>
      <c r="I264" s="39">
        <v>648</v>
      </c>
      <c r="J264" s="39">
        <v>648</v>
      </c>
      <c r="K264" s="39">
        <v>648</v>
      </c>
      <c r="L264" s="39">
        <v>279.90000000000003</v>
      </c>
      <c r="M264" s="39">
        <v>279.90000000000003</v>
      </c>
      <c r="N264" s="39">
        <v>210</v>
      </c>
      <c r="O264" s="165">
        <v>101.25</v>
      </c>
      <c r="P264" s="165">
        <v>100</v>
      </c>
      <c r="Q264" s="165">
        <v>0</v>
      </c>
      <c r="R264" s="165">
        <v>0</v>
      </c>
      <c r="S264" s="165">
        <f t="shared" si="18"/>
        <v>0</v>
      </c>
      <c r="T264" s="41"/>
      <c r="U264" s="41"/>
      <c r="V264" s="41"/>
      <c r="W264" s="41"/>
      <c r="X264" s="41"/>
      <c r="Y264" s="41"/>
      <c r="Z264" s="41"/>
      <c r="AA264" s="41"/>
      <c r="AB264" s="41"/>
      <c r="AC264" s="41">
        <v>0</v>
      </c>
      <c r="AD264" s="41">
        <v>0</v>
      </c>
      <c r="AE264" s="41">
        <v>0</v>
      </c>
    </row>
    <row r="265" spans="1:33" s="34" customFormat="1" ht="16.25" customHeight="1" x14ac:dyDescent="0.4">
      <c r="A265" s="36"/>
      <c r="B265" s="36" t="s">
        <v>1263</v>
      </c>
      <c r="C265" s="36" t="s">
        <v>1267</v>
      </c>
      <c r="D265" s="32" t="s">
        <v>1274</v>
      </c>
      <c r="E265" s="15" t="s">
        <v>957</v>
      </c>
      <c r="F265" s="244" t="s">
        <v>1185</v>
      </c>
      <c r="G265" s="37">
        <v>270</v>
      </c>
      <c r="H265" s="39">
        <v>270</v>
      </c>
      <c r="I265" s="39">
        <v>315</v>
      </c>
      <c r="J265" s="39">
        <v>315</v>
      </c>
      <c r="K265" s="39">
        <v>315</v>
      </c>
      <c r="L265" s="39">
        <v>250.20000000000002</v>
      </c>
      <c r="M265" s="39">
        <v>250.20000000000002</v>
      </c>
      <c r="N265" s="39">
        <v>140</v>
      </c>
      <c r="O265" s="165">
        <v>70</v>
      </c>
      <c r="P265" s="165">
        <v>0</v>
      </c>
      <c r="Q265" s="165">
        <v>0</v>
      </c>
      <c r="R265" s="165">
        <v>0</v>
      </c>
      <c r="S265" s="165">
        <f t="shared" si="18"/>
        <v>0</v>
      </c>
      <c r="T265" s="41"/>
      <c r="U265" s="41"/>
      <c r="V265" s="41"/>
      <c r="W265" s="41"/>
      <c r="X265" s="41"/>
      <c r="Y265" s="41"/>
      <c r="Z265" s="41"/>
      <c r="AA265" s="41"/>
      <c r="AB265" s="41"/>
      <c r="AC265" s="41">
        <v>0</v>
      </c>
      <c r="AD265" s="41">
        <v>0</v>
      </c>
      <c r="AE265" s="41">
        <v>0</v>
      </c>
    </row>
    <row r="266" spans="1:33" s="34" customFormat="1" ht="16.25" customHeight="1" x14ac:dyDescent="0.4">
      <c r="A266" s="36"/>
      <c r="B266" s="36" t="s">
        <v>1263</v>
      </c>
      <c r="C266" s="36" t="s">
        <v>1267</v>
      </c>
      <c r="D266" s="32" t="s">
        <v>1271</v>
      </c>
      <c r="E266" s="15" t="s">
        <v>961</v>
      </c>
      <c r="F266" s="244" t="s">
        <v>1275</v>
      </c>
      <c r="G266" s="37">
        <v>0</v>
      </c>
      <c r="H266" s="39">
        <v>0</v>
      </c>
      <c r="I266" s="39">
        <v>450</v>
      </c>
      <c r="J266" s="39">
        <v>450</v>
      </c>
      <c r="K266" s="39">
        <v>450</v>
      </c>
      <c r="L266" s="39">
        <v>450</v>
      </c>
      <c r="M266" s="39">
        <v>0</v>
      </c>
      <c r="N266" s="39">
        <v>0</v>
      </c>
      <c r="O266" s="165">
        <v>0</v>
      </c>
      <c r="P266" s="165">
        <v>0</v>
      </c>
      <c r="Q266" s="165">
        <v>0</v>
      </c>
      <c r="R266" s="165">
        <v>0</v>
      </c>
      <c r="S266" s="165">
        <f t="shared" si="18"/>
        <v>0</v>
      </c>
      <c r="T266" s="41">
        <v>0</v>
      </c>
      <c r="U266" s="41">
        <v>0</v>
      </c>
      <c r="V266" s="41">
        <v>0</v>
      </c>
      <c r="W266" s="41">
        <v>0</v>
      </c>
      <c r="X266" s="41">
        <v>0</v>
      </c>
      <c r="Y266" s="41">
        <v>0</v>
      </c>
      <c r="Z266" s="41">
        <v>0</v>
      </c>
      <c r="AA266" s="41">
        <v>0</v>
      </c>
      <c r="AB266" s="41">
        <v>0</v>
      </c>
      <c r="AC266" s="41">
        <v>0</v>
      </c>
      <c r="AD266" s="41">
        <v>0</v>
      </c>
      <c r="AE266" s="41">
        <v>0</v>
      </c>
    </row>
    <row r="267" spans="1:33" s="34" customFormat="1" ht="16.25" customHeight="1" x14ac:dyDescent="0.4">
      <c r="A267" s="36"/>
      <c r="B267" s="36" t="s">
        <v>1263</v>
      </c>
      <c r="C267" s="36" t="s">
        <v>1267</v>
      </c>
      <c r="D267" s="32" t="s">
        <v>1271</v>
      </c>
      <c r="E267" s="15" t="s">
        <v>967</v>
      </c>
      <c r="F267" s="244" t="s">
        <v>1275</v>
      </c>
      <c r="G267" s="37"/>
      <c r="H267" s="39"/>
      <c r="I267" s="39"/>
      <c r="J267" s="39"/>
      <c r="K267" s="39"/>
      <c r="L267" s="39"/>
      <c r="M267" s="39">
        <v>180</v>
      </c>
      <c r="N267" s="39">
        <v>180</v>
      </c>
      <c r="O267" s="165">
        <v>180</v>
      </c>
      <c r="P267" s="165">
        <v>35</v>
      </c>
      <c r="Q267" s="165">
        <v>0</v>
      </c>
      <c r="R267" s="165">
        <v>0</v>
      </c>
      <c r="S267" s="165">
        <f t="shared" si="18"/>
        <v>0</v>
      </c>
      <c r="AB267" s="41"/>
      <c r="AC267" s="41">
        <v>0</v>
      </c>
      <c r="AD267" s="41">
        <v>0</v>
      </c>
      <c r="AE267" s="41">
        <v>0</v>
      </c>
    </row>
    <row r="268" spans="1:33" s="34" customFormat="1" ht="14.75" customHeight="1" x14ac:dyDescent="0.4">
      <c r="A268" s="36"/>
      <c r="B268" s="36" t="s">
        <v>1263</v>
      </c>
      <c r="C268" s="36" t="s">
        <v>1267</v>
      </c>
      <c r="D268" s="32" t="s">
        <v>1270</v>
      </c>
      <c r="E268" s="15" t="s">
        <v>969</v>
      </c>
      <c r="F268" s="244" t="s">
        <v>1276</v>
      </c>
      <c r="G268" s="39"/>
      <c r="H268" s="39"/>
      <c r="I268" s="39"/>
      <c r="J268" s="39"/>
      <c r="K268" s="39"/>
      <c r="L268" s="39"/>
      <c r="M268" s="39"/>
      <c r="N268" s="39">
        <v>600</v>
      </c>
      <c r="O268" s="165">
        <v>200</v>
      </c>
      <c r="P268" s="165">
        <v>0</v>
      </c>
      <c r="Q268" s="165">
        <v>0</v>
      </c>
      <c r="R268" s="165">
        <v>0</v>
      </c>
      <c r="S268" s="165">
        <f t="shared" si="18"/>
        <v>0</v>
      </c>
      <c r="T268" s="41"/>
      <c r="U268" s="41"/>
      <c r="V268" s="41"/>
      <c r="W268" s="41"/>
      <c r="X268" s="41"/>
      <c r="Y268" s="41"/>
      <c r="Z268" s="41"/>
      <c r="AA268" s="41"/>
      <c r="AB268" s="41"/>
      <c r="AC268" s="41">
        <v>0</v>
      </c>
      <c r="AD268" s="41">
        <v>0</v>
      </c>
      <c r="AE268" s="41">
        <v>0</v>
      </c>
    </row>
    <row r="269" spans="1:33" s="34" customFormat="1" ht="14.75" customHeight="1" x14ac:dyDescent="0.4">
      <c r="A269" s="36"/>
      <c r="B269" s="36" t="s">
        <v>1263</v>
      </c>
      <c r="C269" s="36" t="s">
        <v>1267</v>
      </c>
      <c r="D269" s="32" t="s">
        <v>1270</v>
      </c>
      <c r="E269" s="15" t="s">
        <v>193</v>
      </c>
      <c r="F269" s="244" t="s">
        <v>1275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165">
        <v>0</v>
      </c>
      <c r="P269" s="165">
        <v>0</v>
      </c>
      <c r="Q269" s="165">
        <v>0</v>
      </c>
      <c r="R269" s="165">
        <v>0</v>
      </c>
      <c r="S269" s="165">
        <f t="shared" si="18"/>
        <v>0</v>
      </c>
      <c r="AC269" s="41">
        <v>0</v>
      </c>
      <c r="AD269" s="41">
        <v>0</v>
      </c>
      <c r="AE269" s="41">
        <v>0</v>
      </c>
    </row>
    <row r="270" spans="1:33" s="34" customFormat="1" ht="14.75" customHeight="1" x14ac:dyDescent="0.4">
      <c r="A270" s="36"/>
      <c r="B270" s="36" t="s">
        <v>1263</v>
      </c>
      <c r="C270" s="36" t="s">
        <v>1267</v>
      </c>
      <c r="D270" s="32" t="s">
        <v>1271</v>
      </c>
      <c r="E270" s="36" t="s">
        <v>193</v>
      </c>
      <c r="F270" s="244" t="s">
        <v>1275</v>
      </c>
      <c r="G270" s="37">
        <v>0</v>
      </c>
      <c r="H270" s="39">
        <v>0</v>
      </c>
      <c r="I270" s="39">
        <v>0</v>
      </c>
      <c r="J270" s="39">
        <v>0</v>
      </c>
      <c r="K270" s="39">
        <v>0</v>
      </c>
      <c r="L270" s="39">
        <v>0</v>
      </c>
      <c r="M270" s="39">
        <v>0</v>
      </c>
      <c r="N270" s="39">
        <v>0</v>
      </c>
      <c r="O270" s="165">
        <v>0</v>
      </c>
      <c r="P270" s="165">
        <v>0</v>
      </c>
      <c r="Q270" s="165">
        <v>0</v>
      </c>
      <c r="R270" s="165">
        <v>0</v>
      </c>
      <c r="S270" s="165">
        <f t="shared" si="18"/>
        <v>0</v>
      </c>
      <c r="AC270" s="41">
        <v>0</v>
      </c>
      <c r="AD270" s="41">
        <v>0</v>
      </c>
      <c r="AE270" s="41">
        <v>0</v>
      </c>
    </row>
    <row r="271" spans="1:33" s="34" customFormat="1" ht="14.75" customHeight="1" x14ac:dyDescent="0.4">
      <c r="A271" s="36"/>
      <c r="B271" s="36" t="s">
        <v>1263</v>
      </c>
      <c r="C271" s="36" t="s">
        <v>1267</v>
      </c>
      <c r="D271" s="36" t="s">
        <v>1273</v>
      </c>
      <c r="E271" s="36" t="s">
        <v>193</v>
      </c>
      <c r="F271" s="244" t="s">
        <v>1185</v>
      </c>
      <c r="G271" s="37"/>
      <c r="H271" s="39"/>
      <c r="I271" s="39"/>
      <c r="J271" s="39"/>
      <c r="K271" s="39">
        <v>1000</v>
      </c>
      <c r="L271" s="39">
        <v>800</v>
      </c>
      <c r="M271" s="39">
        <v>0</v>
      </c>
      <c r="N271" s="39">
        <v>0</v>
      </c>
      <c r="O271" s="165">
        <v>0</v>
      </c>
      <c r="P271" s="165">
        <v>0</v>
      </c>
      <c r="Q271" s="165">
        <v>0</v>
      </c>
      <c r="R271" s="165">
        <v>0</v>
      </c>
      <c r="S271" s="165">
        <f t="shared" si="18"/>
        <v>0</v>
      </c>
      <c r="AC271" s="41">
        <v>0</v>
      </c>
      <c r="AD271" s="41">
        <v>0</v>
      </c>
      <c r="AE271" s="41">
        <v>0</v>
      </c>
    </row>
    <row r="272" spans="1:33" s="34" customFormat="1" ht="14.75" customHeight="1" x14ac:dyDescent="0.4">
      <c r="A272" s="36"/>
      <c r="B272" s="36" t="s">
        <v>1263</v>
      </c>
      <c r="C272" s="36" t="s">
        <v>1267</v>
      </c>
      <c r="D272" s="32" t="s">
        <v>1271</v>
      </c>
      <c r="E272" s="32" t="s">
        <v>193</v>
      </c>
      <c r="F272" s="244" t="s">
        <v>1276</v>
      </c>
      <c r="G272" s="39">
        <v>3500</v>
      </c>
      <c r="H272" s="39">
        <v>3500</v>
      </c>
      <c r="I272" s="39">
        <v>3500</v>
      </c>
      <c r="J272" s="39">
        <v>2000</v>
      </c>
      <c r="K272" s="39">
        <v>0</v>
      </c>
      <c r="L272" s="39">
        <v>2000</v>
      </c>
      <c r="M272" s="39">
        <v>1500</v>
      </c>
      <c r="N272" s="39">
        <v>0</v>
      </c>
      <c r="O272" s="165">
        <v>0</v>
      </c>
      <c r="P272" s="165">
        <v>0</v>
      </c>
      <c r="Q272" s="165">
        <v>0</v>
      </c>
      <c r="R272" s="165">
        <v>0</v>
      </c>
      <c r="S272" s="165">
        <f t="shared" si="18"/>
        <v>0</v>
      </c>
      <c r="AC272" s="41">
        <v>0</v>
      </c>
      <c r="AD272" s="41">
        <v>0</v>
      </c>
      <c r="AE272" s="41">
        <v>0</v>
      </c>
    </row>
    <row r="273" spans="1:32" s="34" customFormat="1" ht="14.75" customHeight="1" x14ac:dyDescent="0.4">
      <c r="A273" s="36"/>
      <c r="B273" s="36" t="s">
        <v>1263</v>
      </c>
      <c r="C273" s="36" t="s">
        <v>1267</v>
      </c>
      <c r="D273" s="32" t="s">
        <v>1271</v>
      </c>
      <c r="E273" s="15" t="s">
        <v>193</v>
      </c>
      <c r="F273" s="244" t="s">
        <v>1276</v>
      </c>
      <c r="G273" s="37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165">
        <v>0</v>
      </c>
      <c r="P273" s="165">
        <v>0</v>
      </c>
      <c r="Q273" s="165">
        <v>0</v>
      </c>
      <c r="R273" s="165">
        <v>0</v>
      </c>
      <c r="S273" s="165">
        <f t="shared" si="18"/>
        <v>0</v>
      </c>
      <c r="T273" s="41">
        <v>0</v>
      </c>
      <c r="U273" s="41">
        <v>0</v>
      </c>
      <c r="V273" s="41">
        <v>0</v>
      </c>
      <c r="W273" s="41">
        <v>0</v>
      </c>
      <c r="X273" s="41">
        <v>0</v>
      </c>
      <c r="Y273" s="41">
        <v>0</v>
      </c>
      <c r="Z273" s="41">
        <v>0</v>
      </c>
      <c r="AA273" s="41">
        <v>0</v>
      </c>
      <c r="AB273" s="41">
        <v>0</v>
      </c>
      <c r="AC273" s="41">
        <v>0</v>
      </c>
      <c r="AD273" s="41">
        <v>0</v>
      </c>
      <c r="AE273" s="41">
        <v>0</v>
      </c>
    </row>
    <row r="274" spans="1:32" s="34" customFormat="1" ht="14.75" customHeight="1" x14ac:dyDescent="0.4">
      <c r="A274" s="36"/>
      <c r="B274" s="36" t="s">
        <v>1263</v>
      </c>
      <c r="C274" s="36" t="s">
        <v>1267</v>
      </c>
      <c r="D274" s="32" t="s">
        <v>1274</v>
      </c>
      <c r="E274" s="15" t="s">
        <v>193</v>
      </c>
      <c r="F274" s="244" t="s">
        <v>1185</v>
      </c>
      <c r="G274" s="37">
        <v>0</v>
      </c>
      <c r="H274" s="39">
        <v>0</v>
      </c>
      <c r="I274" s="39">
        <v>0</v>
      </c>
      <c r="J274" s="39">
        <v>0</v>
      </c>
      <c r="K274" s="39">
        <v>0</v>
      </c>
      <c r="L274" s="39">
        <v>0</v>
      </c>
      <c r="M274" s="39">
        <v>0</v>
      </c>
      <c r="N274" s="39">
        <v>0</v>
      </c>
      <c r="O274" s="165">
        <v>0</v>
      </c>
      <c r="P274" s="165">
        <v>0</v>
      </c>
      <c r="Q274" s="165">
        <v>0</v>
      </c>
      <c r="R274" s="165">
        <v>0</v>
      </c>
      <c r="S274" s="165">
        <f t="shared" si="18"/>
        <v>0</v>
      </c>
      <c r="T274" s="41">
        <v>0</v>
      </c>
      <c r="U274" s="41">
        <v>0</v>
      </c>
      <c r="V274" s="41">
        <v>0</v>
      </c>
      <c r="W274" s="41">
        <v>0</v>
      </c>
      <c r="X274" s="41">
        <v>0</v>
      </c>
      <c r="Y274" s="41">
        <v>0</v>
      </c>
      <c r="Z274" s="41">
        <v>0</v>
      </c>
      <c r="AA274" s="41">
        <v>0</v>
      </c>
      <c r="AB274" s="41">
        <v>0</v>
      </c>
      <c r="AC274" s="41">
        <v>0</v>
      </c>
      <c r="AD274" s="41">
        <v>0</v>
      </c>
      <c r="AE274" s="41">
        <v>0</v>
      </c>
    </row>
    <row r="275" spans="1:32" s="34" customFormat="1" ht="14.75" customHeight="1" x14ac:dyDescent="0.4">
      <c r="A275" s="36"/>
      <c r="B275" s="36" t="s">
        <v>1263</v>
      </c>
      <c r="C275" s="36" t="s">
        <v>1267</v>
      </c>
      <c r="D275" s="32" t="s">
        <v>1271</v>
      </c>
      <c r="E275" s="15" t="s">
        <v>193</v>
      </c>
      <c r="F275" s="244" t="s">
        <v>1275</v>
      </c>
      <c r="G275" s="37">
        <v>0</v>
      </c>
      <c r="H275" s="39">
        <v>0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165">
        <v>0</v>
      </c>
      <c r="P275" s="165">
        <v>0</v>
      </c>
      <c r="Q275" s="165">
        <v>0</v>
      </c>
      <c r="R275" s="165">
        <v>0</v>
      </c>
      <c r="S275" s="165">
        <f t="shared" si="18"/>
        <v>0</v>
      </c>
      <c r="T275" s="41">
        <v>0</v>
      </c>
      <c r="U275" s="41">
        <v>0</v>
      </c>
      <c r="V275" s="41">
        <v>0</v>
      </c>
      <c r="W275" s="41">
        <v>0</v>
      </c>
      <c r="X275" s="41">
        <v>0</v>
      </c>
      <c r="Y275" s="41">
        <v>0</v>
      </c>
      <c r="Z275" s="41">
        <v>0</v>
      </c>
      <c r="AA275" s="41">
        <v>0</v>
      </c>
      <c r="AB275" s="41">
        <v>0</v>
      </c>
      <c r="AC275" s="41">
        <v>0</v>
      </c>
      <c r="AD275" s="41">
        <v>0</v>
      </c>
      <c r="AE275" s="41">
        <v>0</v>
      </c>
    </row>
    <row r="276" spans="1:32" s="34" customFormat="1" ht="14.75" customHeight="1" x14ac:dyDescent="0.4">
      <c r="A276" s="36"/>
      <c r="B276" s="36" t="s">
        <v>1263</v>
      </c>
      <c r="C276" s="36" t="s">
        <v>1267</v>
      </c>
      <c r="D276" s="32" t="s">
        <v>1270</v>
      </c>
      <c r="E276" s="15" t="s">
        <v>193</v>
      </c>
      <c r="F276" s="244" t="s">
        <v>1276</v>
      </c>
      <c r="G276" s="39">
        <v>0</v>
      </c>
      <c r="H276" s="39">
        <v>0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0</v>
      </c>
      <c r="O276" s="165">
        <v>0</v>
      </c>
      <c r="P276" s="165">
        <v>0</v>
      </c>
      <c r="Q276" s="165">
        <v>0</v>
      </c>
      <c r="R276" s="165">
        <v>0</v>
      </c>
      <c r="S276" s="165">
        <f t="shared" si="18"/>
        <v>0</v>
      </c>
      <c r="T276" s="41">
        <v>0</v>
      </c>
      <c r="U276" s="41">
        <v>0</v>
      </c>
      <c r="V276" s="41">
        <v>0</v>
      </c>
      <c r="W276" s="41">
        <v>0</v>
      </c>
      <c r="X276" s="41">
        <v>0</v>
      </c>
      <c r="Y276" s="41">
        <v>0</v>
      </c>
      <c r="Z276" s="41">
        <v>0</v>
      </c>
      <c r="AA276" s="41">
        <v>0</v>
      </c>
      <c r="AB276" s="41">
        <v>0</v>
      </c>
      <c r="AC276" s="41">
        <v>0</v>
      </c>
      <c r="AD276" s="41">
        <v>0</v>
      </c>
      <c r="AE276" s="41">
        <v>0</v>
      </c>
    </row>
    <row r="277" spans="1:32" s="34" customFormat="1" ht="14.75" customHeight="1" x14ac:dyDescent="0.4">
      <c r="A277" s="36"/>
      <c r="B277" s="36" t="s">
        <v>1263</v>
      </c>
      <c r="C277" s="36" t="s">
        <v>1267</v>
      </c>
      <c r="D277" s="36" t="s">
        <v>1272</v>
      </c>
      <c r="E277" s="15" t="s">
        <v>193</v>
      </c>
      <c r="F277" s="244" t="s">
        <v>1276</v>
      </c>
      <c r="G277" s="39">
        <v>0</v>
      </c>
      <c r="H277" s="39">
        <v>0</v>
      </c>
      <c r="I277" s="39">
        <v>0</v>
      </c>
      <c r="J277" s="39">
        <v>0</v>
      </c>
      <c r="K277" s="39">
        <v>0</v>
      </c>
      <c r="L277" s="39">
        <v>0</v>
      </c>
      <c r="M277" s="39">
        <v>0</v>
      </c>
      <c r="N277" s="39">
        <v>0</v>
      </c>
      <c r="O277" s="165">
        <v>0</v>
      </c>
      <c r="P277" s="165">
        <v>0</v>
      </c>
      <c r="Q277" s="165">
        <v>0</v>
      </c>
      <c r="R277" s="165">
        <v>0</v>
      </c>
      <c r="S277" s="165">
        <f t="shared" si="18"/>
        <v>0</v>
      </c>
      <c r="T277" s="41">
        <v>0</v>
      </c>
      <c r="U277" s="41">
        <v>0</v>
      </c>
      <c r="V277" s="41">
        <v>0</v>
      </c>
      <c r="W277" s="41">
        <v>0</v>
      </c>
      <c r="X277" s="41">
        <v>0</v>
      </c>
      <c r="Y277" s="41">
        <v>0</v>
      </c>
      <c r="Z277" s="41">
        <v>0</v>
      </c>
      <c r="AA277" s="41">
        <v>0</v>
      </c>
      <c r="AB277" s="41">
        <v>0</v>
      </c>
      <c r="AC277" s="41">
        <v>0</v>
      </c>
      <c r="AD277" s="41">
        <v>0</v>
      </c>
      <c r="AE277" s="41">
        <v>0</v>
      </c>
    </row>
    <row r="278" spans="1:32" s="34" customFormat="1" ht="14.75" customHeight="1" x14ac:dyDescent="0.4">
      <c r="A278" s="36"/>
      <c r="B278" s="36" t="s">
        <v>1263</v>
      </c>
      <c r="C278" s="36" t="s">
        <v>1267</v>
      </c>
      <c r="D278" s="32" t="s">
        <v>1271</v>
      </c>
      <c r="E278" s="15" t="s">
        <v>193</v>
      </c>
      <c r="F278" s="244" t="s">
        <v>1275</v>
      </c>
      <c r="G278" s="37">
        <v>0</v>
      </c>
      <c r="H278" s="39">
        <v>0</v>
      </c>
      <c r="I278" s="39">
        <v>0</v>
      </c>
      <c r="J278" s="39">
        <v>0</v>
      </c>
      <c r="K278" s="39">
        <v>0</v>
      </c>
      <c r="L278" s="39">
        <v>0</v>
      </c>
      <c r="M278" s="39">
        <v>0</v>
      </c>
      <c r="N278" s="39">
        <v>0</v>
      </c>
      <c r="O278" s="165">
        <v>0</v>
      </c>
      <c r="P278" s="165">
        <v>0</v>
      </c>
      <c r="Q278" s="165">
        <v>0</v>
      </c>
      <c r="R278" s="165">
        <v>0</v>
      </c>
      <c r="S278" s="165">
        <f t="shared" si="18"/>
        <v>0</v>
      </c>
      <c r="T278" s="41">
        <v>0</v>
      </c>
      <c r="U278" s="41">
        <v>0</v>
      </c>
      <c r="V278" s="41">
        <v>0</v>
      </c>
      <c r="W278" s="41">
        <v>0</v>
      </c>
      <c r="X278" s="41">
        <v>0</v>
      </c>
      <c r="Y278" s="41">
        <v>0</v>
      </c>
      <c r="Z278" s="41">
        <v>0</v>
      </c>
      <c r="AA278" s="41">
        <v>0</v>
      </c>
      <c r="AB278" s="41">
        <v>0</v>
      </c>
      <c r="AC278" s="41">
        <v>0</v>
      </c>
      <c r="AD278" s="41">
        <v>0</v>
      </c>
      <c r="AE278" s="41">
        <v>0</v>
      </c>
    </row>
    <row r="279" spans="1:32" s="34" customFormat="1" ht="14.75" customHeight="1" x14ac:dyDescent="0.4">
      <c r="A279" s="36"/>
      <c r="B279" s="36" t="s">
        <v>1263</v>
      </c>
      <c r="C279" s="36" t="s">
        <v>1267</v>
      </c>
      <c r="D279" s="32" t="s">
        <v>1271</v>
      </c>
      <c r="E279" s="32" t="s">
        <v>193</v>
      </c>
      <c r="F279" s="244" t="s">
        <v>1276</v>
      </c>
      <c r="G279" s="37"/>
      <c r="H279" s="39"/>
      <c r="I279" s="39"/>
      <c r="J279" s="39"/>
      <c r="K279" s="39">
        <v>2025</v>
      </c>
      <c r="L279" s="39">
        <v>0</v>
      </c>
      <c r="M279" s="39">
        <v>0</v>
      </c>
      <c r="N279" s="39">
        <v>0</v>
      </c>
      <c r="O279" s="165">
        <v>0</v>
      </c>
      <c r="P279" s="165">
        <v>0</v>
      </c>
      <c r="Q279" s="165">
        <v>0</v>
      </c>
      <c r="R279" s="165">
        <v>0</v>
      </c>
      <c r="S279" s="165">
        <f t="shared" si="18"/>
        <v>0</v>
      </c>
      <c r="T279" s="41">
        <v>0</v>
      </c>
      <c r="U279" s="41">
        <v>0</v>
      </c>
      <c r="V279" s="41">
        <v>0</v>
      </c>
      <c r="W279" s="41">
        <v>0</v>
      </c>
      <c r="X279" s="41">
        <v>0</v>
      </c>
      <c r="Y279" s="41">
        <v>0</v>
      </c>
      <c r="Z279" s="41">
        <v>0</v>
      </c>
      <c r="AA279" s="41">
        <v>0</v>
      </c>
      <c r="AB279" s="41">
        <v>0</v>
      </c>
      <c r="AC279" s="41">
        <v>0</v>
      </c>
      <c r="AD279" s="41">
        <v>0</v>
      </c>
      <c r="AE279" s="41">
        <v>0</v>
      </c>
    </row>
    <row r="280" spans="1:32" s="34" customFormat="1" ht="14.75" customHeight="1" x14ac:dyDescent="0.4">
      <c r="A280" s="36"/>
      <c r="B280" s="36" t="s">
        <v>1263</v>
      </c>
      <c r="C280" s="36" t="s">
        <v>1267</v>
      </c>
      <c r="D280" s="36" t="s">
        <v>1273</v>
      </c>
      <c r="E280" s="15" t="s">
        <v>193</v>
      </c>
      <c r="F280" s="244" t="s">
        <v>1185</v>
      </c>
      <c r="G280" s="37">
        <v>5000</v>
      </c>
      <c r="H280" s="39">
        <v>5000</v>
      </c>
      <c r="I280" s="39">
        <v>5000</v>
      </c>
      <c r="J280" s="39">
        <v>5000</v>
      </c>
      <c r="K280" s="39">
        <v>5000</v>
      </c>
      <c r="L280" s="39">
        <v>5000</v>
      </c>
      <c r="M280" s="39">
        <v>2500</v>
      </c>
      <c r="N280" s="39">
        <v>500</v>
      </c>
      <c r="O280" s="165">
        <v>500</v>
      </c>
      <c r="P280" s="165">
        <v>500</v>
      </c>
      <c r="Q280" s="165">
        <v>0</v>
      </c>
      <c r="R280" s="165">
        <v>0</v>
      </c>
      <c r="S280" s="165">
        <f t="shared" si="18"/>
        <v>0</v>
      </c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32" x14ac:dyDescent="0.4">
      <c r="A281" s="32"/>
      <c r="B281" s="32"/>
      <c r="C281" s="32"/>
      <c r="D281" s="32"/>
      <c r="E281" s="141"/>
      <c r="F281" s="244"/>
      <c r="G281" s="44"/>
      <c r="H281" s="39"/>
      <c r="I281" s="39"/>
      <c r="J281" s="159"/>
      <c r="R281" s="139"/>
      <c r="S281" s="168"/>
      <c r="U281" s="165"/>
      <c r="V281" s="165"/>
      <c r="W281" s="165"/>
      <c r="X281" s="165"/>
      <c r="Y281" s="165"/>
      <c r="Z281" s="165"/>
      <c r="AA281" s="165"/>
      <c r="AB281" s="165"/>
      <c r="AC281" s="165"/>
      <c r="AD281" s="165"/>
      <c r="AE281" s="165"/>
      <c r="AF281" s="168"/>
    </row>
    <row r="282" spans="1:32" ht="14.1" customHeight="1" x14ac:dyDescent="0.4">
      <c r="C282" s="79"/>
      <c r="D282" s="79"/>
      <c r="E282" s="111"/>
      <c r="F282" s="245"/>
      <c r="G282" s="119">
        <f t="shared" ref="G282:S282" si="19">SUBTOTAL(9, G2:G281)</f>
        <v>149902.84799999994</v>
      </c>
      <c r="H282" s="119">
        <f t="shared" si="19"/>
        <v>145537.42249999999</v>
      </c>
      <c r="I282" s="119">
        <f t="shared" si="19"/>
        <v>138319.38350000003</v>
      </c>
      <c r="J282" s="119">
        <f t="shared" si="19"/>
        <v>116833.7767</v>
      </c>
      <c r="K282" s="119">
        <f t="shared" si="19"/>
        <v>114175.67460000003</v>
      </c>
      <c r="L282" s="119">
        <f t="shared" si="19"/>
        <v>107033.74837453201</v>
      </c>
      <c r="M282" s="119">
        <f t="shared" si="19"/>
        <v>89324.59637453199</v>
      </c>
      <c r="N282" s="119">
        <f t="shared" si="19"/>
        <v>75867.975500000015</v>
      </c>
      <c r="O282" s="119">
        <f t="shared" si="19"/>
        <v>73813.492700000003</v>
      </c>
      <c r="P282" s="119">
        <f t="shared" si="19"/>
        <v>59589.167819999995</v>
      </c>
      <c r="Q282" s="119">
        <f t="shared" si="19"/>
        <v>59907.359729999975</v>
      </c>
      <c r="R282" s="119">
        <f t="shared" si="19"/>
        <v>59308.958729999984</v>
      </c>
      <c r="S282" s="119">
        <f t="shared" si="19"/>
        <v>59308.958729999984</v>
      </c>
      <c r="T282" s="181">
        <f t="shared" ref="T282:AE282" si="20">SUBTOTAL(9,T3:T275)</f>
        <v>1918.8240000000003</v>
      </c>
      <c r="U282" s="181">
        <f t="shared" si="20"/>
        <v>4349.7879999999986</v>
      </c>
      <c r="V282" s="181">
        <f t="shared" si="20"/>
        <v>5186.9410000000007</v>
      </c>
      <c r="W282" s="181">
        <f t="shared" si="20"/>
        <v>3241.5370000000003</v>
      </c>
      <c r="X282" s="181">
        <f t="shared" si="20"/>
        <v>3620.7849999999989</v>
      </c>
      <c r="Y282" s="181">
        <f t="shared" si="20"/>
        <v>6364.2709999999997</v>
      </c>
      <c r="Z282" s="181">
        <f t="shared" si="20"/>
        <v>2240.35043</v>
      </c>
      <c r="AA282" s="181">
        <f t="shared" si="20"/>
        <v>3236.1223000000005</v>
      </c>
      <c r="AB282" s="181">
        <f t="shared" si="20"/>
        <v>5360.6130000000012</v>
      </c>
      <c r="AC282" s="181">
        <f t="shared" si="20"/>
        <v>4833.6530000000002</v>
      </c>
      <c r="AD282" s="176">
        <f t="shared" si="20"/>
        <v>6367.5439999999999</v>
      </c>
      <c r="AE282" s="176">
        <f t="shared" si="20"/>
        <v>12588.53</v>
      </c>
    </row>
    <row r="283" spans="1:32" x14ac:dyDescent="0.35">
      <c r="C283" s="79"/>
      <c r="D283" s="79"/>
      <c r="F283" s="245"/>
      <c r="G283" s="30"/>
      <c r="H283" s="17"/>
      <c r="I283" s="121"/>
      <c r="J283" s="177"/>
      <c r="K283" s="177"/>
      <c r="L283" s="177"/>
      <c r="R283" s="210"/>
      <c r="Z283" s="91"/>
      <c r="AA283" s="234"/>
      <c r="AB283" s="91"/>
      <c r="AC283" s="91"/>
    </row>
    <row r="284" spans="1:32" x14ac:dyDescent="0.35">
      <c r="C284" s="79"/>
      <c r="D284" s="79"/>
      <c r="F284" s="245"/>
      <c r="G284" s="121"/>
      <c r="H284" s="121"/>
      <c r="I284" s="140"/>
      <c r="J284" s="178"/>
      <c r="K284" s="177"/>
      <c r="L284" s="177"/>
      <c r="N284" s="211"/>
      <c r="O284" s="211"/>
      <c r="P284" s="211"/>
      <c r="Q284" s="211"/>
      <c r="R284" s="139"/>
      <c r="S284" s="197"/>
      <c r="T284" s="179"/>
      <c r="U284" s="179"/>
      <c r="V284" s="179"/>
      <c r="W284" s="179"/>
      <c r="X284" s="179"/>
      <c r="Y284" s="179"/>
      <c r="Z284" s="210"/>
      <c r="AA284" s="210"/>
      <c r="AB284" s="210"/>
      <c r="AC284" s="179"/>
      <c r="AD284" s="179"/>
      <c r="AE284" s="179"/>
    </row>
    <row r="285" spans="1:32" ht="15" x14ac:dyDescent="0.35">
      <c r="C285" s="79"/>
      <c r="D285" s="79"/>
      <c r="E285" s="114"/>
      <c r="F285" s="245"/>
      <c r="H285" s="121"/>
      <c r="I285" s="121"/>
      <c r="J285" s="179"/>
      <c r="K285" s="177"/>
      <c r="L285" s="189"/>
      <c r="M285" s="202"/>
      <c r="P285" s="211"/>
      <c r="Q285" s="211"/>
      <c r="R285" s="237"/>
      <c r="S285" s="197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</row>
    <row r="286" spans="1:32" x14ac:dyDescent="0.35">
      <c r="F286" s="245"/>
      <c r="G286" s="30"/>
      <c r="H286" s="30"/>
      <c r="I286" s="121"/>
      <c r="J286" s="177"/>
      <c r="K286" s="190"/>
      <c r="L286" s="177"/>
      <c r="M286" s="205"/>
      <c r="N286" s="211"/>
      <c r="R286" s="139"/>
      <c r="S286" s="197"/>
      <c r="T286" s="189"/>
      <c r="U286" s="189"/>
      <c r="V286" s="189"/>
      <c r="W286" s="189"/>
      <c r="X286" s="189"/>
      <c r="Y286" s="189"/>
      <c r="Z286" s="189"/>
      <c r="AA286" s="189"/>
      <c r="AB286" s="189"/>
      <c r="AC286" s="189"/>
      <c r="AD286" s="189"/>
      <c r="AE286" s="189"/>
    </row>
    <row r="287" spans="1:32" x14ac:dyDescent="0.35">
      <c r="F287" s="245"/>
      <c r="G287" s="30"/>
      <c r="I287" s="121"/>
      <c r="J287" s="177"/>
      <c r="K287" s="189"/>
      <c r="O287" s="211"/>
      <c r="P287" s="211"/>
      <c r="Q287" s="211"/>
      <c r="R287" s="139"/>
      <c r="S287" s="236"/>
    </row>
    <row r="288" spans="1:32" x14ac:dyDescent="0.35">
      <c r="F288" s="245"/>
    </row>
    <row r="291" spans="18:18" x14ac:dyDescent="0.35">
      <c r="R291" s="142" t="s">
        <v>29</v>
      </c>
    </row>
  </sheetData>
  <autoFilter ref="B2:BA280" xr:uid="{5677B59B-86C0-4F48-AABD-24AFAE18896D}"/>
  <sortState xmlns:xlrd2="http://schemas.microsoft.com/office/spreadsheetml/2017/richdata2" ref="B3:BA280">
    <sortCondition ref="B3:B280"/>
    <sortCondition ref="C3:C280"/>
    <sortCondition ref="E3:E280"/>
  </sortState>
  <phoneticPr fontId="22" type="noConversion"/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33D6-DEAB-4539-92E0-065070EE3C56}">
  <sheetPr codeName="Sheet2" filterMode="1"/>
  <dimension ref="A1:EB1048410"/>
  <sheetViews>
    <sheetView showGridLines="0" zoomScale="85" zoomScaleNormal="85" workbookViewId="0">
      <pane xSplit="34" ySplit="2" topLeftCell="DH3" activePane="bottomRight" state="frozen"/>
      <selection pane="topRight" activeCell="N1" sqref="N1"/>
      <selection pane="bottomLeft" activeCell="A3" sqref="A3"/>
      <selection pane="bottomRight" activeCell="O187" sqref="O187"/>
    </sheetView>
  </sheetViews>
  <sheetFormatPr defaultColWidth="8.6640625" defaultRowHeight="13.5" outlineLevelCol="1" x14ac:dyDescent="0.35"/>
  <cols>
    <col min="1" max="1" width="11.46484375" style="139" customWidth="1"/>
    <col min="2" max="2" width="11.46484375" style="18" customWidth="1"/>
    <col min="3" max="3" width="12.6640625" style="18" customWidth="1"/>
    <col min="4" max="4" width="17.46484375" style="18" customWidth="1"/>
    <col min="5" max="5" width="32" style="127" customWidth="1"/>
    <col min="6" max="6" width="25.6640625" style="18" customWidth="1"/>
    <col min="7" max="7" width="9" style="18" customWidth="1"/>
    <col min="8" max="8" width="9" style="18" hidden="1" customWidth="1"/>
    <col min="9" max="9" width="19.46484375" style="18" customWidth="1"/>
    <col min="10" max="10" width="24.33203125" style="67" customWidth="1"/>
    <col min="11" max="12" width="9.46484375" style="28" hidden="1" customWidth="1" outlineLevel="1"/>
    <col min="13" max="13" width="14.6640625" style="28" hidden="1" customWidth="1" outlineLevel="1"/>
    <col min="14" max="14" width="12" style="28" hidden="1" customWidth="1" outlineLevel="1"/>
    <col min="15" max="15" width="29.6640625" style="182" customWidth="1" collapsed="1"/>
    <col min="16" max="16" width="13.46484375" style="18" customWidth="1"/>
    <col min="17" max="17" width="8.6640625" style="18" hidden="1" customWidth="1" outlineLevel="1"/>
    <col min="18" max="22" width="7.6640625" style="18" hidden="1" customWidth="1" outlineLevel="1"/>
    <col min="23" max="23" width="8.33203125" style="18" hidden="1" customWidth="1" outlineLevel="1"/>
    <col min="24" max="28" width="7.6640625" style="18" hidden="1" customWidth="1" outlineLevel="1"/>
    <col min="29" max="29" width="2.6640625" style="124" customWidth="1" collapsed="1"/>
    <col min="30" max="31" width="8.46484375" style="19" hidden="1" customWidth="1" outlineLevel="1"/>
    <col min="32" max="33" width="10.33203125" style="19" hidden="1" customWidth="1" outlineLevel="1"/>
    <col min="34" max="34" width="2.46484375" style="139" customWidth="1" collapsed="1"/>
    <col min="35" max="35" width="2.46484375" style="139" customWidth="1"/>
    <col min="36" max="36" width="8.6640625" style="29" hidden="1" customWidth="1" outlineLevel="1"/>
    <col min="37" max="37" width="8.6640625" style="30" hidden="1" customWidth="1" outlineLevel="1"/>
    <col min="38" max="38" width="10.33203125" style="29" hidden="1" customWidth="1" outlineLevel="1"/>
    <col min="39" max="39" width="2.6640625" style="172" customWidth="1" collapsed="1"/>
    <col min="40" max="40" width="12.6640625" style="17" hidden="1" customWidth="1" outlineLevel="1"/>
    <col min="41" max="41" width="6.46484375" style="17" hidden="1" customWidth="1" outlineLevel="1"/>
    <col min="42" max="42" width="10.46484375" style="17" hidden="1" customWidth="1" outlineLevel="1"/>
    <col min="43" max="43" width="2.46484375" style="139" customWidth="1" collapsed="1"/>
    <col min="44" max="44" width="18.33203125" style="29" hidden="1" customWidth="1" outlineLevel="1"/>
    <col min="45" max="45" width="13" style="30" hidden="1" customWidth="1" outlineLevel="1"/>
    <col min="46" max="46" width="13" style="29" hidden="1" customWidth="1" outlineLevel="1"/>
    <col min="47" max="47" width="13.46484375" style="29" hidden="1" customWidth="1" outlineLevel="1"/>
    <col min="48" max="48" width="13.46484375" style="31" hidden="1" customWidth="1" outlineLevel="1"/>
    <col min="49" max="49" width="26.46484375" style="29" hidden="1" customWidth="1" outlineLevel="1"/>
    <col min="50" max="50" width="2.46484375" style="139" customWidth="1" collapsed="1"/>
    <col min="51" max="51" width="10.46484375" style="17" hidden="1" customWidth="1" outlineLevel="1"/>
    <col min="52" max="52" width="8.6640625" style="17" hidden="1" customWidth="1" outlineLevel="1"/>
    <col min="53" max="54" width="12.46484375" style="17" hidden="1" customWidth="1" outlineLevel="1"/>
    <col min="55" max="55" width="24.33203125" style="17" hidden="1" customWidth="1" outlineLevel="1"/>
    <col min="56" max="56" width="3.46484375" style="139" customWidth="1" collapsed="1"/>
    <col min="57" max="57" width="12.46484375" style="17" hidden="1" customWidth="1" outlineLevel="1"/>
    <col min="58" max="58" width="8.6640625" style="17" hidden="1" customWidth="1" outlineLevel="1"/>
    <col min="59" max="60" width="10.46484375" style="17" hidden="1" customWidth="1" outlineLevel="1"/>
    <col min="61" max="61" width="12.46484375" style="17" hidden="1" customWidth="1" outlineLevel="1"/>
    <col min="62" max="62" width="21.46484375" style="17" hidden="1" customWidth="1" outlineLevel="1"/>
    <col min="63" max="63" width="32.46484375" style="17" hidden="1" customWidth="1" outlineLevel="1"/>
    <col min="64" max="64" width="3" style="139" customWidth="1" collapsed="1"/>
    <col min="65" max="66" width="8.6640625" style="17" hidden="1" customWidth="1" outlineLevel="1"/>
    <col min="67" max="67" width="11.33203125" style="17" hidden="1" customWidth="1" outlineLevel="1"/>
    <col min="68" max="68" width="11.46484375" style="17" hidden="1" customWidth="1" outlineLevel="1"/>
    <col min="69" max="69" width="17.33203125" style="17" hidden="1" customWidth="1" outlineLevel="1"/>
    <col min="70" max="70" width="22.46484375" style="17" hidden="1" customWidth="1" outlineLevel="1"/>
    <col min="71" max="71" width="24.6640625" style="17" hidden="1" customWidth="1" outlineLevel="1"/>
    <col min="72" max="72" width="3.33203125" style="139" customWidth="1" collapsed="1"/>
    <col min="73" max="73" width="9.33203125" style="115" hidden="1" customWidth="1" outlineLevel="1"/>
    <col min="74" max="74" width="7.6640625" style="116" hidden="1" customWidth="1" outlineLevel="1"/>
    <col min="75" max="75" width="10.33203125" style="115" hidden="1" customWidth="1" outlineLevel="1"/>
    <col min="76" max="76" width="14.33203125" style="115" hidden="1" customWidth="1" outlineLevel="1"/>
    <col min="77" max="77" width="70" style="115" hidden="1" customWidth="1" outlineLevel="1"/>
    <col min="78" max="78" width="3.33203125" style="139" customWidth="1" collapsed="1"/>
    <col min="79" max="79" width="8.46484375" style="17" hidden="1" customWidth="1" outlineLevel="1"/>
    <col min="80" max="80" width="8.6640625" style="17" hidden="1" customWidth="1" outlineLevel="1"/>
    <col min="81" max="81" width="9.46484375" style="17" hidden="1" customWidth="1" outlineLevel="1"/>
    <col min="82" max="85" width="12.46484375" style="17" hidden="1" customWidth="1" outlineLevel="1"/>
    <col min="86" max="86" width="3.46484375" style="139" customWidth="1" collapsed="1"/>
    <col min="87" max="87" width="9" style="139" hidden="1" customWidth="1" outlineLevel="1"/>
    <col min="88" max="88" width="8.6640625" style="139" hidden="1" customWidth="1" outlineLevel="1"/>
    <col min="89" max="89" width="9.46484375" style="139" hidden="1" customWidth="1" outlineLevel="1"/>
    <col min="90" max="90" width="13.46484375" style="17" hidden="1" customWidth="1" outlineLevel="1"/>
    <col min="91" max="91" width="31.46484375" style="17" hidden="1" customWidth="1" outlineLevel="1"/>
    <col min="92" max="92" width="3.46484375" style="139" customWidth="1" collapsed="1"/>
    <col min="93" max="93" width="10.33203125" style="139" hidden="1" customWidth="1" outlineLevel="1"/>
    <col min="94" max="94" width="7.6640625" style="139" hidden="1" customWidth="1" outlineLevel="1"/>
    <col min="95" max="95" width="9.6640625" style="139" hidden="1" customWidth="1" outlineLevel="1"/>
    <col min="96" max="96" width="13.46484375" style="139" hidden="1" customWidth="1" outlineLevel="1"/>
    <col min="97" max="97" width="31.46484375" style="139" hidden="1" customWidth="1" outlineLevel="1"/>
    <col min="98" max="98" width="3.46484375" style="139" customWidth="1" collapsed="1"/>
    <col min="99" max="99" width="10.33203125" style="139" customWidth="1" outlineLevel="1"/>
    <col min="100" max="100" width="7.6640625" style="139" customWidth="1" outlineLevel="1"/>
    <col min="101" max="103" width="10.33203125" style="139" customWidth="1" outlineLevel="1"/>
    <col min="104" max="104" width="11.33203125" style="139" customWidth="1" outlineLevel="1"/>
    <col min="105" max="107" width="13.46484375" style="139" hidden="1" customWidth="1" outlineLevel="1"/>
    <col min="108" max="108" width="27.53125" style="139" hidden="1" customWidth="1" outlineLevel="1"/>
    <col min="109" max="109" width="3.6640625" style="139" customWidth="1"/>
    <col min="110" max="110" width="12.33203125" style="139" customWidth="1"/>
    <col min="111" max="112" width="10.33203125" style="139" customWidth="1"/>
    <col min="113" max="113" width="12.33203125" style="139" customWidth="1"/>
    <col min="114" max="114" width="11.33203125" style="139" customWidth="1"/>
    <col min="115" max="115" width="31.53125" style="142" customWidth="1"/>
    <col min="116" max="116" width="3.33203125" style="142" customWidth="1"/>
    <col min="117" max="117" width="11.46484375" style="142" customWidth="1"/>
    <col min="118" max="118" width="10.33203125" style="139" customWidth="1"/>
    <col min="119" max="120" width="8.6640625" style="139" customWidth="1" outlineLevel="1"/>
    <col min="121" max="121" width="9.33203125" style="139" customWidth="1" outlineLevel="1"/>
    <col min="122" max="129" width="8.6640625" style="139" customWidth="1" outlineLevel="1"/>
    <col min="130" max="130" width="9.53125" style="139" customWidth="1" outlineLevel="1"/>
    <col min="131" max="131" width="15.33203125" style="139" customWidth="1"/>
    <col min="132" max="16384" width="8.6640625" style="139"/>
  </cols>
  <sheetData>
    <row r="1" spans="1:131" ht="25.25" customHeight="1" x14ac:dyDescent="0.4">
      <c r="K1" s="262" t="s">
        <v>31</v>
      </c>
      <c r="L1" s="262"/>
      <c r="M1" s="262"/>
      <c r="N1" s="262"/>
      <c r="Q1" s="128" t="s">
        <v>32</v>
      </c>
      <c r="AI1" s="157"/>
      <c r="AJ1" s="262" t="s">
        <v>33</v>
      </c>
      <c r="AK1" s="262"/>
      <c r="AL1" s="262"/>
      <c r="AM1" s="155"/>
      <c r="AN1" s="262" t="s">
        <v>34</v>
      </c>
      <c r="AO1" s="262"/>
      <c r="AP1" s="262"/>
      <c r="AQ1" s="157"/>
      <c r="AR1" s="262" t="s">
        <v>35</v>
      </c>
      <c r="AS1" s="262"/>
      <c r="AT1" s="262"/>
      <c r="AU1" s="262"/>
      <c r="AV1" s="262"/>
      <c r="AW1" s="262"/>
      <c r="AX1" s="157"/>
      <c r="AY1" s="261" t="s">
        <v>36</v>
      </c>
      <c r="AZ1" s="261"/>
      <c r="BA1" s="261"/>
      <c r="BB1" s="262"/>
      <c r="BC1" s="262"/>
      <c r="BE1" s="261" t="s">
        <v>37</v>
      </c>
      <c r="BF1" s="261"/>
      <c r="BG1" s="261"/>
      <c r="BH1" s="261"/>
      <c r="BI1" s="261"/>
      <c r="BJ1" s="261"/>
      <c r="BK1" s="261"/>
      <c r="BM1" s="260" t="s">
        <v>38</v>
      </c>
      <c r="BN1" s="260"/>
      <c r="BO1" s="260"/>
      <c r="BP1" s="261"/>
      <c r="BQ1" s="260"/>
      <c r="BR1" s="260"/>
      <c r="BS1" s="260"/>
      <c r="BU1" s="264" t="s">
        <v>39</v>
      </c>
      <c r="BV1" s="264"/>
      <c r="BW1" s="264"/>
      <c r="BX1" s="264"/>
      <c r="BY1" s="260"/>
      <c r="CA1" s="264" t="s">
        <v>40</v>
      </c>
      <c r="CB1" s="264"/>
      <c r="CC1" s="264"/>
      <c r="CD1" s="264"/>
      <c r="CE1" s="264"/>
      <c r="CF1" s="264"/>
      <c r="CG1" s="260"/>
      <c r="CI1" s="264" t="s">
        <v>41</v>
      </c>
      <c r="CJ1" s="264"/>
      <c r="CK1" s="264"/>
      <c r="CL1" s="264"/>
      <c r="CM1" s="260"/>
      <c r="CO1" s="264" t="s">
        <v>42</v>
      </c>
      <c r="CP1" s="264"/>
      <c r="CQ1" s="264"/>
      <c r="CR1" s="264"/>
      <c r="CS1" s="260"/>
      <c r="CU1" s="263" t="s">
        <v>43</v>
      </c>
      <c r="CV1" s="263"/>
      <c r="CW1" s="143"/>
      <c r="CX1" s="143" t="s">
        <v>44</v>
      </c>
      <c r="CY1" s="143"/>
      <c r="CZ1" s="143"/>
      <c r="DA1" s="143"/>
      <c r="DB1" s="143"/>
      <c r="DC1" s="143"/>
      <c r="DD1" s="144"/>
      <c r="DE1" s="144"/>
      <c r="DF1" s="128" t="s">
        <v>45</v>
      </c>
      <c r="DG1" s="128"/>
      <c r="DH1" s="128"/>
      <c r="DI1" s="128"/>
      <c r="DJ1" s="128"/>
      <c r="DK1" s="199"/>
      <c r="DL1" s="199"/>
      <c r="DM1" s="199"/>
      <c r="DO1" s="143" t="s">
        <v>47</v>
      </c>
      <c r="DP1" s="143"/>
      <c r="DQ1" s="143"/>
      <c r="DR1" s="143"/>
      <c r="DS1" s="144"/>
    </row>
    <row r="2" spans="1:131" s="18" customFormat="1" ht="49.5" customHeight="1" x14ac:dyDescent="0.4">
      <c r="A2" s="20" t="s">
        <v>0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  <c r="I2" s="20" t="s">
        <v>55</v>
      </c>
      <c r="J2" s="21" t="s">
        <v>56</v>
      </c>
      <c r="K2" s="22" t="s">
        <v>57</v>
      </c>
      <c r="L2" s="22" t="s">
        <v>58</v>
      </c>
      <c r="M2" s="22" t="s">
        <v>59</v>
      </c>
      <c r="N2" s="22" t="s">
        <v>60</v>
      </c>
      <c r="O2" s="21" t="s">
        <v>61</v>
      </c>
      <c r="P2" s="21" t="s">
        <v>62</v>
      </c>
      <c r="Q2" s="21" t="s">
        <v>63</v>
      </c>
      <c r="R2" s="21" t="s">
        <v>64</v>
      </c>
      <c r="S2" s="21" t="s">
        <v>65</v>
      </c>
      <c r="T2" s="21" t="s">
        <v>66</v>
      </c>
      <c r="U2" s="21" t="s">
        <v>67</v>
      </c>
      <c r="V2" s="21" t="s">
        <v>68</v>
      </c>
      <c r="W2" s="21" t="s">
        <v>63</v>
      </c>
      <c r="X2" s="21" t="s">
        <v>69</v>
      </c>
      <c r="Y2" s="21" t="s">
        <v>70</v>
      </c>
      <c r="Z2" s="21" t="s">
        <v>64</v>
      </c>
      <c r="AA2" s="21" t="s">
        <v>70</v>
      </c>
      <c r="AB2" s="21" t="s">
        <v>63</v>
      </c>
      <c r="AC2" s="125"/>
      <c r="AD2" s="23" t="s">
        <v>71</v>
      </c>
      <c r="AE2" s="23" t="s">
        <v>72</v>
      </c>
      <c r="AF2" s="24" t="s">
        <v>73</v>
      </c>
      <c r="AG2" s="24" t="s">
        <v>74</v>
      </c>
      <c r="AJ2" s="25" t="s">
        <v>75</v>
      </c>
      <c r="AK2" s="26" t="s">
        <v>76</v>
      </c>
      <c r="AL2" s="25" t="s">
        <v>77</v>
      </c>
      <c r="AM2" s="110"/>
      <c r="AN2" s="25" t="s">
        <v>75</v>
      </c>
      <c r="AO2" s="26" t="s">
        <v>76</v>
      </c>
      <c r="AP2" s="25" t="s">
        <v>77</v>
      </c>
      <c r="AR2" s="25" t="s">
        <v>75</v>
      </c>
      <c r="AS2" s="26" t="s">
        <v>76</v>
      </c>
      <c r="AT2" s="25" t="s">
        <v>77</v>
      </c>
      <c r="AU2" s="25" t="s">
        <v>78</v>
      </c>
      <c r="AV2" s="25" t="s">
        <v>79</v>
      </c>
      <c r="AW2" s="27" t="s">
        <v>80</v>
      </c>
      <c r="AY2" s="25" t="s">
        <v>75</v>
      </c>
      <c r="AZ2" s="26" t="s">
        <v>76</v>
      </c>
      <c r="BA2" s="25" t="s">
        <v>77</v>
      </c>
      <c r="BB2" s="25" t="s">
        <v>81</v>
      </c>
      <c r="BC2" s="27" t="s">
        <v>80</v>
      </c>
      <c r="BE2" s="25" t="s">
        <v>75</v>
      </c>
      <c r="BF2" s="26" t="s">
        <v>76</v>
      </c>
      <c r="BG2" s="25" t="s">
        <v>77</v>
      </c>
      <c r="BH2" s="25" t="s">
        <v>82</v>
      </c>
      <c r="BI2" s="25" t="s">
        <v>83</v>
      </c>
      <c r="BJ2" s="25" t="s">
        <v>84</v>
      </c>
      <c r="BK2" s="27" t="s">
        <v>80</v>
      </c>
      <c r="BM2" s="25" t="s">
        <v>75</v>
      </c>
      <c r="BN2" s="26" t="s">
        <v>76</v>
      </c>
      <c r="BO2" s="25" t="s">
        <v>77</v>
      </c>
      <c r="BP2" s="25" t="s">
        <v>82</v>
      </c>
      <c r="BQ2" s="25" t="s">
        <v>85</v>
      </c>
      <c r="BR2" s="25" t="s">
        <v>84</v>
      </c>
      <c r="BS2" s="27" t="s">
        <v>80</v>
      </c>
      <c r="BU2" s="25" t="s">
        <v>75</v>
      </c>
      <c r="BV2" s="26" t="s">
        <v>76</v>
      </c>
      <c r="BW2" s="25" t="s">
        <v>77</v>
      </c>
      <c r="BX2" s="25" t="s">
        <v>86</v>
      </c>
      <c r="BY2" s="25" t="s">
        <v>87</v>
      </c>
      <c r="CA2" s="25" t="s">
        <v>75</v>
      </c>
      <c r="CB2" s="26" t="s">
        <v>76</v>
      </c>
      <c r="CC2" s="25" t="s">
        <v>77</v>
      </c>
      <c r="CD2" s="150" t="s">
        <v>88</v>
      </c>
      <c r="CE2" s="25" t="s">
        <v>89</v>
      </c>
      <c r="CF2" s="25" t="s">
        <v>90</v>
      </c>
      <c r="CG2" s="25" t="s">
        <v>87</v>
      </c>
      <c r="CI2" s="25" t="s">
        <v>75</v>
      </c>
      <c r="CJ2" s="26" t="s">
        <v>76</v>
      </c>
      <c r="CK2" s="25" t="s">
        <v>77</v>
      </c>
      <c r="CL2" s="25" t="s">
        <v>91</v>
      </c>
      <c r="CM2" s="25" t="s">
        <v>87</v>
      </c>
      <c r="CO2" s="25" t="s">
        <v>75</v>
      </c>
      <c r="CP2" s="26" t="s">
        <v>76</v>
      </c>
      <c r="CQ2" s="25" t="s">
        <v>77</v>
      </c>
      <c r="CR2" s="25" t="s">
        <v>92</v>
      </c>
      <c r="CS2" s="25" t="s">
        <v>87</v>
      </c>
      <c r="CU2" s="194" t="s">
        <v>75</v>
      </c>
      <c r="CV2" s="195" t="s">
        <v>76</v>
      </c>
      <c r="CW2" s="194" t="s">
        <v>77</v>
      </c>
      <c r="CX2" s="25" t="s">
        <v>75</v>
      </c>
      <c r="CY2" s="26" t="s">
        <v>76</v>
      </c>
      <c r="CZ2" s="25" t="s">
        <v>77</v>
      </c>
      <c r="DA2" s="25" t="s">
        <v>93</v>
      </c>
      <c r="DB2" s="25" t="s">
        <v>94</v>
      </c>
      <c r="DC2" s="25" t="s">
        <v>95</v>
      </c>
      <c r="DD2" s="25" t="s">
        <v>87</v>
      </c>
      <c r="DE2" s="110"/>
      <c r="DF2" s="25" t="s">
        <v>75</v>
      </c>
      <c r="DG2" s="26" t="s">
        <v>76</v>
      </c>
      <c r="DH2" s="25" t="s">
        <v>77</v>
      </c>
      <c r="DI2" s="25" t="s">
        <v>96</v>
      </c>
      <c r="DJ2" s="25" t="s">
        <v>94</v>
      </c>
      <c r="DK2" s="25" t="s">
        <v>87</v>
      </c>
      <c r="DL2" s="110"/>
      <c r="DM2" s="25" t="s">
        <v>1001</v>
      </c>
      <c r="DO2" s="21" t="s">
        <v>63</v>
      </c>
      <c r="DP2" s="21" t="s">
        <v>64</v>
      </c>
      <c r="DQ2" s="21" t="s">
        <v>65</v>
      </c>
      <c r="DR2" s="21" t="s">
        <v>66</v>
      </c>
      <c r="DS2" s="21" t="s">
        <v>67</v>
      </c>
      <c r="DT2" s="24" t="s">
        <v>68</v>
      </c>
      <c r="DU2" s="24" t="s">
        <v>63</v>
      </c>
      <c r="DV2" s="24" t="s">
        <v>69</v>
      </c>
      <c r="DW2" s="24" t="s">
        <v>70</v>
      </c>
      <c r="DX2" s="24" t="s">
        <v>64</v>
      </c>
      <c r="DY2" s="24" t="s">
        <v>70</v>
      </c>
      <c r="DZ2" s="24" t="s">
        <v>63</v>
      </c>
    </row>
    <row r="3" spans="1:131" s="154" customFormat="1" ht="16.25" hidden="1" customHeight="1" x14ac:dyDescent="0.4">
      <c r="A3" s="32" t="s">
        <v>97</v>
      </c>
      <c r="B3" s="32" t="s">
        <v>29</v>
      </c>
      <c r="C3" s="32" t="s">
        <v>27</v>
      </c>
      <c r="D3" s="79" t="s">
        <v>98</v>
      </c>
      <c r="E3" s="87" t="s">
        <v>99</v>
      </c>
      <c r="F3" s="87" t="s">
        <v>100</v>
      </c>
      <c r="G3" s="32" t="s">
        <v>101</v>
      </c>
      <c r="H3" s="32" t="s">
        <v>102</v>
      </c>
      <c r="I3" s="16" t="s">
        <v>103</v>
      </c>
      <c r="J3" s="38"/>
      <c r="K3" s="38"/>
      <c r="L3" s="38"/>
      <c r="M3" s="36"/>
      <c r="N3" s="36"/>
      <c r="O3" s="33" t="s">
        <v>103</v>
      </c>
      <c r="P3" s="32" t="s">
        <v>104</v>
      </c>
      <c r="Q3" s="129">
        <f t="shared" ref="Q3:Q10" si="0">CZ3</f>
        <v>301.702</v>
      </c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2"/>
      <c r="AD3" s="37">
        <v>11230</v>
      </c>
      <c r="AE3" s="37"/>
      <c r="AF3" s="37"/>
      <c r="AG3" s="37"/>
      <c r="AH3" s="158"/>
      <c r="AI3" s="158"/>
      <c r="AJ3" s="37">
        <v>7436</v>
      </c>
      <c r="AK3" s="46">
        <v>1</v>
      </c>
      <c r="AL3" s="47">
        <f>AJ3*AK3</f>
        <v>7436</v>
      </c>
      <c r="AM3" s="162"/>
      <c r="AN3" s="39">
        <f>VLOOKUP(D3,'May FF'!B$2:E$201,2,0)</f>
        <v>350097</v>
      </c>
      <c r="AO3" s="97">
        <f>VLOOKUP($D$3,'May FF'!$B$2:$E$201,3,0)</f>
        <v>0</v>
      </c>
      <c r="AP3" s="39">
        <f>VLOOKUP($D3,'May FF'!$B$2:$E$201,4,0)</f>
        <v>0</v>
      </c>
      <c r="AQ3" s="160"/>
      <c r="AR3" s="45">
        <v>0</v>
      </c>
      <c r="AS3" s="46">
        <v>0</v>
      </c>
      <c r="AT3" s="37">
        <f>AR3*AS3</f>
        <v>0</v>
      </c>
      <c r="AU3" s="48"/>
      <c r="AV3" s="49">
        <f>AU3*AS3</f>
        <v>0</v>
      </c>
      <c r="AW3" s="48"/>
      <c r="AX3" s="91"/>
      <c r="AY3" s="45">
        <v>200</v>
      </c>
      <c r="AZ3" s="46">
        <v>1</v>
      </c>
      <c r="BA3" s="37">
        <f>AY3*AZ3</f>
        <v>200</v>
      </c>
      <c r="BB3" s="39">
        <f>BA3-AT3</f>
        <v>200</v>
      </c>
      <c r="BC3" s="59" t="s">
        <v>105</v>
      </c>
      <c r="BD3" s="91"/>
      <c r="BE3" s="45">
        <v>160</v>
      </c>
      <c r="BF3" s="46">
        <v>1</v>
      </c>
      <c r="BG3" s="37">
        <f>BE3*BF3</f>
        <v>160</v>
      </c>
      <c r="BH3" s="39"/>
      <c r="BI3" s="39">
        <f>BG3-BA3</f>
        <v>-40</v>
      </c>
      <c r="BJ3" s="39"/>
      <c r="BK3" s="59"/>
      <c r="BL3" s="91"/>
      <c r="BM3" s="45">
        <v>350</v>
      </c>
      <c r="BN3" s="46">
        <v>1</v>
      </c>
      <c r="BO3" s="37">
        <f>BM3*BN3</f>
        <v>350</v>
      </c>
      <c r="BP3" s="37">
        <f>VLOOKUP(D3,'May FF'!B$3:C$38,2,0)/1000</f>
        <v>350.09699999999998</v>
      </c>
      <c r="BQ3" s="92">
        <f>BO3-BA3</f>
        <v>150</v>
      </c>
      <c r="BR3" s="34" t="s">
        <v>106</v>
      </c>
      <c r="BS3" s="59" t="s">
        <v>107</v>
      </c>
      <c r="BU3" s="45">
        <v>302.73500000000001</v>
      </c>
      <c r="BV3" s="46">
        <v>1</v>
      </c>
      <c r="BW3" s="118">
        <f>BU3*BV3</f>
        <v>302.73500000000001</v>
      </c>
      <c r="BX3" s="118">
        <f>BW3-BO3</f>
        <v>-47.264999999999986</v>
      </c>
      <c r="BY3" s="59"/>
      <c r="CA3" s="45">
        <v>302.73500000000001</v>
      </c>
      <c r="CB3" s="46">
        <v>1</v>
      </c>
      <c r="CC3" s="118">
        <f t="shared" ref="CC3:CC22" si="1">CA3*CB3</f>
        <v>302.73500000000001</v>
      </c>
      <c r="CD3" s="118"/>
      <c r="CE3" s="92">
        <f>CC3-BW3</f>
        <v>0</v>
      </c>
      <c r="CF3" s="92">
        <f>CC3-BO3</f>
        <v>-47.264999999999986</v>
      </c>
      <c r="CG3" s="59"/>
      <c r="CI3" s="160">
        <v>302.73500000000001</v>
      </c>
      <c r="CJ3" s="164">
        <v>1</v>
      </c>
      <c r="CK3" s="165">
        <f t="shared" ref="CK3:CK34" si="2">CI3*CJ3</f>
        <v>302.73500000000001</v>
      </c>
      <c r="CL3" s="92">
        <f t="shared" ref="CL3:CL28" si="3">CK3-CC3</f>
        <v>0</v>
      </c>
      <c r="CM3" s="59"/>
      <c r="CO3" s="160">
        <v>301.702</v>
      </c>
      <c r="CP3" s="164">
        <v>1</v>
      </c>
      <c r="CQ3" s="165">
        <f t="shared" ref="CQ3:CQ34" si="4">CO3*CP3</f>
        <v>301.702</v>
      </c>
      <c r="CR3" s="168">
        <f t="shared" ref="CR3:CR34" si="5">CQ3-CK3</f>
        <v>-1.0330000000000155</v>
      </c>
      <c r="CU3" s="160">
        <v>301.702</v>
      </c>
      <c r="CV3" s="164">
        <v>1</v>
      </c>
      <c r="CW3" s="165">
        <f t="shared" ref="CW3:CW34" si="6">CU3*CV3</f>
        <v>301.702</v>
      </c>
      <c r="CX3" s="160">
        <v>301.702</v>
      </c>
      <c r="CY3" s="164">
        <v>1</v>
      </c>
      <c r="CZ3" s="165">
        <f t="shared" ref="CZ3:CZ14" si="7">CX3*CY3</f>
        <v>301.702</v>
      </c>
      <c r="DA3" s="168">
        <f t="shared" ref="DA3:DA29" si="8">CZ3-CQ3</f>
        <v>0</v>
      </c>
      <c r="DB3" s="168">
        <f t="shared" ref="DB3:DB29" si="9">CZ3-CW3</f>
        <v>0</v>
      </c>
      <c r="DC3" s="168"/>
      <c r="DF3" s="160">
        <v>303.07600000000002</v>
      </c>
      <c r="DG3" s="164">
        <v>1</v>
      </c>
      <c r="DH3" s="165">
        <f t="shared" ref="DH3:DH34" si="10">DF3*DG3</f>
        <v>303.07600000000002</v>
      </c>
      <c r="DI3" s="168">
        <f t="shared" ref="DI3:DI66" si="11">DH3-CZ3</f>
        <v>1.3740000000000236</v>
      </c>
      <c r="DJ3" s="168">
        <f t="shared" ref="DJ3:DJ66" si="12">DH3-CW3</f>
        <v>1.3740000000000236</v>
      </c>
      <c r="DK3" s="165"/>
      <c r="DL3" s="165"/>
      <c r="DM3" s="165"/>
      <c r="DN3" s="168">
        <f t="shared" ref="DN3:DN34" si="13">SUM(DO3:DZ3)</f>
        <v>303.07600000000002</v>
      </c>
      <c r="DO3" s="165">
        <v>57.078000000000003</v>
      </c>
      <c r="DP3" s="165">
        <v>62.218000000000004</v>
      </c>
      <c r="DQ3" s="165">
        <v>4.8879999999999999</v>
      </c>
      <c r="DR3" s="165">
        <v>30.690999999999999</v>
      </c>
      <c r="DS3" s="165">
        <v>8.9600000000000009</v>
      </c>
      <c r="DT3" s="165">
        <v>42.073</v>
      </c>
      <c r="DU3" s="165">
        <v>0</v>
      </c>
      <c r="DV3" s="165">
        <v>0</v>
      </c>
      <c r="DW3" s="165">
        <v>0</v>
      </c>
      <c r="DX3" s="165">
        <v>97.168000000000006</v>
      </c>
      <c r="DY3" s="165">
        <v>0</v>
      </c>
      <c r="DZ3" s="165">
        <v>0</v>
      </c>
      <c r="EA3" s="168"/>
    </row>
    <row r="4" spans="1:131" s="154" customFormat="1" ht="16.25" hidden="1" customHeight="1" x14ac:dyDescent="0.4">
      <c r="A4" s="32" t="s">
        <v>97</v>
      </c>
      <c r="B4" s="32" t="s">
        <v>29</v>
      </c>
      <c r="C4" s="32" t="s">
        <v>20</v>
      </c>
      <c r="D4" s="32" t="s">
        <v>108</v>
      </c>
      <c r="E4" s="87" t="s">
        <v>109</v>
      </c>
      <c r="F4" s="87" t="s">
        <v>110</v>
      </c>
      <c r="G4" s="32" t="s">
        <v>101</v>
      </c>
      <c r="H4" s="32" t="s">
        <v>102</v>
      </c>
      <c r="I4" s="16" t="s">
        <v>103</v>
      </c>
      <c r="J4" s="38"/>
      <c r="K4" s="38"/>
      <c r="L4" s="38"/>
      <c r="M4" s="38"/>
      <c r="N4" s="36"/>
      <c r="O4" s="33" t="s">
        <v>103</v>
      </c>
      <c r="P4" s="32" t="s">
        <v>111</v>
      </c>
      <c r="Q4" s="129">
        <f t="shared" si="0"/>
        <v>30.026</v>
      </c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88"/>
      <c r="AD4" s="39">
        <v>500</v>
      </c>
      <c r="AE4" s="39">
        <v>470</v>
      </c>
      <c r="AF4" s="39"/>
      <c r="AG4" s="39"/>
      <c r="AH4" s="87"/>
      <c r="AI4" s="159"/>
      <c r="AJ4" s="37">
        <v>356</v>
      </c>
      <c r="AK4" s="46">
        <v>1</v>
      </c>
      <c r="AL4" s="47">
        <f>AJ4*AK4</f>
        <v>356</v>
      </c>
      <c r="AM4" s="162"/>
      <c r="AN4" s="39">
        <f>VLOOKUP(D4,'May FF'!B$2:E$201,2,0)</f>
        <v>29923</v>
      </c>
      <c r="AO4" s="97">
        <f>VLOOKUP(D4,'May FF'!B3:E202,3,0)</f>
        <v>0</v>
      </c>
      <c r="AP4" s="39">
        <f>VLOOKUP($D4,'May FF'!$B$2:$E$201,4,0)</f>
        <v>0</v>
      </c>
      <c r="AQ4" s="159"/>
      <c r="AR4" s="39">
        <v>0</v>
      </c>
      <c r="AS4" s="40">
        <v>0</v>
      </c>
      <c r="AT4" s="39">
        <f>AR4*AS4</f>
        <v>0</v>
      </c>
      <c r="AU4" s="48"/>
      <c r="AV4" s="49"/>
      <c r="AW4" s="48"/>
      <c r="AX4" s="91"/>
      <c r="AY4" s="39">
        <v>30</v>
      </c>
      <c r="AZ4" s="40">
        <v>1</v>
      </c>
      <c r="BA4" s="39">
        <f>AY4*AZ4</f>
        <v>30</v>
      </c>
      <c r="BB4" s="39">
        <f>BA4-AT4</f>
        <v>30</v>
      </c>
      <c r="BC4" s="59"/>
      <c r="BE4" s="39">
        <v>30</v>
      </c>
      <c r="BF4" s="40">
        <v>1</v>
      </c>
      <c r="BG4" s="39">
        <f>BE4*BF4</f>
        <v>30</v>
      </c>
      <c r="BH4" s="39"/>
      <c r="BI4" s="39">
        <f>BG4-BA4</f>
        <v>0</v>
      </c>
      <c r="BJ4" s="39"/>
      <c r="BK4" s="59"/>
      <c r="BL4" s="91"/>
      <c r="BM4" s="39">
        <v>30</v>
      </c>
      <c r="BN4" s="40">
        <v>1</v>
      </c>
      <c r="BO4" s="100">
        <f>BM4*BN4</f>
        <v>30</v>
      </c>
      <c r="BP4" s="37">
        <f>VLOOKUP(D4,'May FF'!B$3:C$38,2,0)/1000</f>
        <v>29.922999999999998</v>
      </c>
      <c r="BQ4" s="92">
        <f>BO4-BA4</f>
        <v>0</v>
      </c>
      <c r="BR4" s="59"/>
      <c r="BS4" s="59"/>
      <c r="BT4" s="91"/>
      <c r="BU4" s="39">
        <v>30</v>
      </c>
      <c r="BV4" s="40">
        <v>1</v>
      </c>
      <c r="BW4" s="118">
        <f>BU4*BV4</f>
        <v>30</v>
      </c>
      <c r="BX4" s="118">
        <f>BW4-BO4</f>
        <v>0</v>
      </c>
      <c r="BY4" s="50"/>
      <c r="CA4" s="39">
        <v>30</v>
      </c>
      <c r="CB4" s="40">
        <v>1</v>
      </c>
      <c r="CC4" s="118">
        <f t="shared" si="1"/>
        <v>30</v>
      </c>
      <c r="CD4" s="118"/>
      <c r="CE4" s="92">
        <f>CC4-BW4</f>
        <v>0</v>
      </c>
      <c r="CF4" s="92">
        <f>CC4-BO4</f>
        <v>0</v>
      </c>
      <c r="CG4" s="59"/>
      <c r="CH4" s="91"/>
      <c r="CI4" s="159">
        <v>30</v>
      </c>
      <c r="CJ4" s="166">
        <v>1</v>
      </c>
      <c r="CK4" s="165">
        <f t="shared" si="2"/>
        <v>30</v>
      </c>
      <c r="CL4" s="92">
        <f t="shared" si="3"/>
        <v>0</v>
      </c>
      <c r="CM4" s="59"/>
      <c r="CN4" s="91"/>
      <c r="CO4" s="159">
        <v>30.026</v>
      </c>
      <c r="CP4" s="166">
        <v>1</v>
      </c>
      <c r="CQ4" s="165">
        <f t="shared" si="4"/>
        <v>30.026</v>
      </c>
      <c r="CR4" s="168">
        <f t="shared" si="5"/>
        <v>2.5999999999999801E-2</v>
      </c>
      <c r="CS4" s="91"/>
      <c r="CT4" s="91"/>
      <c r="CU4" s="159">
        <v>30.026</v>
      </c>
      <c r="CV4" s="166">
        <v>1</v>
      </c>
      <c r="CW4" s="165">
        <f t="shared" si="6"/>
        <v>30.026</v>
      </c>
      <c r="CX4" s="159">
        <v>30.026</v>
      </c>
      <c r="CY4" s="166">
        <v>1</v>
      </c>
      <c r="CZ4" s="165">
        <f t="shared" si="7"/>
        <v>30.026</v>
      </c>
      <c r="DA4" s="168">
        <f t="shared" si="8"/>
        <v>0</v>
      </c>
      <c r="DB4" s="168">
        <f t="shared" si="9"/>
        <v>0</v>
      </c>
      <c r="DC4" s="168"/>
      <c r="DD4" s="91"/>
      <c r="DE4" s="91"/>
      <c r="DF4" s="159">
        <v>29.562999999999999</v>
      </c>
      <c r="DG4" s="166">
        <v>1</v>
      </c>
      <c r="DH4" s="165">
        <f t="shared" si="10"/>
        <v>29.562999999999999</v>
      </c>
      <c r="DI4" s="168">
        <f t="shared" si="11"/>
        <v>-0.46300000000000097</v>
      </c>
      <c r="DJ4" s="168">
        <f t="shared" si="12"/>
        <v>-0.46300000000000097</v>
      </c>
      <c r="DK4" s="168"/>
      <c r="DL4" s="168"/>
      <c r="DM4" s="168"/>
      <c r="DN4" s="168">
        <f t="shared" si="13"/>
        <v>29.562999999999999</v>
      </c>
      <c r="DO4" s="165">
        <v>0</v>
      </c>
      <c r="DP4" s="165">
        <v>24.007999999999999</v>
      </c>
      <c r="DQ4" s="165">
        <v>0</v>
      </c>
      <c r="DR4" s="165">
        <v>0.52200000000000002</v>
      </c>
      <c r="DS4" s="165">
        <v>2.4E-2</v>
      </c>
      <c r="DT4" s="165">
        <v>5.0090000000000003</v>
      </c>
      <c r="DU4" s="165">
        <v>0</v>
      </c>
      <c r="DV4" s="165">
        <v>0</v>
      </c>
      <c r="DW4" s="165">
        <v>0</v>
      </c>
      <c r="DX4" s="165">
        <v>0</v>
      </c>
      <c r="DY4" s="165">
        <v>0</v>
      </c>
      <c r="DZ4" s="165">
        <v>0</v>
      </c>
      <c r="EA4" s="168"/>
    </row>
    <row r="5" spans="1:131" s="154" customFormat="1" ht="16.25" hidden="1" customHeight="1" x14ac:dyDescent="0.4">
      <c r="A5" s="32" t="s">
        <v>97</v>
      </c>
      <c r="B5" s="32" t="s">
        <v>29</v>
      </c>
      <c r="C5" s="32" t="s">
        <v>27</v>
      </c>
      <c r="D5" s="79" t="s">
        <v>112</v>
      </c>
      <c r="E5" s="87" t="s">
        <v>113</v>
      </c>
      <c r="F5" s="87" t="s">
        <v>114</v>
      </c>
      <c r="G5" s="32" t="s">
        <v>101</v>
      </c>
      <c r="H5" s="32" t="s">
        <v>102</v>
      </c>
      <c r="I5" s="51" t="s">
        <v>103</v>
      </c>
      <c r="J5" s="38"/>
      <c r="K5" s="38"/>
      <c r="L5" s="38"/>
      <c r="M5" s="36"/>
      <c r="N5" s="36"/>
      <c r="O5" s="33" t="s">
        <v>103</v>
      </c>
      <c r="P5" s="32" t="s">
        <v>111</v>
      </c>
      <c r="Q5" s="129">
        <f t="shared" si="0"/>
        <v>2.96</v>
      </c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2"/>
      <c r="AD5" s="37"/>
      <c r="AE5" s="37"/>
      <c r="AF5" s="37"/>
      <c r="AG5" s="37"/>
      <c r="AH5" s="158"/>
      <c r="AI5" s="158"/>
      <c r="AJ5" s="37"/>
      <c r="AK5" s="46"/>
      <c r="AL5" s="47"/>
      <c r="AM5" s="162"/>
      <c r="AN5" s="39"/>
      <c r="AO5" s="97"/>
      <c r="AP5" s="39"/>
      <c r="AQ5" s="160"/>
      <c r="AR5" s="45"/>
      <c r="AS5" s="46"/>
      <c r="AT5" s="37"/>
      <c r="AU5" s="48"/>
      <c r="AV5" s="49"/>
      <c r="AW5" s="48"/>
      <c r="AX5" s="91"/>
      <c r="AY5" s="45"/>
      <c r="AZ5" s="46"/>
      <c r="BA5" s="37"/>
      <c r="BB5" s="39"/>
      <c r="BC5" s="59"/>
      <c r="BD5" s="91"/>
      <c r="BE5" s="45"/>
      <c r="BF5" s="46"/>
      <c r="BG5" s="37"/>
      <c r="BH5" s="39"/>
      <c r="BI5" s="39"/>
      <c r="BJ5" s="39"/>
      <c r="BK5" s="59"/>
      <c r="BL5" s="91"/>
      <c r="BM5" s="45"/>
      <c r="BN5" s="46"/>
      <c r="BO5" s="37"/>
      <c r="BP5" s="37"/>
      <c r="BQ5" s="92"/>
      <c r="BR5" s="34"/>
      <c r="BS5" s="59"/>
      <c r="BU5" s="45">
        <v>4.0629999999999997</v>
      </c>
      <c r="BV5" s="46">
        <v>1</v>
      </c>
      <c r="BW5" s="118">
        <f>BU5*BV5</f>
        <v>4.0629999999999997</v>
      </c>
      <c r="BX5" s="118">
        <f>BW5-BO5</f>
        <v>4.0629999999999997</v>
      </c>
      <c r="BY5" s="59"/>
      <c r="CA5" s="45">
        <v>4.0629999999999997</v>
      </c>
      <c r="CB5" s="46">
        <v>1</v>
      </c>
      <c r="CC5" s="118">
        <f t="shared" si="1"/>
        <v>4.0629999999999997</v>
      </c>
      <c r="CD5" s="118"/>
      <c r="CE5" s="92">
        <f>CC5-BW5</f>
        <v>0</v>
      </c>
      <c r="CF5" s="92">
        <f>CC5-BO5</f>
        <v>4.0629999999999997</v>
      </c>
      <c r="CG5" s="59"/>
      <c r="CI5" s="160">
        <v>4.0629999999999997</v>
      </c>
      <c r="CJ5" s="164">
        <v>1</v>
      </c>
      <c r="CK5" s="165">
        <f t="shared" si="2"/>
        <v>4.0629999999999997</v>
      </c>
      <c r="CL5" s="92">
        <f t="shared" si="3"/>
        <v>0</v>
      </c>
      <c r="CM5" s="59"/>
      <c r="CO5" s="160">
        <v>2.96</v>
      </c>
      <c r="CP5" s="164">
        <v>1</v>
      </c>
      <c r="CQ5" s="165">
        <f t="shared" si="4"/>
        <v>2.96</v>
      </c>
      <c r="CR5" s="168">
        <f t="shared" si="5"/>
        <v>-1.1029999999999998</v>
      </c>
      <c r="CU5" s="160">
        <v>2.96</v>
      </c>
      <c r="CV5" s="164">
        <v>1</v>
      </c>
      <c r="CW5" s="165">
        <f t="shared" si="6"/>
        <v>2.96</v>
      </c>
      <c r="CX5" s="160">
        <v>2.96</v>
      </c>
      <c r="CY5" s="164">
        <v>1</v>
      </c>
      <c r="CZ5" s="165">
        <f t="shared" si="7"/>
        <v>2.96</v>
      </c>
      <c r="DA5" s="168">
        <f t="shared" si="8"/>
        <v>0</v>
      </c>
      <c r="DB5" s="168">
        <f t="shared" si="9"/>
        <v>0</v>
      </c>
      <c r="DC5" s="168"/>
      <c r="DF5" s="160">
        <v>2.96</v>
      </c>
      <c r="DG5" s="164">
        <v>1</v>
      </c>
      <c r="DH5" s="165">
        <f t="shared" si="10"/>
        <v>2.96</v>
      </c>
      <c r="DI5" s="168">
        <f t="shared" si="11"/>
        <v>0</v>
      </c>
      <c r="DJ5" s="168">
        <f t="shared" si="12"/>
        <v>0</v>
      </c>
      <c r="DK5" s="165"/>
      <c r="DL5" s="165"/>
      <c r="DM5" s="165"/>
      <c r="DN5" s="168">
        <f t="shared" si="13"/>
        <v>2.96</v>
      </c>
      <c r="DO5" s="165">
        <v>3.004</v>
      </c>
      <c r="DP5" s="165">
        <v>-4.3999999999999997E-2</v>
      </c>
      <c r="DQ5" s="165">
        <v>0</v>
      </c>
      <c r="DR5" s="165">
        <v>0</v>
      </c>
      <c r="DS5" s="165">
        <v>0</v>
      </c>
      <c r="DT5" s="165">
        <v>0</v>
      </c>
      <c r="DU5" s="165">
        <v>0</v>
      </c>
      <c r="DV5" s="165">
        <v>0</v>
      </c>
      <c r="DW5" s="165">
        <v>0</v>
      </c>
      <c r="DX5" s="165">
        <v>0</v>
      </c>
      <c r="DY5" s="165">
        <v>0</v>
      </c>
      <c r="DZ5" s="165">
        <v>0</v>
      </c>
      <c r="EA5" s="168"/>
    </row>
    <row r="6" spans="1:131" s="154" customFormat="1" ht="16.25" hidden="1" customHeight="1" x14ac:dyDescent="0.4">
      <c r="A6" s="32" t="s">
        <v>97</v>
      </c>
      <c r="B6" s="32" t="s">
        <v>29</v>
      </c>
      <c r="C6" s="32" t="s">
        <v>27</v>
      </c>
      <c r="D6" s="79" t="s">
        <v>115</v>
      </c>
      <c r="E6" s="87" t="s">
        <v>116</v>
      </c>
      <c r="F6" s="87" t="s">
        <v>114</v>
      </c>
      <c r="G6" s="32" t="s">
        <v>101</v>
      </c>
      <c r="H6" s="32" t="s">
        <v>102</v>
      </c>
      <c r="I6" s="51"/>
      <c r="J6" s="38"/>
      <c r="K6" s="38"/>
      <c r="L6" s="38"/>
      <c r="M6" s="36"/>
      <c r="N6" s="36"/>
      <c r="O6" s="33" t="s">
        <v>103</v>
      </c>
      <c r="P6" s="32" t="s">
        <v>111</v>
      </c>
      <c r="Q6" s="129">
        <f t="shared" si="0"/>
        <v>2.0060000000000002</v>
      </c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2"/>
      <c r="AD6" s="37"/>
      <c r="AE6" s="37"/>
      <c r="AF6" s="37"/>
      <c r="AG6" s="37"/>
      <c r="AH6" s="158"/>
      <c r="AI6" s="158"/>
      <c r="AJ6" s="37"/>
      <c r="AK6" s="46"/>
      <c r="AL6" s="47"/>
      <c r="AM6" s="162"/>
      <c r="AN6" s="39"/>
      <c r="AO6" s="97"/>
      <c r="AP6" s="39"/>
      <c r="AQ6" s="160"/>
      <c r="AR6" s="45"/>
      <c r="AS6" s="46"/>
      <c r="AT6" s="37"/>
      <c r="AU6" s="48"/>
      <c r="AV6" s="49"/>
      <c r="AW6" s="48"/>
      <c r="AX6" s="91"/>
      <c r="AY6" s="45"/>
      <c r="AZ6" s="46"/>
      <c r="BA6" s="37"/>
      <c r="BB6" s="39"/>
      <c r="BC6" s="59"/>
      <c r="BD6" s="91"/>
      <c r="BE6" s="45"/>
      <c r="BF6" s="46"/>
      <c r="BG6" s="37"/>
      <c r="BH6" s="39"/>
      <c r="BI6" s="39"/>
      <c r="BJ6" s="39"/>
      <c r="BK6" s="59"/>
      <c r="BL6" s="91"/>
      <c r="BM6" s="45"/>
      <c r="BN6" s="46"/>
      <c r="BO6" s="37"/>
      <c r="BP6" s="37"/>
      <c r="BQ6" s="92"/>
      <c r="BR6" s="34"/>
      <c r="BS6" s="59"/>
      <c r="BU6" s="45"/>
      <c r="BV6" s="46"/>
      <c r="BW6" s="118"/>
      <c r="BX6" s="118"/>
      <c r="BY6" s="59"/>
      <c r="CA6" s="39">
        <v>0</v>
      </c>
      <c r="CB6" s="40">
        <v>0</v>
      </c>
      <c r="CC6" s="118">
        <f t="shared" si="1"/>
        <v>0</v>
      </c>
      <c r="CD6" s="118"/>
      <c r="CE6" s="92"/>
      <c r="CF6" s="92"/>
      <c r="CG6" s="59"/>
      <c r="CI6" s="160">
        <v>-2E-3</v>
      </c>
      <c r="CJ6" s="164">
        <v>1</v>
      </c>
      <c r="CK6" s="165">
        <f t="shared" si="2"/>
        <v>-2E-3</v>
      </c>
      <c r="CL6" s="92">
        <f t="shared" si="3"/>
        <v>-2E-3</v>
      </c>
      <c r="CM6" s="59"/>
      <c r="CO6" s="160">
        <v>2.0060000000000002</v>
      </c>
      <c r="CP6" s="164">
        <v>1</v>
      </c>
      <c r="CQ6" s="165">
        <f t="shared" si="4"/>
        <v>2.0060000000000002</v>
      </c>
      <c r="CR6" s="168">
        <f t="shared" si="5"/>
        <v>2.008</v>
      </c>
      <c r="CU6" s="160">
        <v>2.0060000000000002</v>
      </c>
      <c r="CV6" s="164">
        <v>1</v>
      </c>
      <c r="CW6" s="165">
        <f t="shared" si="6"/>
        <v>2.0060000000000002</v>
      </c>
      <c r="CX6" s="160">
        <v>2.0060000000000002</v>
      </c>
      <c r="CY6" s="164">
        <v>1</v>
      </c>
      <c r="CZ6" s="165">
        <f t="shared" si="7"/>
        <v>2.0060000000000002</v>
      </c>
      <c r="DA6" s="168">
        <f t="shared" si="8"/>
        <v>0</v>
      </c>
      <c r="DB6" s="168">
        <f t="shared" si="9"/>
        <v>0</v>
      </c>
      <c r="DC6" s="168"/>
      <c r="DF6" s="160">
        <v>1.758</v>
      </c>
      <c r="DG6" s="164">
        <v>1</v>
      </c>
      <c r="DH6" s="165">
        <f t="shared" si="10"/>
        <v>1.758</v>
      </c>
      <c r="DI6" s="168">
        <f t="shared" si="11"/>
        <v>-0.24800000000000022</v>
      </c>
      <c r="DJ6" s="168">
        <f t="shared" si="12"/>
        <v>-0.24800000000000022</v>
      </c>
      <c r="DK6" s="165"/>
      <c r="DL6" s="165"/>
      <c r="DM6" s="165"/>
      <c r="DN6" s="168">
        <f t="shared" si="13"/>
        <v>1.758</v>
      </c>
      <c r="DO6" s="165">
        <v>0</v>
      </c>
      <c r="DP6" s="165">
        <v>-2E-3</v>
      </c>
      <c r="DQ6" s="165">
        <v>0</v>
      </c>
      <c r="DR6" s="165">
        <v>0</v>
      </c>
      <c r="DS6" s="165">
        <v>1.76</v>
      </c>
      <c r="DT6" s="165">
        <v>0</v>
      </c>
      <c r="DU6" s="165">
        <v>0</v>
      </c>
      <c r="DV6" s="165">
        <v>0</v>
      </c>
      <c r="DW6" s="165">
        <v>0</v>
      </c>
      <c r="DX6" s="165">
        <v>0</v>
      </c>
      <c r="DY6" s="165">
        <v>0</v>
      </c>
      <c r="DZ6" s="165">
        <v>0</v>
      </c>
    </row>
    <row r="7" spans="1:131" s="154" customFormat="1" ht="16.25" hidden="1" customHeight="1" x14ac:dyDescent="0.4">
      <c r="A7" s="32" t="s">
        <v>97</v>
      </c>
      <c r="B7" s="32" t="s">
        <v>29</v>
      </c>
      <c r="C7" s="32" t="s">
        <v>27</v>
      </c>
      <c r="D7" s="32" t="s">
        <v>117</v>
      </c>
      <c r="E7" s="87" t="s">
        <v>118</v>
      </c>
      <c r="F7" s="156" t="s">
        <v>114</v>
      </c>
      <c r="G7" s="32" t="s">
        <v>101</v>
      </c>
      <c r="H7" s="32" t="s">
        <v>102</v>
      </c>
      <c r="I7" s="51" t="s">
        <v>103</v>
      </c>
      <c r="J7" s="38"/>
      <c r="K7" s="38"/>
      <c r="L7" s="38"/>
      <c r="M7" s="38"/>
      <c r="N7" s="36"/>
      <c r="O7" s="33" t="s">
        <v>103</v>
      </c>
      <c r="P7" s="32" t="s">
        <v>104</v>
      </c>
      <c r="Q7" s="129">
        <f t="shared" si="0"/>
        <v>303.94600000000003</v>
      </c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2"/>
      <c r="AD7" s="39">
        <v>2500</v>
      </c>
      <c r="AE7" s="39">
        <v>2300</v>
      </c>
      <c r="AF7" s="39"/>
      <c r="AG7" s="39"/>
      <c r="AH7" s="87"/>
      <c r="AI7" s="159"/>
      <c r="AJ7" s="37">
        <v>2178</v>
      </c>
      <c r="AK7" s="46">
        <v>1</v>
      </c>
      <c r="AL7" s="47">
        <f>AJ7*AK7</f>
        <v>2178</v>
      </c>
      <c r="AM7" s="162"/>
      <c r="AN7" s="39">
        <f>VLOOKUP(D7,'May FF'!B$2:E$201,2,0)</f>
        <v>330357</v>
      </c>
      <c r="AO7" s="97">
        <f>VLOOKUP(D7,'May FF'!B4:E203,3,0)</f>
        <v>0</v>
      </c>
      <c r="AP7" s="39">
        <f>VLOOKUP($D7,'May FF'!$B$2:$E$201,4,0)</f>
        <v>0</v>
      </c>
      <c r="AQ7" s="159"/>
      <c r="AR7" s="39">
        <f>AD7-AL7</f>
        <v>322</v>
      </c>
      <c r="AS7" s="40">
        <v>0.9</v>
      </c>
      <c r="AT7" s="39">
        <v>270.18000000000006</v>
      </c>
      <c r="AU7" s="48"/>
      <c r="AV7" s="49">
        <f>AU7*AS7</f>
        <v>0</v>
      </c>
      <c r="AW7" s="48"/>
      <c r="AX7" s="91"/>
      <c r="AY7" s="39">
        <f>323+29</f>
        <v>352</v>
      </c>
      <c r="AZ7" s="40">
        <v>1</v>
      </c>
      <c r="BA7" s="39">
        <f>AY7*AZ7</f>
        <v>352</v>
      </c>
      <c r="BB7" s="39">
        <f>BA7-AT7</f>
        <v>81.819999999999936</v>
      </c>
      <c r="BC7" s="59" t="s">
        <v>119</v>
      </c>
      <c r="BE7" s="39">
        <f>330+28</f>
        <v>358</v>
      </c>
      <c r="BF7" s="40">
        <v>1</v>
      </c>
      <c r="BG7" s="39">
        <f>BE7*BF7</f>
        <v>358</v>
      </c>
      <c r="BH7" s="39"/>
      <c r="BI7" s="39">
        <f>BG7-BA7</f>
        <v>6</v>
      </c>
      <c r="BJ7" s="39"/>
      <c r="BK7" s="59" t="s">
        <v>120</v>
      </c>
      <c r="BL7" s="91"/>
      <c r="BM7" s="39">
        <f>330</f>
        <v>330</v>
      </c>
      <c r="BN7" s="40">
        <v>1</v>
      </c>
      <c r="BO7" s="39">
        <f t="shared" ref="BO7:BO22" si="14">BM7*BN7</f>
        <v>330</v>
      </c>
      <c r="BP7" s="37">
        <f>VLOOKUP(D7,'May FF'!B$3:C$38,2,0)/1000</f>
        <v>330.35700000000003</v>
      </c>
      <c r="BQ7" s="92">
        <f t="shared" ref="BQ7:BQ22" si="15">BO7-BA7</f>
        <v>-22</v>
      </c>
      <c r="BR7" s="34" t="s">
        <v>121</v>
      </c>
      <c r="BS7" s="50"/>
      <c r="BU7" s="39">
        <v>303.76799999999997</v>
      </c>
      <c r="BV7" s="40">
        <v>1</v>
      </c>
      <c r="BW7" s="118">
        <f t="shared" ref="BW7:BW22" si="16">BU7*BV7</f>
        <v>303.76799999999997</v>
      </c>
      <c r="BX7" s="118">
        <f t="shared" ref="BX7:BX22" si="17">BW7-BO7</f>
        <v>-26.232000000000028</v>
      </c>
      <c r="BY7" s="59"/>
      <c r="CA7" s="39">
        <v>303.76799999999997</v>
      </c>
      <c r="CB7" s="40">
        <v>1</v>
      </c>
      <c r="CC7" s="118">
        <f t="shared" si="1"/>
        <v>303.76799999999997</v>
      </c>
      <c r="CD7" s="118"/>
      <c r="CE7" s="92">
        <f t="shared" ref="CE7:CE22" si="18">CC7-BW7</f>
        <v>0</v>
      </c>
      <c r="CF7" s="92">
        <f t="shared" ref="CF7:CF22" si="19">CC7-BO7</f>
        <v>-26.232000000000028</v>
      </c>
      <c r="CG7" s="59"/>
      <c r="CI7" s="159">
        <v>303.76799999999997</v>
      </c>
      <c r="CJ7" s="166">
        <v>1</v>
      </c>
      <c r="CK7" s="165">
        <f t="shared" si="2"/>
        <v>303.76799999999997</v>
      </c>
      <c r="CL7" s="92">
        <f t="shared" si="3"/>
        <v>0</v>
      </c>
      <c r="CM7" s="59"/>
      <c r="CO7" s="159">
        <v>303.94600000000003</v>
      </c>
      <c r="CP7" s="166">
        <v>1</v>
      </c>
      <c r="CQ7" s="165">
        <f t="shared" si="4"/>
        <v>303.94600000000003</v>
      </c>
      <c r="CR7" s="168">
        <f t="shared" si="5"/>
        <v>0.17800000000005411</v>
      </c>
      <c r="CU7" s="159">
        <v>303.94600000000003</v>
      </c>
      <c r="CV7" s="166">
        <v>1</v>
      </c>
      <c r="CW7" s="165">
        <f t="shared" si="6"/>
        <v>303.94600000000003</v>
      </c>
      <c r="CX7" s="159">
        <v>303.94600000000003</v>
      </c>
      <c r="CY7" s="166">
        <v>1</v>
      </c>
      <c r="CZ7" s="165">
        <f t="shared" si="7"/>
        <v>303.94600000000003</v>
      </c>
      <c r="DA7" s="168">
        <f t="shared" si="8"/>
        <v>0</v>
      </c>
      <c r="DB7" s="168">
        <f t="shared" si="9"/>
        <v>0</v>
      </c>
      <c r="DC7" s="168"/>
      <c r="DF7" s="159">
        <v>303.99399999999997</v>
      </c>
      <c r="DG7" s="166">
        <v>1</v>
      </c>
      <c r="DH7" s="165">
        <f t="shared" si="10"/>
        <v>303.99399999999997</v>
      </c>
      <c r="DI7" s="168">
        <f t="shared" si="11"/>
        <v>4.7999999999944976E-2</v>
      </c>
      <c r="DJ7" s="168">
        <f t="shared" si="12"/>
        <v>4.7999999999944976E-2</v>
      </c>
      <c r="DK7" s="165" t="s">
        <v>122</v>
      </c>
      <c r="DL7" s="165"/>
      <c r="DM7" s="165"/>
      <c r="DN7" s="168">
        <f t="shared" si="13"/>
        <v>303.99399999999997</v>
      </c>
      <c r="DO7" s="165">
        <v>2.8279999999999998</v>
      </c>
      <c r="DP7" s="165">
        <v>36.332000000000001</v>
      </c>
      <c r="DQ7" s="165">
        <v>17.414999999999999</v>
      </c>
      <c r="DR7" s="165">
        <v>27.907</v>
      </c>
      <c r="DS7" s="165">
        <v>6.1449999999999996</v>
      </c>
      <c r="DT7" s="165">
        <v>40.069000000000003</v>
      </c>
      <c r="DU7" s="165">
        <v>0</v>
      </c>
      <c r="DV7" s="165">
        <v>113.19499999999999</v>
      </c>
      <c r="DW7" s="165">
        <v>57.097999999999999</v>
      </c>
      <c r="DX7" s="165">
        <v>3.0049999999999999</v>
      </c>
      <c r="DY7" s="165">
        <v>0</v>
      </c>
      <c r="DZ7" s="165">
        <v>0</v>
      </c>
      <c r="EA7" s="168"/>
    </row>
    <row r="8" spans="1:131" s="91" customFormat="1" ht="16.25" hidden="1" customHeight="1" x14ac:dyDescent="0.4">
      <c r="A8" s="32" t="s">
        <v>97</v>
      </c>
      <c r="B8" s="32" t="s">
        <v>29</v>
      </c>
      <c r="C8" s="32" t="s">
        <v>20</v>
      </c>
      <c r="D8" s="32" t="s">
        <v>124</v>
      </c>
      <c r="E8" s="87" t="s">
        <v>125</v>
      </c>
      <c r="F8" s="87" t="s">
        <v>110</v>
      </c>
      <c r="G8" s="32" t="s">
        <v>101</v>
      </c>
      <c r="H8" s="32" t="s">
        <v>102</v>
      </c>
      <c r="I8" s="51" t="s">
        <v>103</v>
      </c>
      <c r="J8" s="38"/>
      <c r="K8" s="38"/>
      <c r="L8" s="38"/>
      <c r="M8" s="38"/>
      <c r="N8" s="36"/>
      <c r="O8" s="33" t="s">
        <v>103</v>
      </c>
      <c r="P8" s="32" t="s">
        <v>111</v>
      </c>
      <c r="Q8" s="129">
        <f t="shared" si="0"/>
        <v>20.024000000000001</v>
      </c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88"/>
      <c r="AD8" s="39"/>
      <c r="AE8" s="39"/>
      <c r="AF8" s="39"/>
      <c r="AG8" s="39"/>
      <c r="AH8" s="87"/>
      <c r="AI8" s="159"/>
      <c r="AJ8" s="37"/>
      <c r="AK8" s="46"/>
      <c r="AL8" s="47"/>
      <c r="AM8" s="162"/>
      <c r="AN8" s="39">
        <f>VLOOKUP(D8,'May FF'!B$2:E$201,2,0)</f>
        <v>9974</v>
      </c>
      <c r="AO8" s="97">
        <f>VLOOKUP(D8,'May FF'!B5:E204,3,0)</f>
        <v>0</v>
      </c>
      <c r="AP8" s="39">
        <f>VLOOKUP($D8,'May FF'!$B$2:$E$201,4,0)</f>
        <v>0</v>
      </c>
      <c r="AQ8" s="159"/>
      <c r="AR8" s="39"/>
      <c r="AS8" s="40"/>
      <c r="AT8" s="39"/>
      <c r="AU8" s="48"/>
      <c r="AV8" s="49"/>
      <c r="AW8" s="48"/>
      <c r="AY8" s="39"/>
      <c r="AZ8" s="40"/>
      <c r="BA8" s="39"/>
      <c r="BB8" s="39"/>
      <c r="BC8" s="59"/>
      <c r="BD8" s="154"/>
      <c r="BE8" s="39"/>
      <c r="BF8" s="40"/>
      <c r="BG8" s="39"/>
      <c r="BH8" s="39"/>
      <c r="BI8" s="39"/>
      <c r="BJ8" s="39"/>
      <c r="BK8" s="59"/>
      <c r="BM8" s="39">
        <v>10</v>
      </c>
      <c r="BN8" s="40">
        <v>1</v>
      </c>
      <c r="BO8" s="100">
        <f t="shared" si="14"/>
        <v>10</v>
      </c>
      <c r="BP8" s="37">
        <f>VLOOKUP(D8,'May FF'!B$3:C$38,2,0)/1000</f>
        <v>9.9740000000000002</v>
      </c>
      <c r="BQ8" s="92">
        <f t="shared" si="15"/>
        <v>10</v>
      </c>
      <c r="BR8" s="34" t="s">
        <v>106</v>
      </c>
      <c r="BS8" s="50"/>
      <c r="BU8" s="39">
        <v>10</v>
      </c>
      <c r="BV8" s="40">
        <v>1</v>
      </c>
      <c r="BW8" s="118">
        <f t="shared" si="16"/>
        <v>10</v>
      </c>
      <c r="BX8" s="118">
        <f t="shared" si="17"/>
        <v>0</v>
      </c>
      <c r="BY8" s="50"/>
      <c r="CA8" s="39">
        <v>20.32</v>
      </c>
      <c r="CB8" s="40">
        <v>1</v>
      </c>
      <c r="CC8" s="118">
        <f t="shared" si="1"/>
        <v>20.32</v>
      </c>
      <c r="CD8" s="118"/>
      <c r="CE8" s="92">
        <f t="shared" si="18"/>
        <v>10.32</v>
      </c>
      <c r="CF8" s="92">
        <f t="shared" si="19"/>
        <v>10.32</v>
      </c>
      <c r="CG8" s="50"/>
      <c r="CI8" s="159">
        <v>20.32</v>
      </c>
      <c r="CJ8" s="166">
        <v>1</v>
      </c>
      <c r="CK8" s="165">
        <f t="shared" si="2"/>
        <v>20.32</v>
      </c>
      <c r="CL8" s="92">
        <f t="shared" si="3"/>
        <v>0</v>
      </c>
      <c r="CM8" s="50"/>
      <c r="CO8" s="159">
        <v>20.024000000000001</v>
      </c>
      <c r="CP8" s="166">
        <v>1</v>
      </c>
      <c r="CQ8" s="165">
        <f t="shared" si="4"/>
        <v>20.024000000000001</v>
      </c>
      <c r="CR8" s="168">
        <f t="shared" si="5"/>
        <v>-0.29599999999999937</v>
      </c>
      <c r="CU8" s="159">
        <v>20.024000000000001</v>
      </c>
      <c r="CV8" s="166">
        <v>1</v>
      </c>
      <c r="CW8" s="165">
        <f t="shared" si="6"/>
        <v>20.024000000000001</v>
      </c>
      <c r="CX8" s="159">
        <v>20.024000000000001</v>
      </c>
      <c r="CY8" s="166">
        <v>1</v>
      </c>
      <c r="CZ8" s="165">
        <f t="shared" si="7"/>
        <v>20.024000000000001</v>
      </c>
      <c r="DA8" s="168">
        <f t="shared" si="8"/>
        <v>0</v>
      </c>
      <c r="DB8" s="168">
        <f t="shared" si="9"/>
        <v>0</v>
      </c>
      <c r="DC8" s="168"/>
      <c r="DF8" s="159">
        <v>19.629000000000001</v>
      </c>
      <c r="DG8" s="166">
        <v>1</v>
      </c>
      <c r="DH8" s="165">
        <f t="shared" si="10"/>
        <v>19.629000000000001</v>
      </c>
      <c r="DI8" s="168">
        <f t="shared" si="11"/>
        <v>-0.39499999999999957</v>
      </c>
      <c r="DJ8" s="168">
        <f t="shared" si="12"/>
        <v>-0.39499999999999957</v>
      </c>
      <c r="DK8" s="168"/>
      <c r="DL8" s="168"/>
      <c r="DM8" s="168"/>
      <c r="DN8" s="168">
        <f t="shared" si="13"/>
        <v>19.629000000000001</v>
      </c>
      <c r="DO8" s="165">
        <v>0</v>
      </c>
      <c r="DP8" s="165">
        <v>11.734</v>
      </c>
      <c r="DQ8" s="165">
        <v>-4.6500000000000004</v>
      </c>
      <c r="DR8" s="165">
        <v>9.4030000000000005</v>
      </c>
      <c r="DS8" s="165">
        <v>0</v>
      </c>
      <c r="DT8" s="165">
        <v>3.1419999999999999</v>
      </c>
      <c r="DU8" s="165">
        <v>0</v>
      </c>
      <c r="DV8" s="165">
        <v>0</v>
      </c>
      <c r="DW8" s="165">
        <v>0</v>
      </c>
      <c r="DX8" s="165">
        <v>0</v>
      </c>
      <c r="DY8" s="165">
        <v>0</v>
      </c>
      <c r="DZ8" s="165">
        <v>0</v>
      </c>
      <c r="EA8" s="168"/>
    </row>
    <row r="9" spans="1:131" s="91" customFormat="1" ht="16.25" hidden="1" customHeight="1" x14ac:dyDescent="0.4">
      <c r="A9" s="32" t="s">
        <v>97</v>
      </c>
      <c r="B9" s="32" t="s">
        <v>29</v>
      </c>
      <c r="C9" s="32" t="s">
        <v>27</v>
      </c>
      <c r="D9" s="32" t="s">
        <v>126</v>
      </c>
      <c r="E9" s="87" t="s">
        <v>127</v>
      </c>
      <c r="F9" s="87" t="s">
        <v>110</v>
      </c>
      <c r="G9" s="32" t="s">
        <v>101</v>
      </c>
      <c r="H9" s="32" t="s">
        <v>102</v>
      </c>
      <c r="I9" s="16" t="s">
        <v>103</v>
      </c>
      <c r="J9" s="33" t="s">
        <v>128</v>
      </c>
      <c r="K9" s="36" t="s">
        <v>129</v>
      </c>
      <c r="L9" s="36" t="s">
        <v>130</v>
      </c>
      <c r="M9" s="36"/>
      <c r="N9" s="36" t="s">
        <v>131</v>
      </c>
      <c r="O9" s="33" t="s">
        <v>103</v>
      </c>
      <c r="P9" s="32" t="s">
        <v>111</v>
      </c>
      <c r="Q9" s="129">
        <f t="shared" si="0"/>
        <v>70.051000000000002</v>
      </c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88"/>
      <c r="AD9" s="41">
        <v>1100</v>
      </c>
      <c r="AE9" s="41">
        <v>890</v>
      </c>
      <c r="AF9" s="37"/>
      <c r="AG9" s="37"/>
      <c r="AH9" s="158"/>
      <c r="AI9" s="160"/>
      <c r="AJ9" s="37">
        <v>835</v>
      </c>
      <c r="AK9" s="46">
        <v>0.9</v>
      </c>
      <c r="AL9" s="47">
        <f t="shared" ref="AL9:AL14" si="20">AJ9*AK9</f>
        <v>751.5</v>
      </c>
      <c r="AM9" s="162"/>
      <c r="AN9" s="39">
        <f>VLOOKUP(D9,'May FF'!B$2:E$201,2,0)</f>
        <v>128668</v>
      </c>
      <c r="AO9" s="97" t="e">
        <f>VLOOKUP(D9,'May FF'!B6:E205,3,0)</f>
        <v>#N/A</v>
      </c>
      <c r="AP9" s="39">
        <f>VLOOKUP($D9,'May FF'!$B$2:$E$201,4,0)</f>
        <v>0</v>
      </c>
      <c r="AQ9" s="160"/>
      <c r="AR9" s="41">
        <v>139.39999999999998</v>
      </c>
      <c r="AS9" s="40">
        <v>1</v>
      </c>
      <c r="AT9" s="41">
        <v>139.39999999999998</v>
      </c>
      <c r="AU9" s="48"/>
      <c r="AV9" s="49">
        <f>AU9*AS9</f>
        <v>0</v>
      </c>
      <c r="AW9" s="48"/>
      <c r="AY9" s="41">
        <f>139-30+164</f>
        <v>273</v>
      </c>
      <c r="AZ9" s="40">
        <v>1</v>
      </c>
      <c r="BA9" s="41">
        <f>AY9*AZ9</f>
        <v>273</v>
      </c>
      <c r="BB9" s="39">
        <f>BA9-AT9</f>
        <v>133.60000000000002</v>
      </c>
      <c r="BC9" s="59" t="s">
        <v>132</v>
      </c>
      <c r="BE9" s="41">
        <f>97+122</f>
        <v>219</v>
      </c>
      <c r="BF9" s="40">
        <v>1</v>
      </c>
      <c r="BG9" s="41">
        <f>BE9*BF9</f>
        <v>219</v>
      </c>
      <c r="BH9" s="39"/>
      <c r="BI9" s="39">
        <f t="shared" ref="BI9:BI14" si="21">BG9-BA9</f>
        <v>-54</v>
      </c>
      <c r="BJ9" s="39" t="s">
        <v>133</v>
      </c>
      <c r="BK9" s="59" t="s">
        <v>134</v>
      </c>
      <c r="BM9" s="41">
        <v>128.66800000000001</v>
      </c>
      <c r="BN9" s="40">
        <v>1</v>
      </c>
      <c r="BO9" s="41">
        <f t="shared" si="14"/>
        <v>128.66800000000001</v>
      </c>
      <c r="BP9" s="37">
        <f>VLOOKUP(D9,'May FF'!B$3:C$38,2,0)/1000</f>
        <v>128.66800000000001</v>
      </c>
      <c r="BQ9" s="92">
        <f t="shared" si="15"/>
        <v>-144.33199999999999</v>
      </c>
      <c r="BR9" s="34" t="s">
        <v>121</v>
      </c>
      <c r="BS9" s="50"/>
      <c r="BU9" s="41">
        <v>70.111000000000004</v>
      </c>
      <c r="BV9" s="40">
        <v>1</v>
      </c>
      <c r="BW9" s="118">
        <f t="shared" si="16"/>
        <v>70.111000000000004</v>
      </c>
      <c r="BX9" s="118">
        <f t="shared" si="17"/>
        <v>-58.557000000000002</v>
      </c>
      <c r="BY9" s="50"/>
      <c r="CA9" s="41">
        <v>70.355999999999995</v>
      </c>
      <c r="CB9" s="40">
        <v>1</v>
      </c>
      <c r="CC9" s="118">
        <f t="shared" si="1"/>
        <v>70.355999999999995</v>
      </c>
      <c r="CD9" s="118"/>
      <c r="CE9" s="92">
        <f t="shared" si="18"/>
        <v>0.24499999999999034</v>
      </c>
      <c r="CF9" s="92">
        <f t="shared" si="19"/>
        <v>-58.312000000000012</v>
      </c>
      <c r="CG9" s="50"/>
      <c r="CH9" s="154"/>
      <c r="CI9" s="161">
        <v>70.355999999999995</v>
      </c>
      <c r="CJ9" s="166">
        <v>1</v>
      </c>
      <c r="CK9" s="165">
        <f t="shared" si="2"/>
        <v>70.355999999999995</v>
      </c>
      <c r="CL9" s="92">
        <f t="shared" si="3"/>
        <v>0</v>
      </c>
      <c r="CM9" s="50"/>
      <c r="CN9" s="154"/>
      <c r="CO9" s="161">
        <v>70.051000000000002</v>
      </c>
      <c r="CP9" s="166">
        <v>1</v>
      </c>
      <c r="CQ9" s="165">
        <f t="shared" si="4"/>
        <v>70.051000000000002</v>
      </c>
      <c r="CR9" s="168">
        <f t="shared" si="5"/>
        <v>-0.30499999999999261</v>
      </c>
      <c r="CS9" s="154"/>
      <c r="CT9" s="154"/>
      <c r="CU9" s="161">
        <v>70.051000000000002</v>
      </c>
      <c r="CV9" s="166">
        <v>1</v>
      </c>
      <c r="CW9" s="165">
        <f t="shared" si="6"/>
        <v>70.051000000000002</v>
      </c>
      <c r="CX9" s="161">
        <v>70.051000000000002</v>
      </c>
      <c r="CY9" s="166">
        <v>1</v>
      </c>
      <c r="CZ9" s="165">
        <f t="shared" si="7"/>
        <v>70.051000000000002</v>
      </c>
      <c r="DA9" s="168">
        <f t="shared" si="8"/>
        <v>0</v>
      </c>
      <c r="DB9" s="168">
        <f t="shared" si="9"/>
        <v>0</v>
      </c>
      <c r="DC9" s="168"/>
      <c r="DD9" s="154"/>
      <c r="DE9" s="154"/>
      <c r="DF9" s="161">
        <v>70.465000000000003</v>
      </c>
      <c r="DG9" s="166">
        <v>1</v>
      </c>
      <c r="DH9" s="165">
        <f t="shared" si="10"/>
        <v>70.465000000000003</v>
      </c>
      <c r="DI9" s="168">
        <f t="shared" si="11"/>
        <v>0.41400000000000148</v>
      </c>
      <c r="DJ9" s="168">
        <f t="shared" si="12"/>
        <v>0.41400000000000148</v>
      </c>
      <c r="DK9" s="165" t="s">
        <v>135</v>
      </c>
      <c r="DL9" s="165"/>
      <c r="DM9" s="165"/>
      <c r="DN9" s="168">
        <f t="shared" si="13"/>
        <v>70.465000000000003</v>
      </c>
      <c r="DO9" s="165">
        <v>12.507</v>
      </c>
      <c r="DP9" s="165">
        <v>17.637</v>
      </c>
      <c r="DQ9" s="165">
        <v>-2.0230000000000001</v>
      </c>
      <c r="DR9" s="165">
        <v>21.006</v>
      </c>
      <c r="DS9" s="165">
        <v>5.31</v>
      </c>
      <c r="DT9" s="165">
        <v>12.021000000000001</v>
      </c>
      <c r="DU9" s="165">
        <v>0</v>
      </c>
      <c r="DV9" s="165">
        <v>0</v>
      </c>
      <c r="DW9" s="165">
        <v>0</v>
      </c>
      <c r="DX9" s="165">
        <v>4.0069999999999997</v>
      </c>
      <c r="DY9" s="165">
        <v>0</v>
      </c>
      <c r="DZ9" s="165">
        <v>0</v>
      </c>
      <c r="EA9" s="168"/>
    </row>
    <row r="10" spans="1:131" s="91" customFormat="1" ht="16.25" hidden="1" customHeight="1" x14ac:dyDescent="0.4">
      <c r="A10" s="32" t="s">
        <v>97</v>
      </c>
      <c r="B10" s="32" t="s">
        <v>29</v>
      </c>
      <c r="C10" s="32" t="s">
        <v>27</v>
      </c>
      <c r="D10" s="32" t="s">
        <v>136</v>
      </c>
      <c r="E10" s="87" t="s">
        <v>137</v>
      </c>
      <c r="F10" s="87" t="s">
        <v>114</v>
      </c>
      <c r="G10" s="32" t="s">
        <v>101</v>
      </c>
      <c r="H10" s="32" t="s">
        <v>138</v>
      </c>
      <c r="I10" s="51" t="s">
        <v>139</v>
      </c>
      <c r="J10" s="38"/>
      <c r="K10" s="36"/>
      <c r="L10" s="36"/>
      <c r="M10" s="36" t="s">
        <v>140</v>
      </c>
      <c r="N10" s="36"/>
      <c r="O10" s="33" t="s">
        <v>141</v>
      </c>
      <c r="P10" s="32" t="s">
        <v>111</v>
      </c>
      <c r="Q10" s="129">
        <f t="shared" si="0"/>
        <v>480.01400000000001</v>
      </c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88"/>
      <c r="AD10" s="39">
        <v>650</v>
      </c>
      <c r="AE10" s="39">
        <v>580</v>
      </c>
      <c r="AF10" s="37"/>
      <c r="AG10" s="37"/>
      <c r="AH10" s="158"/>
      <c r="AI10" s="160"/>
      <c r="AJ10" s="70">
        <v>151</v>
      </c>
      <c r="AK10" s="77">
        <v>1</v>
      </c>
      <c r="AL10" s="86">
        <f t="shared" si="20"/>
        <v>151</v>
      </c>
      <c r="AM10" s="162"/>
      <c r="AN10" s="39">
        <f>VLOOKUP(D10,'May FF'!B$2:E$201,2,0)</f>
        <v>448842.60000000003</v>
      </c>
      <c r="AO10" s="97">
        <f>VLOOKUP(D10,'May FF'!B7:E206,3,0)</f>
        <v>0</v>
      </c>
      <c r="AP10" s="39">
        <f>VLOOKUP($D10,'May FF'!$B$2:$E$201,4,0)</f>
        <v>0</v>
      </c>
      <c r="AQ10" s="160"/>
      <c r="AR10" s="39">
        <f>AE10-AL10</f>
        <v>429</v>
      </c>
      <c r="AS10" s="40">
        <v>0.9</v>
      </c>
      <c r="AT10" s="39">
        <f>AR10*AS10</f>
        <v>386.1</v>
      </c>
      <c r="AU10" s="48"/>
      <c r="AV10" s="49">
        <f>AU10*AS10</f>
        <v>0</v>
      </c>
      <c r="AW10" s="48"/>
      <c r="AY10" s="39">
        <f>280+140</f>
        <v>420</v>
      </c>
      <c r="AZ10" s="40">
        <v>0.9</v>
      </c>
      <c r="BA10" s="39">
        <f>AY10*AZ10</f>
        <v>378</v>
      </c>
      <c r="BB10" s="39">
        <f>BA10-AT10</f>
        <v>-8.1000000000000227</v>
      </c>
      <c r="BC10" s="50"/>
      <c r="BE10" s="39">
        <f>650-151</f>
        <v>499</v>
      </c>
      <c r="BF10" s="40">
        <v>0.9</v>
      </c>
      <c r="BG10" s="39">
        <f>BE10*BF10</f>
        <v>449.1</v>
      </c>
      <c r="BH10" s="39"/>
      <c r="BI10" s="39">
        <f t="shared" si="21"/>
        <v>71.100000000000023</v>
      </c>
      <c r="BJ10" s="39" t="s">
        <v>142</v>
      </c>
      <c r="BK10" s="50"/>
      <c r="BM10" s="39">
        <f>650-151</f>
        <v>499</v>
      </c>
      <c r="BN10" s="40">
        <v>0.9</v>
      </c>
      <c r="BO10" s="39">
        <f t="shared" si="14"/>
        <v>449.1</v>
      </c>
      <c r="BP10" s="37">
        <f>VLOOKUP(D10,'May FF'!B$3:C$38,2,0)/1000</f>
        <v>448.84260000000006</v>
      </c>
      <c r="BQ10" s="92">
        <f t="shared" si="15"/>
        <v>71.100000000000023</v>
      </c>
      <c r="BR10" s="34" t="s">
        <v>106</v>
      </c>
      <c r="BS10" s="50" t="s">
        <v>143</v>
      </c>
      <c r="BU10" s="39">
        <v>480.48599999999999</v>
      </c>
      <c r="BV10" s="40">
        <v>1</v>
      </c>
      <c r="BW10" s="118">
        <f t="shared" si="16"/>
        <v>480.48599999999999</v>
      </c>
      <c r="BX10" s="118">
        <f t="shared" si="17"/>
        <v>31.385999999999967</v>
      </c>
      <c r="BY10" s="50"/>
      <c r="CA10" s="39">
        <v>480.49099999999999</v>
      </c>
      <c r="CB10" s="40">
        <v>1</v>
      </c>
      <c r="CC10" s="118">
        <f t="shared" si="1"/>
        <v>480.49099999999999</v>
      </c>
      <c r="CD10" s="118"/>
      <c r="CE10" s="92">
        <f t="shared" si="18"/>
        <v>4.9999999999954525E-3</v>
      </c>
      <c r="CF10" s="92">
        <f t="shared" si="19"/>
        <v>31.390999999999963</v>
      </c>
      <c r="CG10" s="50"/>
      <c r="CI10" s="159">
        <v>480.49099999999999</v>
      </c>
      <c r="CJ10" s="166">
        <v>1</v>
      </c>
      <c r="CK10" s="165">
        <f t="shared" si="2"/>
        <v>480.49099999999999</v>
      </c>
      <c r="CL10" s="92">
        <f t="shared" si="3"/>
        <v>0</v>
      </c>
      <c r="CM10" s="50"/>
      <c r="CO10" s="159">
        <v>480.01400000000001</v>
      </c>
      <c r="CP10" s="166">
        <v>1</v>
      </c>
      <c r="CQ10" s="165">
        <f t="shared" si="4"/>
        <v>480.01400000000001</v>
      </c>
      <c r="CR10" s="168">
        <f t="shared" si="5"/>
        <v>-0.47699999999997544</v>
      </c>
      <c r="CU10" s="159">
        <v>480.01400000000001</v>
      </c>
      <c r="CV10" s="166">
        <v>1</v>
      </c>
      <c r="CW10" s="165">
        <f t="shared" si="6"/>
        <v>480.01400000000001</v>
      </c>
      <c r="CX10" s="159">
        <v>480.01400000000001</v>
      </c>
      <c r="CY10" s="166">
        <v>1</v>
      </c>
      <c r="CZ10" s="165">
        <f t="shared" si="7"/>
        <v>480.01400000000001</v>
      </c>
      <c r="DA10" s="168">
        <f t="shared" si="8"/>
        <v>0</v>
      </c>
      <c r="DB10" s="168">
        <f t="shared" si="9"/>
        <v>0</v>
      </c>
      <c r="DC10" s="168"/>
      <c r="DF10" s="159">
        <v>450.58100000000002</v>
      </c>
      <c r="DG10" s="166">
        <v>1</v>
      </c>
      <c r="DH10" s="165">
        <f t="shared" si="10"/>
        <v>450.58100000000002</v>
      </c>
      <c r="DI10" s="168">
        <f t="shared" si="11"/>
        <v>-29.432999999999993</v>
      </c>
      <c r="DJ10" s="168">
        <f t="shared" si="12"/>
        <v>-29.432999999999993</v>
      </c>
      <c r="DK10" s="173" t="s">
        <v>144</v>
      </c>
      <c r="DL10" s="173"/>
      <c r="DM10" s="173"/>
      <c r="DN10" s="168">
        <f t="shared" si="13"/>
        <v>450.58100000000002</v>
      </c>
      <c r="DO10" s="165">
        <v>2.3149999999999999</v>
      </c>
      <c r="DP10" s="165">
        <v>161.53399999999999</v>
      </c>
      <c r="DQ10" s="165">
        <v>18.792999999999999</v>
      </c>
      <c r="DR10" s="165">
        <v>53.173999999999999</v>
      </c>
      <c r="DS10" s="165">
        <v>24.437000000000001</v>
      </c>
      <c r="DT10" s="165">
        <v>117.202</v>
      </c>
      <c r="DU10" s="165">
        <v>0</v>
      </c>
      <c r="DV10" s="165">
        <v>0</v>
      </c>
      <c r="DW10" s="165">
        <v>73.126000000000005</v>
      </c>
      <c r="DX10" s="165">
        <v>0</v>
      </c>
      <c r="DY10" s="165">
        <v>0</v>
      </c>
      <c r="DZ10" s="165">
        <v>0</v>
      </c>
      <c r="EA10" s="168"/>
    </row>
    <row r="11" spans="1:131" s="91" customFormat="1" ht="16.25" hidden="1" customHeight="1" x14ac:dyDescent="0.4">
      <c r="A11" s="32" t="s">
        <v>97</v>
      </c>
      <c r="B11" s="32" t="s">
        <v>29</v>
      </c>
      <c r="C11" s="32" t="s">
        <v>20</v>
      </c>
      <c r="D11" s="32" t="s">
        <v>145</v>
      </c>
      <c r="E11" s="87" t="s">
        <v>146</v>
      </c>
      <c r="F11" s="87" t="s">
        <v>114</v>
      </c>
      <c r="G11" s="32" t="s">
        <v>101</v>
      </c>
      <c r="H11" s="32" t="s">
        <v>138</v>
      </c>
      <c r="I11" s="51" t="s">
        <v>147</v>
      </c>
      <c r="J11" s="33" t="s">
        <v>148</v>
      </c>
      <c r="K11" s="36"/>
      <c r="L11" s="36"/>
      <c r="M11" s="68" t="s">
        <v>149</v>
      </c>
      <c r="N11" s="36"/>
      <c r="O11" s="33" t="s">
        <v>150</v>
      </c>
      <c r="P11" s="32" t="s">
        <v>111</v>
      </c>
      <c r="Q11" s="129"/>
      <c r="R11" s="129"/>
      <c r="S11" s="129"/>
      <c r="T11" s="129">
        <f>CZ11</f>
        <v>2205.44</v>
      </c>
      <c r="U11" s="129"/>
      <c r="V11" s="129"/>
      <c r="W11" s="129"/>
      <c r="X11" s="129"/>
      <c r="Y11" s="129"/>
      <c r="Z11" s="129"/>
      <c r="AA11" s="129"/>
      <c r="AB11" s="129"/>
      <c r="AC11" s="88"/>
      <c r="AD11" s="37">
        <v>2470</v>
      </c>
      <c r="AE11" s="37">
        <v>2120</v>
      </c>
      <c r="AF11" s="37">
        <v>1900</v>
      </c>
      <c r="AG11" s="101">
        <v>0.56999999999999995</v>
      </c>
      <c r="AH11" s="158"/>
      <c r="AI11" s="160"/>
      <c r="AJ11" s="37">
        <v>297</v>
      </c>
      <c r="AK11" s="46">
        <v>1</v>
      </c>
      <c r="AL11" s="47">
        <f t="shared" si="20"/>
        <v>297</v>
      </c>
      <c r="AM11" s="162"/>
      <c r="AN11" s="39">
        <f>VLOOKUP(D11,'May FF'!B$2:E$201,2,0)</f>
        <v>1933344.9000000001</v>
      </c>
      <c r="AO11" s="97">
        <f>VLOOKUP(D11,'May FF'!B8:E207,3,0)</f>
        <v>0</v>
      </c>
      <c r="AP11" s="39">
        <f>VLOOKUP($D11,'May FF'!$B$2:$E$201,4,0)</f>
        <v>0</v>
      </c>
      <c r="AQ11" s="160"/>
      <c r="AR11" s="45">
        <f>AD11-AJ11</f>
        <v>2173</v>
      </c>
      <c r="AS11" s="46">
        <v>0.9</v>
      </c>
      <c r="AT11" s="37">
        <f>AR11*AS11</f>
        <v>1955.7</v>
      </c>
      <c r="AU11" s="48"/>
      <c r="AV11" s="49">
        <f>AU11*AS11</f>
        <v>0</v>
      </c>
      <c r="AW11" s="48" t="s">
        <v>151</v>
      </c>
      <c r="AY11" s="45">
        <v>2050</v>
      </c>
      <c r="AZ11" s="46">
        <v>0.9</v>
      </c>
      <c r="BA11" s="37">
        <f>AY11*AZ11</f>
        <v>1845</v>
      </c>
      <c r="BB11" s="39">
        <f>BA11-AT11</f>
        <v>-110.70000000000005</v>
      </c>
      <c r="BC11" s="50" t="s">
        <v>123</v>
      </c>
      <c r="BE11" s="45">
        <f>2400-297</f>
        <v>2103</v>
      </c>
      <c r="BF11" s="46">
        <v>0.9</v>
      </c>
      <c r="BG11" s="37">
        <f>BE11*BF11</f>
        <v>1892.7</v>
      </c>
      <c r="BH11" s="39"/>
      <c r="BI11" s="39">
        <f t="shared" si="21"/>
        <v>47.700000000000045</v>
      </c>
      <c r="BJ11" s="50" t="s">
        <v>152</v>
      </c>
      <c r="BK11" s="50"/>
      <c r="BM11" s="45">
        <v>2148</v>
      </c>
      <c r="BN11" s="46">
        <v>0.9</v>
      </c>
      <c r="BO11" s="37">
        <f t="shared" si="14"/>
        <v>1933.2</v>
      </c>
      <c r="BP11" s="37">
        <f>VLOOKUP(D11,'May FF'!B$3:C$38,2,0)/1000</f>
        <v>1933.3449000000001</v>
      </c>
      <c r="BQ11" s="92">
        <f t="shared" si="15"/>
        <v>88.200000000000045</v>
      </c>
      <c r="BR11" s="34" t="s">
        <v>153</v>
      </c>
      <c r="BS11" s="50" t="s">
        <v>154</v>
      </c>
      <c r="BU11" s="45">
        <f>2120-268</f>
        <v>1852</v>
      </c>
      <c r="BV11" s="46">
        <v>1</v>
      </c>
      <c r="BW11" s="118">
        <f t="shared" si="16"/>
        <v>1852</v>
      </c>
      <c r="BX11" s="118">
        <f t="shared" si="17"/>
        <v>-81.200000000000045</v>
      </c>
      <c r="BY11" s="50"/>
      <c r="CA11" s="45">
        <f>2120-268</f>
        <v>1852</v>
      </c>
      <c r="CB11" s="46">
        <v>1</v>
      </c>
      <c r="CC11" s="118">
        <f t="shared" si="1"/>
        <v>1852</v>
      </c>
      <c r="CD11" s="118"/>
      <c r="CE11" s="92">
        <f t="shared" si="18"/>
        <v>0</v>
      </c>
      <c r="CF11" s="92">
        <f t="shared" si="19"/>
        <v>-81.200000000000045</v>
      </c>
      <c r="CG11" s="50"/>
      <c r="CI11" s="160">
        <f>2470-268</f>
        <v>2202</v>
      </c>
      <c r="CJ11" s="164">
        <v>1</v>
      </c>
      <c r="CK11" s="165">
        <f t="shared" si="2"/>
        <v>2202</v>
      </c>
      <c r="CL11" s="92">
        <f t="shared" si="3"/>
        <v>350</v>
      </c>
      <c r="CM11" s="50" t="s">
        <v>155</v>
      </c>
      <c r="CO11" s="160">
        <f>2368.137-717.136+551.323</f>
        <v>2202.3240000000001</v>
      </c>
      <c r="CP11" s="164">
        <v>1</v>
      </c>
      <c r="CQ11" s="165">
        <f t="shared" si="4"/>
        <v>2202.3240000000001</v>
      </c>
      <c r="CR11" s="168">
        <f t="shared" si="5"/>
        <v>0.32400000000006912</v>
      </c>
      <c r="CS11" s="91" t="s">
        <v>156</v>
      </c>
      <c r="CU11" s="160">
        <f>2368.137-717.136+551.323</f>
        <v>2202.3240000000001</v>
      </c>
      <c r="CV11" s="164">
        <v>1</v>
      </c>
      <c r="CW11" s="165">
        <f t="shared" si="6"/>
        <v>2202.3240000000001</v>
      </c>
      <c r="CX11" s="160">
        <f>2371.253-717.136+551.323</f>
        <v>2205.44</v>
      </c>
      <c r="CY11" s="164">
        <v>1</v>
      </c>
      <c r="CZ11" s="165">
        <f t="shared" si="7"/>
        <v>2205.44</v>
      </c>
      <c r="DA11" s="168">
        <f t="shared" si="8"/>
        <v>3.1159999999999854</v>
      </c>
      <c r="DB11" s="168">
        <f t="shared" si="9"/>
        <v>3.1159999999999854</v>
      </c>
      <c r="DC11" s="168"/>
      <c r="DF11" s="160">
        <f>2400-257</f>
        <v>2143</v>
      </c>
      <c r="DG11" s="164">
        <v>1</v>
      </c>
      <c r="DH11" s="165">
        <f t="shared" si="10"/>
        <v>2143</v>
      </c>
      <c r="DI11" s="168">
        <f t="shared" si="11"/>
        <v>-62.440000000000055</v>
      </c>
      <c r="DJ11" s="168">
        <f t="shared" si="12"/>
        <v>-59.324000000000069</v>
      </c>
      <c r="DK11" s="168"/>
      <c r="DL11" s="168"/>
      <c r="DM11" s="168"/>
      <c r="DN11" s="168">
        <f t="shared" si="13"/>
        <v>2144.4029999999998</v>
      </c>
      <c r="DO11" s="165">
        <v>89.682000000000002</v>
      </c>
      <c r="DP11" s="165">
        <v>755.97299999999996</v>
      </c>
      <c r="DQ11" s="165">
        <v>-646.91200000000003</v>
      </c>
      <c r="DR11" s="165">
        <v>1033.6320000000001</v>
      </c>
      <c r="DS11" s="165">
        <v>192.10900000000001</v>
      </c>
      <c r="DT11" s="165">
        <v>225.398</v>
      </c>
      <c r="DU11" s="165">
        <v>105.181</v>
      </c>
      <c r="DV11" s="165">
        <v>0</v>
      </c>
      <c r="DW11" s="165">
        <v>50.085999999999999</v>
      </c>
      <c r="DX11" s="165">
        <v>182.31399999999999</v>
      </c>
      <c r="DY11" s="165">
        <v>102.84699999999999</v>
      </c>
      <c r="DZ11" s="165">
        <v>54.093000000000004</v>
      </c>
      <c r="EA11" s="168" t="s">
        <v>1002</v>
      </c>
    </row>
    <row r="12" spans="1:131" s="91" customFormat="1" ht="16.25" hidden="1" customHeight="1" x14ac:dyDescent="0.4">
      <c r="A12" s="32" t="s">
        <v>97</v>
      </c>
      <c r="B12" s="32" t="s">
        <v>29</v>
      </c>
      <c r="C12" s="32" t="s">
        <v>27</v>
      </c>
      <c r="D12" s="32" t="s">
        <v>157</v>
      </c>
      <c r="E12" s="87" t="s">
        <v>158</v>
      </c>
      <c r="F12" s="87" t="s">
        <v>114</v>
      </c>
      <c r="G12" s="32" t="s">
        <v>101</v>
      </c>
      <c r="H12" s="32" t="s">
        <v>138</v>
      </c>
      <c r="I12" s="51" t="s">
        <v>159</v>
      </c>
      <c r="J12" s="38" t="s">
        <v>160</v>
      </c>
      <c r="K12" s="36"/>
      <c r="L12" s="36"/>
      <c r="M12" s="36" t="s">
        <v>161</v>
      </c>
      <c r="N12" s="36"/>
      <c r="O12" s="38" t="s">
        <v>162</v>
      </c>
      <c r="P12" s="32" t="s">
        <v>111</v>
      </c>
      <c r="Q12" s="129">
        <f>2400-1400</f>
        <v>1000</v>
      </c>
      <c r="R12" s="129">
        <f>CZ12-Q12</f>
        <v>2115.7650000000003</v>
      </c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88"/>
      <c r="AD12" s="39">
        <v>4450</v>
      </c>
      <c r="AE12" s="39"/>
      <c r="AF12" s="37"/>
      <c r="AG12" s="37"/>
      <c r="AH12" s="158"/>
      <c r="AI12" s="160"/>
      <c r="AJ12" s="37">
        <v>1110</v>
      </c>
      <c r="AK12" s="46">
        <v>1</v>
      </c>
      <c r="AL12" s="47">
        <f t="shared" si="20"/>
        <v>1110</v>
      </c>
      <c r="AM12" s="162"/>
      <c r="AN12" s="39" t="e">
        <f>VLOOKUP(D12,'May FF'!B$2:E$201,2,0)</f>
        <v>#N/A</v>
      </c>
      <c r="AO12" s="97" t="e">
        <f>VLOOKUP(D12,'May FF'!B9:E208,3,0)</f>
        <v>#N/A</v>
      </c>
      <c r="AP12" s="39" t="e">
        <f>VLOOKUP($D12,'May FF'!$B$2:$E$201,4,0)</f>
        <v>#N/A</v>
      </c>
      <c r="AQ12" s="160"/>
      <c r="AR12" s="39">
        <v>4812</v>
      </c>
      <c r="AS12" s="40">
        <v>0.9</v>
      </c>
      <c r="AT12" s="39">
        <f>AR12*AS12</f>
        <v>4330.8</v>
      </c>
      <c r="AU12" s="48"/>
      <c r="AV12" s="49">
        <f>AU12*AS12</f>
        <v>0</v>
      </c>
      <c r="AW12" s="48"/>
      <c r="AY12" s="39">
        <f>4500-150</f>
        <v>4350</v>
      </c>
      <c r="AZ12" s="40">
        <v>0.9</v>
      </c>
      <c r="BA12" s="39">
        <f>AY12*AZ12</f>
        <v>3915</v>
      </c>
      <c r="BB12" s="39">
        <f>BA12-AT12</f>
        <v>-415.80000000000018</v>
      </c>
      <c r="BC12" s="59" t="s">
        <v>163</v>
      </c>
      <c r="BE12" s="39">
        <f>4500-150</f>
        <v>4350</v>
      </c>
      <c r="BF12" s="40">
        <v>0.9</v>
      </c>
      <c r="BG12" s="39">
        <f>BE12*BF12</f>
        <v>3915</v>
      </c>
      <c r="BH12" s="39"/>
      <c r="BI12" s="39">
        <f t="shared" si="21"/>
        <v>0</v>
      </c>
      <c r="BJ12" s="39"/>
      <c r="BK12" s="59" t="s">
        <v>164</v>
      </c>
      <c r="BL12" s="154"/>
      <c r="BM12" s="39">
        <f>4800-1525</f>
        <v>3275</v>
      </c>
      <c r="BN12" s="40">
        <v>0.9</v>
      </c>
      <c r="BO12" s="39">
        <f t="shared" si="14"/>
        <v>2947.5</v>
      </c>
      <c r="BP12" s="37">
        <v>2948</v>
      </c>
      <c r="BQ12" s="92">
        <f t="shared" si="15"/>
        <v>-967.5</v>
      </c>
      <c r="BR12" s="34" t="s">
        <v>121</v>
      </c>
      <c r="BS12" s="50"/>
      <c r="BU12" s="39">
        <v>3220</v>
      </c>
      <c r="BV12" s="40">
        <v>0.9</v>
      </c>
      <c r="BW12" s="118">
        <f t="shared" si="16"/>
        <v>2898</v>
      </c>
      <c r="BX12" s="118">
        <f t="shared" si="17"/>
        <v>-49.5</v>
      </c>
      <c r="BY12" s="50"/>
      <c r="CA12" s="39">
        <v>2899</v>
      </c>
      <c r="CB12" s="40">
        <v>1</v>
      </c>
      <c r="CC12" s="118">
        <f t="shared" si="1"/>
        <v>2899</v>
      </c>
      <c r="CD12" s="118"/>
      <c r="CE12" s="92">
        <f t="shared" si="18"/>
        <v>1</v>
      </c>
      <c r="CF12" s="92">
        <f t="shared" si="19"/>
        <v>-48.5</v>
      </c>
      <c r="CG12" s="50"/>
      <c r="CI12" s="159">
        <v>3100</v>
      </c>
      <c r="CJ12" s="166">
        <v>1</v>
      </c>
      <c r="CK12" s="165">
        <f t="shared" si="2"/>
        <v>3100</v>
      </c>
      <c r="CL12" s="92">
        <f t="shared" si="3"/>
        <v>201</v>
      </c>
      <c r="CM12" s="50" t="s">
        <v>165</v>
      </c>
      <c r="CO12" s="159">
        <f>3786.639-827.739+159.51</f>
        <v>3118.41</v>
      </c>
      <c r="CP12" s="166">
        <v>1</v>
      </c>
      <c r="CQ12" s="165">
        <f t="shared" si="4"/>
        <v>3118.41</v>
      </c>
      <c r="CR12" s="168">
        <f t="shared" si="5"/>
        <v>18.409999999999854</v>
      </c>
      <c r="CU12" s="159">
        <f>3786.639-827.739+159.51</f>
        <v>3118.41</v>
      </c>
      <c r="CV12" s="166">
        <v>1</v>
      </c>
      <c r="CW12" s="165">
        <f t="shared" si="6"/>
        <v>3118.41</v>
      </c>
      <c r="CX12" s="159">
        <f>3783.994-827.739+159.51</f>
        <v>3115.7650000000003</v>
      </c>
      <c r="CY12" s="166">
        <v>1</v>
      </c>
      <c r="CZ12" s="165">
        <f t="shared" si="7"/>
        <v>3115.7650000000003</v>
      </c>
      <c r="DA12" s="168">
        <f t="shared" si="8"/>
        <v>-2.6449999999995271</v>
      </c>
      <c r="DB12" s="168">
        <f t="shared" si="9"/>
        <v>-2.6449999999995271</v>
      </c>
      <c r="DC12" s="168"/>
      <c r="DF12" s="159">
        <f>3783.994-827.739+159.51</f>
        <v>3115.7650000000003</v>
      </c>
      <c r="DG12" s="166">
        <v>1</v>
      </c>
      <c r="DH12" s="165">
        <f t="shared" si="10"/>
        <v>3115.7650000000003</v>
      </c>
      <c r="DI12" s="168">
        <f t="shared" si="11"/>
        <v>0</v>
      </c>
      <c r="DJ12" s="168">
        <f t="shared" si="12"/>
        <v>-2.6449999999995271</v>
      </c>
      <c r="DK12" s="165" t="s">
        <v>166</v>
      </c>
      <c r="DL12" s="165"/>
      <c r="DM12" s="165"/>
      <c r="DN12" s="168">
        <f t="shared" si="13"/>
        <v>3117.4940000000001</v>
      </c>
      <c r="DO12" s="165">
        <v>176.97399999999999</v>
      </c>
      <c r="DP12" s="165">
        <v>-813.96799999999996</v>
      </c>
      <c r="DQ12" s="165">
        <v>1287.7270000000001</v>
      </c>
      <c r="DR12" s="165">
        <v>321.49900000000002</v>
      </c>
      <c r="DS12" s="165">
        <v>294.06900000000002</v>
      </c>
      <c r="DT12" s="165">
        <v>830.43200000000002</v>
      </c>
      <c r="DU12" s="165">
        <v>0</v>
      </c>
      <c r="DV12" s="165">
        <v>0</v>
      </c>
      <c r="DW12" s="165">
        <v>349.60300000000001</v>
      </c>
      <c r="DX12" s="165">
        <v>0</v>
      </c>
      <c r="DY12" s="165">
        <v>671.15800000000002</v>
      </c>
      <c r="DZ12" s="165">
        <v>0</v>
      </c>
      <c r="EA12" s="168"/>
    </row>
    <row r="13" spans="1:131" s="91" customFormat="1" ht="16.25" hidden="1" customHeight="1" x14ac:dyDescent="0.4">
      <c r="A13" s="32" t="s">
        <v>97</v>
      </c>
      <c r="B13" s="32" t="s">
        <v>29</v>
      </c>
      <c r="C13" s="32" t="s">
        <v>172</v>
      </c>
      <c r="D13" s="16" t="s">
        <v>173</v>
      </c>
      <c r="E13" s="87" t="s">
        <v>174</v>
      </c>
      <c r="F13" s="87" t="s">
        <v>175</v>
      </c>
      <c r="G13" s="32" t="s">
        <v>101</v>
      </c>
      <c r="H13" s="32" t="s">
        <v>138</v>
      </c>
      <c r="I13" s="51"/>
      <c r="J13" s="33"/>
      <c r="K13" s="36"/>
      <c r="L13" s="36"/>
      <c r="M13" s="36" t="s">
        <v>176</v>
      </c>
      <c r="N13" s="36"/>
      <c r="O13" s="33"/>
      <c r="P13" s="32" t="s">
        <v>111</v>
      </c>
      <c r="Q13" s="129">
        <f>CZ13</f>
        <v>1154</v>
      </c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32"/>
      <c r="AD13" s="37">
        <v>1480</v>
      </c>
      <c r="AE13" s="37">
        <v>1290</v>
      </c>
      <c r="AF13" s="39"/>
      <c r="AG13" s="39"/>
      <c r="AH13" s="87"/>
      <c r="AI13" s="161"/>
      <c r="AJ13" s="37">
        <v>300</v>
      </c>
      <c r="AK13" s="46">
        <v>0.9</v>
      </c>
      <c r="AL13" s="47">
        <f t="shared" si="20"/>
        <v>270</v>
      </c>
      <c r="AM13" s="162"/>
      <c r="AN13" s="39" t="e">
        <f>VLOOKUP(D13,'May FF'!B$2:E$201,2,0)</f>
        <v>#N/A</v>
      </c>
      <c r="AO13" s="97" t="e">
        <f>VLOOKUP(D13,'May FF'!B14:E213,3,0)</f>
        <v>#N/A</v>
      </c>
      <c r="AP13" s="39" t="e">
        <f>VLOOKUP($D13,'May FF'!$B$2:$E$201,4,0)</f>
        <v>#N/A</v>
      </c>
      <c r="AQ13" s="159"/>
      <c r="AR13" s="45"/>
      <c r="AS13" s="46"/>
      <c r="AT13" s="37"/>
      <c r="AU13" s="48"/>
      <c r="AV13" s="49"/>
      <c r="AW13" s="48"/>
      <c r="AY13" s="45"/>
      <c r="AZ13" s="46"/>
      <c r="BA13" s="37"/>
      <c r="BB13" s="39"/>
      <c r="BC13" s="50"/>
      <c r="BE13" s="45">
        <v>900</v>
      </c>
      <c r="BF13" s="46">
        <v>0.9</v>
      </c>
      <c r="BG13" s="37">
        <f>BE13*BF13</f>
        <v>810</v>
      </c>
      <c r="BH13" s="37"/>
      <c r="BI13" s="39">
        <f t="shared" si="21"/>
        <v>810</v>
      </c>
      <c r="BJ13" s="50" t="s">
        <v>177</v>
      </c>
      <c r="BK13" s="50"/>
      <c r="BM13" s="45">
        <v>590</v>
      </c>
      <c r="BN13" s="46">
        <v>0.9</v>
      </c>
      <c r="BO13" s="37">
        <f t="shared" si="14"/>
        <v>531</v>
      </c>
      <c r="BP13" s="37" t="e">
        <f>VLOOKUP(D13,'May FF'!B$3:C$38,2,0)/1000</f>
        <v>#N/A</v>
      </c>
      <c r="BQ13" s="92">
        <f t="shared" si="15"/>
        <v>531</v>
      </c>
      <c r="BR13" s="34" t="s">
        <v>178</v>
      </c>
      <c r="BS13" s="50" t="s">
        <v>179</v>
      </c>
      <c r="BU13" s="45">
        <f>1290-136</f>
        <v>1154</v>
      </c>
      <c r="BV13" s="46">
        <v>1</v>
      </c>
      <c r="BW13" s="118">
        <f t="shared" si="16"/>
        <v>1154</v>
      </c>
      <c r="BX13" s="118">
        <f t="shared" si="17"/>
        <v>623</v>
      </c>
      <c r="BY13" s="50"/>
      <c r="CA13" s="45">
        <f>1290-136</f>
        <v>1154</v>
      </c>
      <c r="CB13" s="46">
        <v>1</v>
      </c>
      <c r="CC13" s="118">
        <f t="shared" si="1"/>
        <v>1154</v>
      </c>
      <c r="CD13" s="118"/>
      <c r="CE13" s="92">
        <f t="shared" si="18"/>
        <v>0</v>
      </c>
      <c r="CF13" s="92">
        <f t="shared" si="19"/>
        <v>623</v>
      </c>
      <c r="CG13" s="50"/>
      <c r="CI13" s="160">
        <f>1290-136</f>
        <v>1154</v>
      </c>
      <c r="CJ13" s="164">
        <v>1</v>
      </c>
      <c r="CK13" s="165">
        <f t="shared" si="2"/>
        <v>1154</v>
      </c>
      <c r="CL13" s="92">
        <f t="shared" si="3"/>
        <v>0</v>
      </c>
      <c r="CM13" s="50"/>
      <c r="CO13" s="160">
        <f>1290-136</f>
        <v>1154</v>
      </c>
      <c r="CP13" s="164">
        <v>1</v>
      </c>
      <c r="CQ13" s="165">
        <f t="shared" si="4"/>
        <v>1154</v>
      </c>
      <c r="CR13" s="168">
        <f t="shared" si="5"/>
        <v>0</v>
      </c>
      <c r="CU13" s="160">
        <f>1290-136</f>
        <v>1154</v>
      </c>
      <c r="CV13" s="164">
        <v>1</v>
      </c>
      <c r="CW13" s="165">
        <f t="shared" si="6"/>
        <v>1154</v>
      </c>
      <c r="CX13" s="160">
        <f>1290-136</f>
        <v>1154</v>
      </c>
      <c r="CY13" s="164">
        <v>1</v>
      </c>
      <c r="CZ13" s="165">
        <f t="shared" si="7"/>
        <v>1154</v>
      </c>
      <c r="DA13" s="168">
        <f t="shared" si="8"/>
        <v>0</v>
      </c>
      <c r="DB13" s="168">
        <f t="shared" si="9"/>
        <v>0</v>
      </c>
      <c r="DC13" s="168"/>
      <c r="DF13" s="160">
        <v>1054</v>
      </c>
      <c r="DG13" s="164">
        <v>1</v>
      </c>
      <c r="DH13" s="165">
        <f t="shared" si="10"/>
        <v>1054</v>
      </c>
      <c r="DI13" s="168">
        <f t="shared" si="11"/>
        <v>-100</v>
      </c>
      <c r="DJ13" s="168">
        <f t="shared" si="12"/>
        <v>-100</v>
      </c>
      <c r="DK13" s="168"/>
      <c r="DL13" s="168"/>
      <c r="DM13" s="168"/>
      <c r="DN13" s="168">
        <f t="shared" si="13"/>
        <v>1053.9949999999999</v>
      </c>
      <c r="DO13" s="165">
        <v>84.762</v>
      </c>
      <c r="DP13" s="165">
        <v>152.48599999999999</v>
      </c>
      <c r="DQ13" s="165">
        <v>17.692</v>
      </c>
      <c r="DR13" s="165">
        <v>25.058</v>
      </c>
      <c r="DS13" s="165">
        <v>280.99700000000001</v>
      </c>
      <c r="DT13" s="165">
        <v>230</v>
      </c>
      <c r="DU13" s="165">
        <v>100</v>
      </c>
      <c r="DV13" s="165">
        <v>152</v>
      </c>
      <c r="DW13" s="165">
        <v>0</v>
      </c>
      <c r="DX13" s="165">
        <v>11</v>
      </c>
      <c r="DY13" s="165">
        <v>0</v>
      </c>
      <c r="DZ13" s="165">
        <v>0</v>
      </c>
      <c r="EA13" s="168"/>
    </row>
    <row r="14" spans="1:131" s="91" customFormat="1" ht="16.25" hidden="1" customHeight="1" x14ac:dyDescent="0.4">
      <c r="A14" s="32" t="s">
        <v>97</v>
      </c>
      <c r="B14" s="32" t="s">
        <v>29</v>
      </c>
      <c r="C14" s="32" t="s">
        <v>27</v>
      </c>
      <c r="D14" s="32" t="s">
        <v>180</v>
      </c>
      <c r="E14" s="87" t="s">
        <v>181</v>
      </c>
      <c r="F14" s="87" t="s">
        <v>100</v>
      </c>
      <c r="G14" s="32" t="s">
        <v>101</v>
      </c>
      <c r="H14" s="32" t="s">
        <v>182</v>
      </c>
      <c r="I14" s="51"/>
      <c r="J14" s="38" t="s">
        <v>183</v>
      </c>
      <c r="K14" s="36"/>
      <c r="L14" s="36"/>
      <c r="M14" s="36" t="s">
        <v>184</v>
      </c>
      <c r="N14" s="36"/>
      <c r="O14" s="38" t="s">
        <v>185</v>
      </c>
      <c r="P14" s="32" t="s">
        <v>170</v>
      </c>
      <c r="Q14" s="129"/>
      <c r="R14" s="129"/>
      <c r="S14" s="129">
        <v>100</v>
      </c>
      <c r="T14" s="129"/>
      <c r="U14" s="129"/>
      <c r="V14" s="129">
        <f>CZ14-S14</f>
        <v>899.9</v>
      </c>
      <c r="W14" s="129"/>
      <c r="X14" s="129"/>
      <c r="Y14" s="129"/>
      <c r="Z14" s="129"/>
      <c r="AA14" s="129"/>
      <c r="AB14" s="129"/>
      <c r="AC14" s="32"/>
      <c r="AD14" s="39">
        <v>2200</v>
      </c>
      <c r="AE14" s="39">
        <v>2000</v>
      </c>
      <c r="AF14" s="37"/>
      <c r="AG14" s="37"/>
      <c r="AH14" s="158"/>
      <c r="AI14" s="160"/>
      <c r="AJ14" s="37">
        <v>0</v>
      </c>
      <c r="AK14" s="46">
        <v>0</v>
      </c>
      <c r="AL14" s="47">
        <f t="shared" si="20"/>
        <v>0</v>
      </c>
      <c r="AM14" s="162"/>
      <c r="AN14" s="39">
        <v>0</v>
      </c>
      <c r="AO14" s="97">
        <v>0</v>
      </c>
      <c r="AP14" s="39">
        <v>0</v>
      </c>
      <c r="AQ14" s="160"/>
      <c r="AR14" s="39">
        <v>1275</v>
      </c>
      <c r="AS14" s="40">
        <v>0.5</v>
      </c>
      <c r="AT14" s="39">
        <v>637.5</v>
      </c>
      <c r="AU14" s="48"/>
      <c r="AV14" s="49">
        <f>AU14*AS14</f>
        <v>0</v>
      </c>
      <c r="AW14" s="48"/>
      <c r="AY14" s="39">
        <v>1275</v>
      </c>
      <c r="AZ14" s="40">
        <v>0.5</v>
      </c>
      <c r="BA14" s="39">
        <v>637.5</v>
      </c>
      <c r="BB14" s="39">
        <f>BA14-AT14</f>
        <v>0</v>
      </c>
      <c r="BC14" s="50"/>
      <c r="BE14" s="39">
        <v>1275</v>
      </c>
      <c r="BF14" s="40">
        <v>0.5</v>
      </c>
      <c r="BG14" s="39">
        <v>637.5</v>
      </c>
      <c r="BH14" s="39"/>
      <c r="BI14" s="39">
        <f t="shared" si="21"/>
        <v>0</v>
      </c>
      <c r="BJ14" s="39"/>
      <c r="BK14" s="50"/>
      <c r="BM14" s="39">
        <v>2000</v>
      </c>
      <c r="BN14" s="40">
        <v>0.5</v>
      </c>
      <c r="BO14" s="39">
        <f t="shared" si="14"/>
        <v>1000</v>
      </c>
      <c r="BP14" s="109">
        <v>1000</v>
      </c>
      <c r="BQ14" s="92">
        <f t="shared" si="15"/>
        <v>362.5</v>
      </c>
      <c r="BR14" s="34" t="s">
        <v>153</v>
      </c>
      <c r="BS14" s="50" t="s">
        <v>186</v>
      </c>
      <c r="BU14" s="39">
        <v>2000</v>
      </c>
      <c r="BV14" s="40">
        <v>0.5</v>
      </c>
      <c r="BW14" s="118">
        <f t="shared" si="16"/>
        <v>1000</v>
      </c>
      <c r="BX14" s="118">
        <f t="shared" si="17"/>
        <v>0</v>
      </c>
      <c r="BY14" s="50"/>
      <c r="CA14" s="39">
        <v>2000</v>
      </c>
      <c r="CB14" s="40">
        <v>0.5</v>
      </c>
      <c r="CC14" s="118">
        <f t="shared" si="1"/>
        <v>1000</v>
      </c>
      <c r="CD14" s="118"/>
      <c r="CE14" s="92">
        <f t="shared" si="18"/>
        <v>0</v>
      </c>
      <c r="CF14" s="92">
        <f t="shared" si="19"/>
        <v>0</v>
      </c>
      <c r="CG14" s="50"/>
      <c r="CI14" s="159">
        <v>1111</v>
      </c>
      <c r="CJ14" s="166">
        <v>0.9</v>
      </c>
      <c r="CK14" s="165">
        <f t="shared" si="2"/>
        <v>999.9</v>
      </c>
      <c r="CL14" s="92">
        <f t="shared" si="3"/>
        <v>-0.10000000000002274</v>
      </c>
      <c r="CM14" s="50"/>
      <c r="CO14" s="159">
        <v>1111</v>
      </c>
      <c r="CP14" s="166">
        <v>0.9</v>
      </c>
      <c r="CQ14" s="165">
        <f t="shared" si="4"/>
        <v>999.9</v>
      </c>
      <c r="CR14" s="168">
        <f t="shared" si="5"/>
        <v>0</v>
      </c>
      <c r="CU14" s="159">
        <v>1111</v>
      </c>
      <c r="CV14" s="166">
        <v>0.9</v>
      </c>
      <c r="CW14" s="165">
        <f t="shared" si="6"/>
        <v>999.9</v>
      </c>
      <c r="CX14" s="159">
        <v>1111</v>
      </c>
      <c r="CY14" s="166">
        <v>0.9</v>
      </c>
      <c r="CZ14" s="165">
        <f t="shared" si="7"/>
        <v>999.9</v>
      </c>
      <c r="DA14" s="168">
        <f t="shared" si="8"/>
        <v>0</v>
      </c>
      <c r="DB14" s="168">
        <f t="shared" si="9"/>
        <v>0</v>
      </c>
      <c r="DC14" s="168"/>
      <c r="DF14" s="159">
        <v>1010</v>
      </c>
      <c r="DG14" s="166">
        <v>0.9</v>
      </c>
      <c r="DH14" s="165">
        <f t="shared" si="10"/>
        <v>909</v>
      </c>
      <c r="DI14" s="168">
        <f t="shared" si="11"/>
        <v>-90.899999999999977</v>
      </c>
      <c r="DJ14" s="168">
        <f t="shared" si="12"/>
        <v>-90.899999999999977</v>
      </c>
      <c r="DK14" s="165"/>
      <c r="DL14" s="165"/>
      <c r="DM14" s="165"/>
      <c r="DN14" s="168">
        <f t="shared" si="13"/>
        <v>908.31600000000003</v>
      </c>
      <c r="DO14" s="173">
        <v>0</v>
      </c>
      <c r="DP14" s="173">
        <v>0</v>
      </c>
      <c r="DQ14" s="173">
        <v>0</v>
      </c>
      <c r="DR14" s="173">
        <v>0</v>
      </c>
      <c r="DS14" s="173">
        <v>26.315999999999999</v>
      </c>
      <c r="DT14" s="173">
        <v>0</v>
      </c>
      <c r="DU14" s="173">
        <v>0</v>
      </c>
      <c r="DV14" s="173">
        <v>0</v>
      </c>
      <c r="DW14" s="173">
        <v>760</v>
      </c>
      <c r="DX14" s="173">
        <v>102</v>
      </c>
      <c r="DY14" s="173">
        <v>0</v>
      </c>
      <c r="DZ14" s="173">
        <v>20</v>
      </c>
      <c r="EA14" s="168"/>
    </row>
    <row r="15" spans="1:131" s="91" customFormat="1" ht="16.25" hidden="1" customHeight="1" x14ac:dyDescent="0.4">
      <c r="A15" s="32" t="s">
        <v>97</v>
      </c>
      <c r="B15" s="32" t="s">
        <v>29</v>
      </c>
      <c r="C15" s="32" t="s">
        <v>172</v>
      </c>
      <c r="D15" s="16" t="s">
        <v>187</v>
      </c>
      <c r="E15" s="87" t="s">
        <v>188</v>
      </c>
      <c r="F15" s="87" t="s">
        <v>175</v>
      </c>
      <c r="G15" s="32" t="s">
        <v>101</v>
      </c>
      <c r="H15" s="32" t="s">
        <v>102</v>
      </c>
      <c r="I15" s="51" t="s">
        <v>103</v>
      </c>
      <c r="J15" s="38"/>
      <c r="K15" s="36"/>
      <c r="L15" s="36"/>
      <c r="M15" s="36"/>
      <c r="N15" s="36"/>
      <c r="O15" s="38" t="s">
        <v>103</v>
      </c>
      <c r="P15" s="32" t="s">
        <v>189</v>
      </c>
      <c r="Q15" s="129">
        <f>CZ15</f>
        <v>91</v>
      </c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88"/>
      <c r="AD15" s="39"/>
      <c r="AE15" s="39"/>
      <c r="AF15" s="37"/>
      <c r="AG15" s="37"/>
      <c r="AH15" s="158"/>
      <c r="AI15" s="160"/>
      <c r="AJ15" s="37"/>
      <c r="AK15" s="46"/>
      <c r="AL15" s="47"/>
      <c r="AM15" s="162"/>
      <c r="AN15" s="39"/>
      <c r="AO15" s="97"/>
      <c r="AP15" s="39"/>
      <c r="AQ15" s="160"/>
      <c r="AR15" s="39"/>
      <c r="AS15" s="40"/>
      <c r="AT15" s="39"/>
      <c r="AU15" s="48"/>
      <c r="AV15" s="49"/>
      <c r="AW15" s="48"/>
      <c r="AY15" s="39"/>
      <c r="AZ15" s="40"/>
      <c r="BA15" s="39"/>
      <c r="BB15" s="39"/>
      <c r="BC15" s="59"/>
      <c r="BE15" s="39"/>
      <c r="BF15" s="40"/>
      <c r="BG15" s="39"/>
      <c r="BH15" s="39"/>
      <c r="BI15" s="39"/>
      <c r="BJ15" s="39"/>
      <c r="BK15" s="59"/>
      <c r="BL15" s="154"/>
      <c r="BM15" s="39">
        <v>211.7</v>
      </c>
      <c r="BN15" s="40">
        <v>1</v>
      </c>
      <c r="BO15" s="39">
        <f t="shared" si="14"/>
        <v>211.7</v>
      </c>
      <c r="BP15" s="37">
        <v>212</v>
      </c>
      <c r="BQ15" s="92">
        <f t="shared" si="15"/>
        <v>211.7</v>
      </c>
      <c r="BR15" s="34" t="s">
        <v>178</v>
      </c>
      <c r="BS15" s="50" t="s">
        <v>179</v>
      </c>
      <c r="BU15" s="39">
        <v>104</v>
      </c>
      <c r="BV15" s="40">
        <v>1</v>
      </c>
      <c r="BW15" s="118">
        <f t="shared" si="16"/>
        <v>104</v>
      </c>
      <c r="BX15" s="118">
        <f t="shared" si="17"/>
        <v>-107.69999999999999</v>
      </c>
      <c r="BY15" s="50"/>
      <c r="CA15" s="39">
        <v>104</v>
      </c>
      <c r="CB15" s="40">
        <v>1</v>
      </c>
      <c r="CC15" s="118">
        <f t="shared" si="1"/>
        <v>104</v>
      </c>
      <c r="CD15" s="118"/>
      <c r="CE15" s="92">
        <f t="shared" si="18"/>
        <v>0</v>
      </c>
      <c r="CF15" s="92">
        <f t="shared" si="19"/>
        <v>-107.69999999999999</v>
      </c>
      <c r="CG15" s="50"/>
      <c r="CI15" s="159">
        <v>104</v>
      </c>
      <c r="CJ15" s="166">
        <v>1</v>
      </c>
      <c r="CK15" s="165">
        <f t="shared" si="2"/>
        <v>104</v>
      </c>
      <c r="CL15" s="92">
        <f t="shared" si="3"/>
        <v>0</v>
      </c>
      <c r="CM15" s="50"/>
      <c r="CO15" s="159">
        <v>103.035</v>
      </c>
      <c r="CP15" s="166">
        <v>1</v>
      </c>
      <c r="CQ15" s="165">
        <f t="shared" si="4"/>
        <v>103.035</v>
      </c>
      <c r="CR15" s="168">
        <f t="shared" si="5"/>
        <v>-0.96500000000000341</v>
      </c>
      <c r="CU15" s="159">
        <v>103.035</v>
      </c>
      <c r="CV15" s="166">
        <v>1</v>
      </c>
      <c r="CW15" s="165">
        <f t="shared" si="6"/>
        <v>103.035</v>
      </c>
      <c r="CX15" s="159">
        <v>103.035</v>
      </c>
      <c r="CY15" s="166">
        <v>1</v>
      </c>
      <c r="CZ15" s="165">
        <v>91</v>
      </c>
      <c r="DA15" s="168">
        <f t="shared" si="8"/>
        <v>-12.034999999999997</v>
      </c>
      <c r="DB15" s="168">
        <f t="shared" si="9"/>
        <v>-12.034999999999997</v>
      </c>
      <c r="DC15" s="168"/>
      <c r="DF15" s="159">
        <v>89</v>
      </c>
      <c r="DG15" s="166">
        <v>1</v>
      </c>
      <c r="DH15" s="165">
        <f t="shared" si="10"/>
        <v>89</v>
      </c>
      <c r="DI15" s="168">
        <f t="shared" si="11"/>
        <v>-2</v>
      </c>
      <c r="DJ15" s="168">
        <f t="shared" si="12"/>
        <v>-14.034999999999997</v>
      </c>
      <c r="DK15" s="168"/>
      <c r="DL15" s="168"/>
      <c r="DM15" s="168"/>
      <c r="DN15" s="168">
        <f t="shared" si="13"/>
        <v>87.77800000000002</v>
      </c>
      <c r="DO15" s="165">
        <v>5.9610000000000003</v>
      </c>
      <c r="DP15" s="165">
        <v>22.684000000000001</v>
      </c>
      <c r="DQ15" s="165">
        <v>18.425999999999998</v>
      </c>
      <c r="DR15" s="165">
        <v>7.5869999999999997</v>
      </c>
      <c r="DS15" s="165">
        <v>4.194</v>
      </c>
      <c r="DT15" s="165">
        <v>8.9770000000000003</v>
      </c>
      <c r="DU15" s="165">
        <v>1.9950000000000001</v>
      </c>
      <c r="DV15" s="165">
        <v>17.954000000000001</v>
      </c>
      <c r="DW15" s="165">
        <v>0</v>
      </c>
      <c r="DX15" s="165">
        <v>0</v>
      </c>
      <c r="DY15" s="165">
        <v>0</v>
      </c>
      <c r="DZ15" s="165">
        <v>0</v>
      </c>
      <c r="EA15" s="168"/>
    </row>
    <row r="16" spans="1:131" s="91" customFormat="1" ht="16.25" hidden="1" customHeight="1" x14ac:dyDescent="0.4">
      <c r="A16" s="32" t="s">
        <v>97</v>
      </c>
      <c r="B16" s="32" t="s">
        <v>29</v>
      </c>
      <c r="C16" s="32" t="s">
        <v>20</v>
      </c>
      <c r="D16" s="16" t="s">
        <v>190</v>
      </c>
      <c r="E16" s="87" t="s">
        <v>1003</v>
      </c>
      <c r="F16" s="87" t="s">
        <v>110</v>
      </c>
      <c r="G16" s="32" t="s">
        <v>101</v>
      </c>
      <c r="H16" s="32" t="s">
        <v>102</v>
      </c>
      <c r="I16" s="51" t="s">
        <v>103</v>
      </c>
      <c r="J16" s="33" t="s">
        <v>194</v>
      </c>
      <c r="K16" s="36"/>
      <c r="L16" s="36"/>
      <c r="M16" s="68" t="s">
        <v>203</v>
      </c>
      <c r="N16" s="36"/>
      <c r="O16" s="33" t="s">
        <v>103</v>
      </c>
      <c r="P16" s="32" t="s">
        <v>189</v>
      </c>
      <c r="Q16" s="129">
        <f>CZ16</f>
        <v>590.84099999999989</v>
      </c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88"/>
      <c r="AD16" s="37"/>
      <c r="AE16" s="37"/>
      <c r="AF16" s="37"/>
      <c r="AG16" s="37"/>
      <c r="AH16" s="158"/>
      <c r="AI16" s="160"/>
      <c r="AJ16" s="37">
        <v>99</v>
      </c>
      <c r="AK16" s="46">
        <v>1</v>
      </c>
      <c r="AL16" s="47">
        <f>AJ16*AK16</f>
        <v>99</v>
      </c>
      <c r="AM16" s="162"/>
      <c r="AN16" s="39">
        <f>VLOOKUP(D16,'May FF'!B$2:E$201,2,0)</f>
        <v>646556</v>
      </c>
      <c r="AO16" s="97">
        <f>VLOOKUP(D16,'May FF'!B10:E209,3,0)</f>
        <v>0</v>
      </c>
      <c r="AP16" s="39">
        <f>VLOOKUP($D16,'May FF'!$B$2:$E$201,4,0)</f>
        <v>0</v>
      </c>
      <c r="AQ16" s="160"/>
      <c r="AR16" s="45">
        <v>400</v>
      </c>
      <c r="AS16" s="46">
        <v>0.9</v>
      </c>
      <c r="AT16" s="37">
        <f>AR16*AS16</f>
        <v>360</v>
      </c>
      <c r="AU16" s="48"/>
      <c r="AV16" s="49">
        <f>AU16*AS16</f>
        <v>0</v>
      </c>
      <c r="AW16" s="48" t="s">
        <v>204</v>
      </c>
      <c r="AY16" s="45">
        <v>400</v>
      </c>
      <c r="AZ16" s="46">
        <v>0.9</v>
      </c>
      <c r="BA16" s="37">
        <f>AY16*AZ16</f>
        <v>360</v>
      </c>
      <c r="BB16" s="39">
        <f>BA16-AT16</f>
        <v>0</v>
      </c>
      <c r="BC16" s="50" t="s">
        <v>205</v>
      </c>
      <c r="BE16" s="45">
        <f>92+88+99</f>
        <v>279</v>
      </c>
      <c r="BF16" s="46">
        <v>1</v>
      </c>
      <c r="BG16" s="37">
        <f t="shared" ref="BG16:BG22" si="22">BE16*BF16</f>
        <v>279</v>
      </c>
      <c r="BH16" s="39"/>
      <c r="BI16" s="39">
        <f>BG16-BA16</f>
        <v>-81</v>
      </c>
      <c r="BJ16" s="39"/>
      <c r="BK16" s="59" t="s">
        <v>206</v>
      </c>
      <c r="BM16" s="45">
        <v>647</v>
      </c>
      <c r="BN16" s="46">
        <v>1</v>
      </c>
      <c r="BO16" s="37">
        <f t="shared" si="14"/>
        <v>647</v>
      </c>
      <c r="BP16" s="37">
        <f>VLOOKUP(D16,'May FF'!B$3:C$38,2,0)/1000</f>
        <v>646.55600000000004</v>
      </c>
      <c r="BQ16" s="92">
        <f t="shared" si="15"/>
        <v>287</v>
      </c>
      <c r="BR16" s="34" t="s">
        <v>121</v>
      </c>
      <c r="BS16" s="50"/>
      <c r="BU16" s="45">
        <v>592.22799999999995</v>
      </c>
      <c r="BV16" s="46">
        <v>1</v>
      </c>
      <c r="BW16" s="118">
        <f t="shared" si="16"/>
        <v>592.22799999999995</v>
      </c>
      <c r="BX16" s="118">
        <f t="shared" si="17"/>
        <v>-54.772000000000048</v>
      </c>
      <c r="BY16" s="50"/>
      <c r="CA16" s="45">
        <f>693.492-127.431+25.486</f>
        <v>591.54699999999991</v>
      </c>
      <c r="CB16" s="46">
        <v>1</v>
      </c>
      <c r="CC16" s="118">
        <f t="shared" si="1"/>
        <v>591.54699999999991</v>
      </c>
      <c r="CD16" s="118"/>
      <c r="CE16" s="92">
        <f t="shared" si="18"/>
        <v>-0.68100000000004002</v>
      </c>
      <c r="CF16" s="92">
        <f t="shared" si="19"/>
        <v>-55.453000000000088</v>
      </c>
      <c r="CG16" s="50"/>
      <c r="CI16" s="160">
        <f>693.492-127.431+25.486</f>
        <v>591.54699999999991</v>
      </c>
      <c r="CJ16" s="164">
        <v>1</v>
      </c>
      <c r="CK16" s="165">
        <f t="shared" si="2"/>
        <v>591.54699999999991</v>
      </c>
      <c r="CL16" s="92">
        <f t="shared" si="3"/>
        <v>0</v>
      </c>
      <c r="CM16" s="148">
        <f>301+173+43+75</f>
        <v>592</v>
      </c>
      <c r="CO16" s="160">
        <f>695.065-127.431+25.486</f>
        <v>593.12</v>
      </c>
      <c r="CP16" s="164">
        <v>1</v>
      </c>
      <c r="CQ16" s="165">
        <f t="shared" si="4"/>
        <v>593.12</v>
      </c>
      <c r="CR16" s="168">
        <f t="shared" si="5"/>
        <v>1.5730000000000928</v>
      </c>
      <c r="CU16" s="160">
        <f>695.065-127.431+25.486</f>
        <v>593.12</v>
      </c>
      <c r="CV16" s="164">
        <v>1</v>
      </c>
      <c r="CW16" s="165">
        <f t="shared" si="6"/>
        <v>593.12</v>
      </c>
      <c r="CX16" s="160">
        <f>692.786-127.431+25.486</f>
        <v>590.84099999999989</v>
      </c>
      <c r="CY16" s="164">
        <v>1</v>
      </c>
      <c r="CZ16" s="165">
        <f t="shared" ref="CZ16:CZ47" si="23">CX16*CY16</f>
        <v>590.84099999999989</v>
      </c>
      <c r="DA16" s="168">
        <f t="shared" si="8"/>
        <v>-2.27900000000011</v>
      </c>
      <c r="DB16" s="168">
        <f t="shared" si="9"/>
        <v>-2.27900000000011</v>
      </c>
      <c r="DC16" s="168"/>
      <c r="DF16" s="160">
        <v>532</v>
      </c>
      <c r="DG16" s="164">
        <v>1</v>
      </c>
      <c r="DH16" s="165">
        <f t="shared" si="10"/>
        <v>532</v>
      </c>
      <c r="DI16" s="168">
        <f t="shared" si="11"/>
        <v>-58.840999999999894</v>
      </c>
      <c r="DJ16" s="168">
        <f t="shared" si="12"/>
        <v>-61.120000000000005</v>
      </c>
      <c r="DK16" s="165" t="s">
        <v>207</v>
      </c>
      <c r="DL16" s="168"/>
      <c r="DM16" s="168"/>
      <c r="DN16" s="168">
        <f t="shared" si="13"/>
        <v>533.27299999999991</v>
      </c>
      <c r="DO16" s="165">
        <v>-3.27</v>
      </c>
      <c r="DP16" s="165">
        <v>163.30099999999999</v>
      </c>
      <c r="DQ16" s="165">
        <v>16.010000000000002</v>
      </c>
      <c r="DR16" s="165">
        <v>85.891000000000005</v>
      </c>
      <c r="DS16" s="165">
        <v>49.997</v>
      </c>
      <c r="DT16" s="165">
        <v>75.13</v>
      </c>
      <c r="DU16" s="165">
        <v>137.23699999999999</v>
      </c>
      <c r="DV16" s="165">
        <v>0</v>
      </c>
      <c r="DW16" s="165">
        <v>8.9770000000000003</v>
      </c>
      <c r="DX16" s="165">
        <v>0</v>
      </c>
      <c r="DY16" s="165">
        <v>0</v>
      </c>
      <c r="DZ16" s="165">
        <v>0</v>
      </c>
      <c r="EA16" s="168"/>
    </row>
    <row r="17" spans="1:131" s="91" customFormat="1" ht="16.25" hidden="1" customHeight="1" x14ac:dyDescent="0.4">
      <c r="A17" s="32" t="s">
        <v>97</v>
      </c>
      <c r="B17" s="32" t="s">
        <v>29</v>
      </c>
      <c r="C17" s="32" t="s">
        <v>20</v>
      </c>
      <c r="D17" s="16" t="s">
        <v>190</v>
      </c>
      <c r="E17" s="87" t="s">
        <v>191</v>
      </c>
      <c r="F17" s="87" t="s">
        <v>110</v>
      </c>
      <c r="G17" s="32" t="s">
        <v>101</v>
      </c>
      <c r="H17" s="32"/>
      <c r="I17" s="51" t="s">
        <v>192</v>
      </c>
      <c r="J17" s="33" t="s">
        <v>191</v>
      </c>
      <c r="K17" s="36"/>
      <c r="L17" s="36"/>
      <c r="M17" s="68"/>
      <c r="N17" s="36"/>
      <c r="O17" s="33"/>
      <c r="P17" s="32" t="s">
        <v>193</v>
      </c>
      <c r="Q17" s="129">
        <f>CK17</f>
        <v>0</v>
      </c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32"/>
      <c r="AD17" s="37">
        <v>430</v>
      </c>
      <c r="AE17" s="37"/>
      <c r="AF17" s="37"/>
      <c r="AG17" s="37"/>
      <c r="AH17" s="158"/>
      <c r="AI17" s="160"/>
      <c r="AJ17" s="37"/>
      <c r="AK17" s="46"/>
      <c r="AL17" s="47"/>
      <c r="AM17" s="162"/>
      <c r="AN17" s="39">
        <f>VLOOKUP(D17,'May FF'!B$2:E$201,2,0)</f>
        <v>646556</v>
      </c>
      <c r="AO17" s="97">
        <f>VLOOKUP(D17,'May FF'!B11:E210,3,0)</f>
        <v>0</v>
      </c>
      <c r="AP17" s="39">
        <f>VLOOKUP($D17,'May FF'!$B$2:$E$201,4,0)</f>
        <v>0</v>
      </c>
      <c r="AQ17" s="160"/>
      <c r="AR17" s="45"/>
      <c r="AS17" s="46"/>
      <c r="AT17" s="37"/>
      <c r="AU17" s="48"/>
      <c r="AV17" s="49"/>
      <c r="AW17" s="48"/>
      <c r="AY17" s="45"/>
      <c r="AZ17" s="46"/>
      <c r="BA17" s="37"/>
      <c r="BB17" s="39"/>
      <c r="BC17" s="50"/>
      <c r="BE17" s="45">
        <v>332</v>
      </c>
      <c r="BF17" s="46">
        <v>1</v>
      </c>
      <c r="BG17" s="37">
        <f t="shared" si="22"/>
        <v>332</v>
      </c>
      <c r="BH17" s="39"/>
      <c r="BI17" s="39"/>
      <c r="BJ17" s="39"/>
      <c r="BK17" s="59"/>
      <c r="BM17" s="45">
        <v>0</v>
      </c>
      <c r="BN17" s="46">
        <v>1</v>
      </c>
      <c r="BO17" s="37">
        <f t="shared" si="14"/>
        <v>0</v>
      </c>
      <c r="BP17" s="37"/>
      <c r="BQ17" s="92">
        <f t="shared" si="15"/>
        <v>0</v>
      </c>
      <c r="BR17" s="59"/>
      <c r="BS17" s="50"/>
      <c r="BU17" s="45">
        <v>0</v>
      </c>
      <c r="BV17" s="46">
        <v>1</v>
      </c>
      <c r="BW17" s="118">
        <f t="shared" si="16"/>
        <v>0</v>
      </c>
      <c r="BX17" s="118">
        <f t="shared" si="17"/>
        <v>0</v>
      </c>
      <c r="BY17" s="50"/>
      <c r="CA17" s="45">
        <v>0</v>
      </c>
      <c r="CB17" s="46">
        <v>1</v>
      </c>
      <c r="CC17" s="118">
        <f t="shared" si="1"/>
        <v>0</v>
      </c>
      <c r="CD17" s="118"/>
      <c r="CE17" s="92">
        <f t="shared" si="18"/>
        <v>0</v>
      </c>
      <c r="CF17" s="92">
        <f t="shared" si="19"/>
        <v>0</v>
      </c>
      <c r="CG17" s="50"/>
      <c r="CI17" s="160">
        <v>0</v>
      </c>
      <c r="CJ17" s="164">
        <v>1</v>
      </c>
      <c r="CK17" s="165">
        <f t="shared" si="2"/>
        <v>0</v>
      </c>
      <c r="CL17" s="92">
        <f t="shared" si="3"/>
        <v>0</v>
      </c>
      <c r="CM17" s="50"/>
      <c r="CO17" s="160">
        <v>0</v>
      </c>
      <c r="CP17" s="164">
        <v>1</v>
      </c>
      <c r="CQ17" s="165">
        <f t="shared" si="4"/>
        <v>0</v>
      </c>
      <c r="CR17" s="168">
        <f t="shared" si="5"/>
        <v>0</v>
      </c>
      <c r="CU17" s="160">
        <v>0</v>
      </c>
      <c r="CV17" s="164">
        <v>1</v>
      </c>
      <c r="CW17" s="165">
        <f t="shared" si="6"/>
        <v>0</v>
      </c>
      <c r="CX17" s="160">
        <v>0</v>
      </c>
      <c r="CY17" s="164">
        <v>1</v>
      </c>
      <c r="CZ17" s="165">
        <f t="shared" si="23"/>
        <v>0</v>
      </c>
      <c r="DA17" s="168">
        <f t="shared" si="8"/>
        <v>0</v>
      </c>
      <c r="DB17" s="168">
        <f t="shared" si="9"/>
        <v>0</v>
      </c>
      <c r="DC17" s="168"/>
      <c r="DF17" s="160">
        <v>0</v>
      </c>
      <c r="DG17" s="164">
        <v>1</v>
      </c>
      <c r="DH17" s="165">
        <f t="shared" si="10"/>
        <v>0</v>
      </c>
      <c r="DI17" s="168">
        <f t="shared" si="11"/>
        <v>0</v>
      </c>
      <c r="DJ17" s="168">
        <f t="shared" si="12"/>
        <v>0</v>
      </c>
      <c r="DK17" s="168"/>
      <c r="DL17" s="168"/>
      <c r="DM17" s="168"/>
      <c r="DN17" s="168">
        <f t="shared" si="13"/>
        <v>0</v>
      </c>
      <c r="DO17" s="165">
        <v>0</v>
      </c>
      <c r="DP17" s="165">
        <v>0</v>
      </c>
      <c r="DQ17" s="165">
        <v>0</v>
      </c>
      <c r="DR17" s="165">
        <v>0</v>
      </c>
      <c r="DS17" s="165">
        <v>0</v>
      </c>
      <c r="DT17" s="165">
        <v>0</v>
      </c>
      <c r="DU17" s="165">
        <v>0</v>
      </c>
      <c r="DV17" s="165">
        <v>0</v>
      </c>
      <c r="DW17" s="165">
        <v>0</v>
      </c>
      <c r="DX17" s="165">
        <v>0</v>
      </c>
      <c r="DY17" s="165">
        <v>0</v>
      </c>
      <c r="DZ17" s="165">
        <v>0</v>
      </c>
    </row>
    <row r="18" spans="1:131" s="91" customFormat="1" ht="16.25" hidden="1" customHeight="1" x14ac:dyDescent="0.4">
      <c r="A18" s="32" t="s">
        <v>97</v>
      </c>
      <c r="B18" s="32" t="s">
        <v>29</v>
      </c>
      <c r="C18" s="32" t="s">
        <v>20</v>
      </c>
      <c r="D18" s="16" t="s">
        <v>190</v>
      </c>
      <c r="E18" s="87" t="s">
        <v>194</v>
      </c>
      <c r="F18" s="87" t="s">
        <v>110</v>
      </c>
      <c r="G18" s="32" t="s">
        <v>101</v>
      </c>
      <c r="H18" s="32" t="s">
        <v>102</v>
      </c>
      <c r="I18" s="16" t="s">
        <v>103</v>
      </c>
      <c r="J18" s="38"/>
      <c r="K18" s="38"/>
      <c r="L18" s="38"/>
      <c r="M18" s="36"/>
      <c r="N18" s="36"/>
      <c r="O18" s="38" t="s">
        <v>195</v>
      </c>
      <c r="P18" s="32" t="s">
        <v>193</v>
      </c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32"/>
      <c r="AD18" s="37"/>
      <c r="AE18" s="37"/>
      <c r="AF18" s="37"/>
      <c r="AG18" s="37"/>
      <c r="AH18" s="158"/>
      <c r="AI18" s="158"/>
      <c r="AJ18" s="37">
        <v>0</v>
      </c>
      <c r="AK18" s="46">
        <v>1</v>
      </c>
      <c r="AL18" s="47">
        <f>AJ18*AK18</f>
        <v>0</v>
      </c>
      <c r="AM18" s="162"/>
      <c r="AN18" s="39">
        <f>VLOOKUP(D18,'May FF'!B$2:E$201,2,0)</f>
        <v>646556</v>
      </c>
      <c r="AO18" s="97">
        <f>VLOOKUP(D18,'May FF'!B12:E211,3,0)</f>
        <v>0</v>
      </c>
      <c r="AP18" s="39">
        <f>VLOOKUP($D18,'May FF'!$B$2:$E$201,4,0)</f>
        <v>0</v>
      </c>
      <c r="AQ18" s="160"/>
      <c r="AR18" s="45">
        <v>88</v>
      </c>
      <c r="AS18" s="46">
        <v>1</v>
      </c>
      <c r="AT18" s="37">
        <f>AR18*AS18</f>
        <v>88</v>
      </c>
      <c r="AU18" s="48"/>
      <c r="AV18" s="49">
        <f>AU18*AS18</f>
        <v>0</v>
      </c>
      <c r="AW18" s="48"/>
      <c r="AY18" s="45">
        <v>88</v>
      </c>
      <c r="AZ18" s="46">
        <v>1</v>
      </c>
      <c r="BA18" s="37">
        <f>AY18*AZ18</f>
        <v>88</v>
      </c>
      <c r="BB18" s="39">
        <f>BA18-AT18</f>
        <v>0</v>
      </c>
      <c r="BC18" s="50"/>
      <c r="BE18" s="45">
        <v>0</v>
      </c>
      <c r="BF18" s="46">
        <v>1</v>
      </c>
      <c r="BG18" s="37">
        <f t="shared" si="22"/>
        <v>0</v>
      </c>
      <c r="BH18" s="37"/>
      <c r="BI18" s="39">
        <f>BG18-BA18</f>
        <v>-88</v>
      </c>
      <c r="BJ18" s="39"/>
      <c r="BK18" s="50"/>
      <c r="BM18" s="45">
        <v>0</v>
      </c>
      <c r="BN18" s="46">
        <v>1</v>
      </c>
      <c r="BO18" s="37">
        <f t="shared" si="14"/>
        <v>0</v>
      </c>
      <c r="BP18" s="37"/>
      <c r="BQ18" s="92">
        <f t="shared" si="15"/>
        <v>-88</v>
      </c>
      <c r="BR18" s="34" t="s">
        <v>121</v>
      </c>
      <c r="BS18" s="50"/>
      <c r="BU18" s="45">
        <v>0</v>
      </c>
      <c r="BV18" s="46">
        <v>1</v>
      </c>
      <c r="BW18" s="118">
        <f t="shared" si="16"/>
        <v>0</v>
      </c>
      <c r="BX18" s="118">
        <f t="shared" si="17"/>
        <v>0</v>
      </c>
      <c r="BY18" s="50"/>
      <c r="CA18" s="45">
        <v>0</v>
      </c>
      <c r="CB18" s="46">
        <v>1</v>
      </c>
      <c r="CC18" s="118">
        <f t="shared" si="1"/>
        <v>0</v>
      </c>
      <c r="CD18" s="118"/>
      <c r="CE18" s="92">
        <f t="shared" si="18"/>
        <v>0</v>
      </c>
      <c r="CF18" s="92">
        <f t="shared" si="19"/>
        <v>0</v>
      </c>
      <c r="CG18" s="50"/>
      <c r="CI18" s="160">
        <v>0</v>
      </c>
      <c r="CJ18" s="164">
        <v>1</v>
      </c>
      <c r="CK18" s="165">
        <f t="shared" si="2"/>
        <v>0</v>
      </c>
      <c r="CL18" s="92">
        <f t="shared" si="3"/>
        <v>0</v>
      </c>
      <c r="CM18" s="50"/>
      <c r="CO18" s="160">
        <v>0</v>
      </c>
      <c r="CP18" s="164">
        <v>1</v>
      </c>
      <c r="CQ18" s="165">
        <f t="shared" si="4"/>
        <v>0</v>
      </c>
      <c r="CR18" s="168">
        <f t="shared" si="5"/>
        <v>0</v>
      </c>
      <c r="CU18" s="160">
        <v>0</v>
      </c>
      <c r="CV18" s="164">
        <v>1</v>
      </c>
      <c r="CW18" s="165">
        <f t="shared" si="6"/>
        <v>0</v>
      </c>
      <c r="CX18" s="160">
        <v>0</v>
      </c>
      <c r="CY18" s="164">
        <v>1</v>
      </c>
      <c r="CZ18" s="165">
        <f t="shared" si="23"/>
        <v>0</v>
      </c>
      <c r="DA18" s="168">
        <f t="shared" si="8"/>
        <v>0</v>
      </c>
      <c r="DB18" s="168">
        <f t="shared" si="9"/>
        <v>0</v>
      </c>
      <c r="DC18" s="168"/>
      <c r="DF18" s="160">
        <v>0</v>
      </c>
      <c r="DG18" s="164">
        <v>1</v>
      </c>
      <c r="DH18" s="165">
        <f t="shared" si="10"/>
        <v>0</v>
      </c>
      <c r="DI18" s="168">
        <f t="shared" si="11"/>
        <v>0</v>
      </c>
      <c r="DJ18" s="168">
        <f t="shared" si="12"/>
        <v>0</v>
      </c>
      <c r="DK18" s="168"/>
      <c r="DL18" s="168"/>
      <c r="DM18" s="168"/>
      <c r="DN18" s="168">
        <f t="shared" si="13"/>
        <v>0</v>
      </c>
      <c r="DO18" s="165">
        <v>0</v>
      </c>
      <c r="DP18" s="165">
        <v>0</v>
      </c>
      <c r="DQ18" s="165">
        <v>0</v>
      </c>
      <c r="DR18" s="165">
        <v>0</v>
      </c>
      <c r="DS18" s="165">
        <v>0</v>
      </c>
      <c r="DT18" s="165">
        <v>0</v>
      </c>
      <c r="DU18" s="165">
        <v>0</v>
      </c>
      <c r="DV18" s="165">
        <v>0</v>
      </c>
      <c r="DW18" s="165">
        <v>0</v>
      </c>
      <c r="DX18" s="165">
        <v>0</v>
      </c>
      <c r="DY18" s="165">
        <v>0</v>
      </c>
      <c r="DZ18" s="165">
        <v>0</v>
      </c>
    </row>
    <row r="19" spans="1:131" s="91" customFormat="1" ht="16.25" hidden="1" customHeight="1" x14ac:dyDescent="0.4">
      <c r="A19" s="32" t="s">
        <v>97</v>
      </c>
      <c r="B19" s="32" t="s">
        <v>29</v>
      </c>
      <c r="C19" s="32" t="s">
        <v>20</v>
      </c>
      <c r="D19" s="16" t="s">
        <v>190</v>
      </c>
      <c r="E19" s="87" t="s">
        <v>196</v>
      </c>
      <c r="F19" s="87" t="s">
        <v>110</v>
      </c>
      <c r="G19" s="32" t="s">
        <v>101</v>
      </c>
      <c r="H19" s="32" t="s">
        <v>102</v>
      </c>
      <c r="I19" s="16" t="s">
        <v>103</v>
      </c>
      <c r="J19" s="33"/>
      <c r="K19" s="36"/>
      <c r="L19" s="36"/>
      <c r="M19" s="68" t="s">
        <v>176</v>
      </c>
      <c r="N19" s="36"/>
      <c r="O19" s="38" t="s">
        <v>197</v>
      </c>
      <c r="P19" s="32" t="s">
        <v>193</v>
      </c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32"/>
      <c r="AD19" s="37">
        <v>92</v>
      </c>
      <c r="AE19" s="37"/>
      <c r="AF19" s="37"/>
      <c r="AG19" s="37"/>
      <c r="AH19" s="158"/>
      <c r="AI19" s="158"/>
      <c r="AJ19" s="37">
        <v>90</v>
      </c>
      <c r="AK19" s="46">
        <v>0.9</v>
      </c>
      <c r="AL19" s="47">
        <f>AJ19*AK19</f>
        <v>81</v>
      </c>
      <c r="AM19" s="162"/>
      <c r="AN19" s="39">
        <f>VLOOKUP(D19,'May FF'!B$2:E$201,2,0)</f>
        <v>646556</v>
      </c>
      <c r="AO19" s="97">
        <f>VLOOKUP(D19,'May FF'!B13:E212,3,0)</f>
        <v>0</v>
      </c>
      <c r="AP19" s="39">
        <f>VLOOKUP($D19,'May FF'!$B$2:$E$201,4,0)</f>
        <v>0</v>
      </c>
      <c r="AQ19" s="160"/>
      <c r="AR19" s="45">
        <v>100</v>
      </c>
      <c r="AS19" s="46">
        <v>0.9</v>
      </c>
      <c r="AT19" s="37">
        <f>AR19*AS19</f>
        <v>90</v>
      </c>
      <c r="AU19" s="48"/>
      <c r="AV19" s="49">
        <f>AU19*AS19</f>
        <v>0</v>
      </c>
      <c r="AW19" s="48"/>
      <c r="AY19" s="45">
        <v>100</v>
      </c>
      <c r="AZ19" s="46">
        <v>0.9</v>
      </c>
      <c r="BA19" s="37">
        <f>AY19*AZ19</f>
        <v>90</v>
      </c>
      <c r="BB19" s="39">
        <f>BA19-AT19</f>
        <v>0</v>
      </c>
      <c r="BC19" s="50"/>
      <c r="BE19" s="45">
        <v>0</v>
      </c>
      <c r="BF19" s="46">
        <v>0.9</v>
      </c>
      <c r="BG19" s="37">
        <f t="shared" si="22"/>
        <v>0</v>
      </c>
      <c r="BH19" s="37"/>
      <c r="BI19" s="39">
        <f>BG19-BA19</f>
        <v>-90</v>
      </c>
      <c r="BJ19" s="39"/>
      <c r="BK19" s="50"/>
      <c r="BM19" s="45">
        <v>0</v>
      </c>
      <c r="BN19" s="46">
        <v>0.9</v>
      </c>
      <c r="BO19" s="37">
        <f t="shared" si="14"/>
        <v>0</v>
      </c>
      <c r="BP19" s="37"/>
      <c r="BQ19" s="92">
        <f t="shared" si="15"/>
        <v>-90</v>
      </c>
      <c r="BR19" s="34" t="s">
        <v>121</v>
      </c>
      <c r="BS19" s="50"/>
      <c r="BU19" s="45">
        <v>0</v>
      </c>
      <c r="BV19" s="46">
        <v>0.9</v>
      </c>
      <c r="BW19" s="118">
        <f t="shared" si="16"/>
        <v>0</v>
      </c>
      <c r="BX19" s="118">
        <f t="shared" si="17"/>
        <v>0</v>
      </c>
      <c r="BY19" s="50"/>
      <c r="CA19" s="45">
        <v>0</v>
      </c>
      <c r="CB19" s="46">
        <v>0.9</v>
      </c>
      <c r="CC19" s="118">
        <f t="shared" si="1"/>
        <v>0</v>
      </c>
      <c r="CD19" s="118"/>
      <c r="CE19" s="92">
        <f t="shared" si="18"/>
        <v>0</v>
      </c>
      <c r="CF19" s="92">
        <f t="shared" si="19"/>
        <v>0</v>
      </c>
      <c r="CG19" s="50"/>
      <c r="CI19" s="160">
        <v>0</v>
      </c>
      <c r="CJ19" s="164">
        <v>0.9</v>
      </c>
      <c r="CK19" s="165">
        <f t="shared" si="2"/>
        <v>0</v>
      </c>
      <c r="CL19" s="92">
        <f t="shared" si="3"/>
        <v>0</v>
      </c>
      <c r="CM19" s="50"/>
      <c r="CO19" s="160">
        <v>0</v>
      </c>
      <c r="CP19" s="164">
        <v>0.9</v>
      </c>
      <c r="CQ19" s="165">
        <f t="shared" si="4"/>
        <v>0</v>
      </c>
      <c r="CR19" s="168">
        <f t="shared" si="5"/>
        <v>0</v>
      </c>
      <c r="CU19" s="160">
        <v>0</v>
      </c>
      <c r="CV19" s="164">
        <v>0.9</v>
      </c>
      <c r="CW19" s="165">
        <f t="shared" si="6"/>
        <v>0</v>
      </c>
      <c r="CX19" s="160">
        <v>0</v>
      </c>
      <c r="CY19" s="164">
        <v>0.9</v>
      </c>
      <c r="CZ19" s="165">
        <f t="shared" si="23"/>
        <v>0</v>
      </c>
      <c r="DA19" s="168">
        <f t="shared" si="8"/>
        <v>0</v>
      </c>
      <c r="DB19" s="168">
        <f t="shared" si="9"/>
        <v>0</v>
      </c>
      <c r="DC19" s="168"/>
      <c r="DF19" s="160">
        <v>0</v>
      </c>
      <c r="DG19" s="164">
        <v>0.9</v>
      </c>
      <c r="DH19" s="165">
        <f t="shared" si="10"/>
        <v>0</v>
      </c>
      <c r="DI19" s="168">
        <f t="shared" si="11"/>
        <v>0</v>
      </c>
      <c r="DJ19" s="168">
        <f t="shared" si="12"/>
        <v>0</v>
      </c>
      <c r="DK19" s="168"/>
      <c r="DL19" s="168"/>
      <c r="DM19" s="168"/>
      <c r="DN19" s="168">
        <f t="shared" si="13"/>
        <v>0</v>
      </c>
      <c r="DO19" s="165">
        <v>0</v>
      </c>
      <c r="DP19" s="165">
        <v>0</v>
      </c>
      <c r="DQ19" s="165">
        <v>0</v>
      </c>
      <c r="DR19" s="165">
        <v>0</v>
      </c>
      <c r="DS19" s="165">
        <v>0</v>
      </c>
      <c r="DT19" s="165">
        <v>0</v>
      </c>
      <c r="DU19" s="165">
        <v>0</v>
      </c>
      <c r="DV19" s="165">
        <v>0</v>
      </c>
      <c r="DW19" s="165">
        <v>0</v>
      </c>
      <c r="DX19" s="165">
        <v>0</v>
      </c>
      <c r="DY19" s="165">
        <v>0</v>
      </c>
      <c r="DZ19" s="165">
        <v>0</v>
      </c>
    </row>
    <row r="20" spans="1:131" s="91" customFormat="1" ht="16.25" hidden="1" customHeight="1" x14ac:dyDescent="0.4">
      <c r="A20" s="32" t="s">
        <v>97</v>
      </c>
      <c r="B20" s="32" t="s">
        <v>29</v>
      </c>
      <c r="C20" s="32" t="s">
        <v>20</v>
      </c>
      <c r="D20" s="32" t="s">
        <v>190</v>
      </c>
      <c r="E20" s="87" t="s">
        <v>198</v>
      </c>
      <c r="F20" s="87" t="s">
        <v>110</v>
      </c>
      <c r="G20" s="32" t="s">
        <v>101</v>
      </c>
      <c r="H20" s="32"/>
      <c r="I20" s="51" t="s">
        <v>198</v>
      </c>
      <c r="J20" s="35" t="s">
        <v>199</v>
      </c>
      <c r="K20" s="36" t="s">
        <v>200</v>
      </c>
      <c r="L20" s="36"/>
      <c r="M20" s="36"/>
      <c r="N20" s="36" t="s">
        <v>201</v>
      </c>
      <c r="O20" s="33" t="s">
        <v>202</v>
      </c>
      <c r="P20" s="32" t="s">
        <v>193</v>
      </c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32"/>
      <c r="AD20" s="37">
        <v>200</v>
      </c>
      <c r="AE20" s="37"/>
      <c r="AF20" s="37"/>
      <c r="AG20" s="37"/>
      <c r="AH20" s="158"/>
      <c r="AI20" s="160"/>
      <c r="AJ20" s="37">
        <v>0</v>
      </c>
      <c r="AK20" s="46">
        <v>0</v>
      </c>
      <c r="AL20" s="47">
        <f>AJ20*AK20</f>
        <v>0</v>
      </c>
      <c r="AM20" s="162"/>
      <c r="AN20" s="39">
        <v>0</v>
      </c>
      <c r="AO20" s="97">
        <v>0</v>
      </c>
      <c r="AP20" s="39">
        <v>0</v>
      </c>
      <c r="AQ20" s="160"/>
      <c r="AR20" s="71">
        <v>450</v>
      </c>
      <c r="AS20" s="72">
        <v>0.75</v>
      </c>
      <c r="AT20" s="71">
        <f>AR20*AS20</f>
        <v>337.5</v>
      </c>
      <c r="AU20" s="48"/>
      <c r="AV20" s="49">
        <f>AU20*AS20</f>
        <v>0</v>
      </c>
      <c r="AW20" s="48"/>
      <c r="AY20" s="71">
        <v>450</v>
      </c>
      <c r="AZ20" s="72">
        <v>0.75</v>
      </c>
      <c r="BA20" s="71">
        <f>AY20*AZ20</f>
        <v>337.5</v>
      </c>
      <c r="BB20" s="39">
        <f>BA20-AT20</f>
        <v>0</v>
      </c>
      <c r="BC20" s="50"/>
      <c r="BE20" s="37">
        <v>450</v>
      </c>
      <c r="BF20" s="46">
        <v>0.75</v>
      </c>
      <c r="BG20" s="37">
        <f t="shared" si="22"/>
        <v>337.5</v>
      </c>
      <c r="BH20" s="37"/>
      <c r="BI20" s="39">
        <f>BG20-BA20</f>
        <v>0</v>
      </c>
      <c r="BJ20" s="39"/>
      <c r="BK20" s="50"/>
      <c r="BM20" s="45">
        <v>0</v>
      </c>
      <c r="BN20" s="46">
        <v>0.9</v>
      </c>
      <c r="BO20" s="37">
        <f t="shared" si="14"/>
        <v>0</v>
      </c>
      <c r="BP20" s="37"/>
      <c r="BQ20" s="92">
        <f t="shared" si="15"/>
        <v>-337.5</v>
      </c>
      <c r="BR20" s="34" t="s">
        <v>121</v>
      </c>
      <c r="BS20" s="50"/>
      <c r="BU20" s="45">
        <v>0</v>
      </c>
      <c r="BV20" s="46">
        <v>0.9</v>
      </c>
      <c r="BW20" s="118">
        <f t="shared" si="16"/>
        <v>0</v>
      </c>
      <c r="BX20" s="118">
        <f t="shared" si="17"/>
        <v>0</v>
      </c>
      <c r="BY20" s="50"/>
      <c r="CA20" s="45">
        <v>0</v>
      </c>
      <c r="CB20" s="46">
        <v>0.9</v>
      </c>
      <c r="CC20" s="118">
        <f t="shared" si="1"/>
        <v>0</v>
      </c>
      <c r="CD20" s="118"/>
      <c r="CE20" s="92">
        <f t="shared" si="18"/>
        <v>0</v>
      </c>
      <c r="CF20" s="92">
        <f t="shared" si="19"/>
        <v>0</v>
      </c>
      <c r="CG20" s="50"/>
      <c r="CI20" s="160">
        <v>0</v>
      </c>
      <c r="CJ20" s="164">
        <v>0.9</v>
      </c>
      <c r="CK20" s="165">
        <f t="shared" si="2"/>
        <v>0</v>
      </c>
      <c r="CL20" s="92">
        <f t="shared" si="3"/>
        <v>0</v>
      </c>
      <c r="CM20" s="50"/>
      <c r="CO20" s="160">
        <v>0</v>
      </c>
      <c r="CP20" s="164">
        <v>0.9</v>
      </c>
      <c r="CQ20" s="165">
        <f t="shared" si="4"/>
        <v>0</v>
      </c>
      <c r="CR20" s="168">
        <f t="shared" si="5"/>
        <v>0</v>
      </c>
      <c r="CU20" s="160">
        <v>0</v>
      </c>
      <c r="CV20" s="164">
        <v>0.9</v>
      </c>
      <c r="CW20" s="165">
        <f t="shared" si="6"/>
        <v>0</v>
      </c>
      <c r="CX20" s="160">
        <v>0</v>
      </c>
      <c r="CY20" s="164">
        <v>0.9</v>
      </c>
      <c r="CZ20" s="165">
        <f t="shared" si="23"/>
        <v>0</v>
      </c>
      <c r="DA20" s="168">
        <f t="shared" si="8"/>
        <v>0</v>
      </c>
      <c r="DB20" s="168">
        <f t="shared" si="9"/>
        <v>0</v>
      </c>
      <c r="DC20" s="168"/>
      <c r="DF20" s="160">
        <v>0</v>
      </c>
      <c r="DG20" s="164">
        <v>0.9</v>
      </c>
      <c r="DH20" s="165">
        <f t="shared" si="10"/>
        <v>0</v>
      </c>
      <c r="DI20" s="168">
        <f t="shared" si="11"/>
        <v>0</v>
      </c>
      <c r="DJ20" s="168">
        <f t="shared" si="12"/>
        <v>0</v>
      </c>
      <c r="DK20" s="168"/>
      <c r="DL20" s="168"/>
      <c r="DM20" s="168"/>
      <c r="DN20" s="168">
        <f t="shared" si="13"/>
        <v>0</v>
      </c>
      <c r="DO20" s="165">
        <v>0</v>
      </c>
      <c r="DP20" s="165">
        <v>0</v>
      </c>
      <c r="DQ20" s="165">
        <v>0</v>
      </c>
      <c r="DR20" s="165">
        <v>0</v>
      </c>
      <c r="DS20" s="165">
        <v>0</v>
      </c>
      <c r="DT20" s="165">
        <v>0</v>
      </c>
      <c r="DU20" s="165">
        <v>0</v>
      </c>
      <c r="DV20" s="165">
        <v>0</v>
      </c>
      <c r="DW20" s="165">
        <v>0</v>
      </c>
      <c r="DX20" s="165">
        <v>0</v>
      </c>
      <c r="DY20" s="165">
        <v>0</v>
      </c>
      <c r="DZ20" s="165">
        <v>0</v>
      </c>
    </row>
    <row r="21" spans="1:131" s="91" customFormat="1" ht="16.25" hidden="1" customHeight="1" x14ac:dyDescent="0.4">
      <c r="A21" s="32" t="s">
        <v>97</v>
      </c>
      <c r="B21" s="32" t="s">
        <v>29</v>
      </c>
      <c r="C21" s="32" t="s">
        <v>172</v>
      </c>
      <c r="D21" s="32" t="s">
        <v>208</v>
      </c>
      <c r="E21" s="87" t="s">
        <v>209</v>
      </c>
      <c r="F21" s="87" t="s">
        <v>175</v>
      </c>
      <c r="G21" s="32" t="s">
        <v>101</v>
      </c>
      <c r="H21" s="36" t="s">
        <v>182</v>
      </c>
      <c r="I21" s="51"/>
      <c r="J21" s="35"/>
      <c r="K21" s="36"/>
      <c r="L21" s="36"/>
      <c r="M21" s="36"/>
      <c r="N21" s="36"/>
      <c r="O21" s="33"/>
      <c r="P21" s="32" t="s">
        <v>189</v>
      </c>
      <c r="Q21" s="129"/>
      <c r="R21" s="129"/>
      <c r="S21" s="129">
        <f>25%*CK21</f>
        <v>267.5</v>
      </c>
      <c r="T21" s="129"/>
      <c r="U21" s="129">
        <v>468</v>
      </c>
      <c r="W21" s="129"/>
      <c r="X21" s="129">
        <v>383</v>
      </c>
      <c r="Y21" s="129"/>
      <c r="Z21" s="129"/>
      <c r="AA21" s="129"/>
      <c r="AB21" s="129"/>
      <c r="AC21" s="32"/>
      <c r="AD21" s="37"/>
      <c r="AE21" s="37"/>
      <c r="AF21" s="37"/>
      <c r="AG21" s="37"/>
      <c r="AH21" s="158"/>
      <c r="AI21" s="160"/>
      <c r="AJ21" s="37">
        <v>0</v>
      </c>
      <c r="AK21" s="46">
        <v>0</v>
      </c>
      <c r="AL21" s="47">
        <f>AJ21*AK21</f>
        <v>0</v>
      </c>
      <c r="AM21" s="162"/>
      <c r="AN21" s="39">
        <v>0</v>
      </c>
      <c r="AO21" s="97">
        <v>0</v>
      </c>
      <c r="AP21" s="39">
        <v>0</v>
      </c>
      <c r="AQ21" s="160"/>
      <c r="AR21" s="45">
        <v>1081</v>
      </c>
      <c r="AS21" s="46">
        <v>1</v>
      </c>
      <c r="AT21" s="45">
        <f>AR21*AS21</f>
        <v>1081</v>
      </c>
      <c r="AU21" s="48"/>
      <c r="AV21" s="49">
        <f>AU21*AS21</f>
        <v>0</v>
      </c>
      <c r="AW21" s="48" t="s">
        <v>210</v>
      </c>
      <c r="AY21" s="45">
        <v>1081</v>
      </c>
      <c r="AZ21" s="46">
        <v>1</v>
      </c>
      <c r="BA21" s="45">
        <f>AY21*AZ21</f>
        <v>1081</v>
      </c>
      <c r="BB21" s="39">
        <f>BA21-AT21</f>
        <v>0</v>
      </c>
      <c r="BC21" s="50"/>
      <c r="BE21" s="45">
        <v>1081</v>
      </c>
      <c r="BF21" s="46">
        <v>1</v>
      </c>
      <c r="BG21" s="45">
        <f t="shared" si="22"/>
        <v>1081</v>
      </c>
      <c r="BH21" s="45"/>
      <c r="BI21" s="39">
        <f>BG21-BA21</f>
        <v>0</v>
      </c>
      <c r="BJ21" s="39"/>
      <c r="BK21" s="50"/>
      <c r="BM21" s="45">
        <v>1081</v>
      </c>
      <c r="BN21" s="46">
        <v>1</v>
      </c>
      <c r="BO21" s="45">
        <f t="shared" si="14"/>
        <v>1081</v>
      </c>
      <c r="BP21" s="37" t="e">
        <f>VLOOKUP(D21,'May FF'!B$3:C$38,2,0)/1000</f>
        <v>#N/A</v>
      </c>
      <c r="BQ21" s="92">
        <f t="shared" si="15"/>
        <v>0</v>
      </c>
      <c r="BR21" s="59"/>
      <c r="BS21" s="50"/>
      <c r="BU21" s="45">
        <f>990+55</f>
        <v>1045</v>
      </c>
      <c r="BV21" s="46">
        <v>1</v>
      </c>
      <c r="BW21" s="118">
        <f t="shared" si="16"/>
        <v>1045</v>
      </c>
      <c r="BX21" s="118">
        <f t="shared" si="17"/>
        <v>-36</v>
      </c>
      <c r="BY21" s="50"/>
      <c r="CA21" s="45">
        <f>990+55</f>
        <v>1045</v>
      </c>
      <c r="CB21" s="46">
        <v>1</v>
      </c>
      <c r="CC21" s="118">
        <f t="shared" si="1"/>
        <v>1045</v>
      </c>
      <c r="CD21" s="118"/>
      <c r="CE21" s="92">
        <f t="shared" si="18"/>
        <v>0</v>
      </c>
      <c r="CF21" s="92">
        <f t="shared" si="19"/>
        <v>-36</v>
      </c>
      <c r="CG21" s="50"/>
      <c r="CI21" s="160">
        <v>1070</v>
      </c>
      <c r="CJ21" s="164">
        <v>1</v>
      </c>
      <c r="CK21" s="165">
        <f t="shared" si="2"/>
        <v>1070</v>
      </c>
      <c r="CL21" s="92">
        <f t="shared" si="3"/>
        <v>25</v>
      </c>
      <c r="CM21" s="50"/>
      <c r="CO21" s="160">
        <v>1045.886</v>
      </c>
      <c r="CP21" s="164">
        <v>1</v>
      </c>
      <c r="CQ21" s="165">
        <f t="shared" si="4"/>
        <v>1045.886</v>
      </c>
      <c r="CR21" s="168">
        <f t="shared" si="5"/>
        <v>-24.114000000000033</v>
      </c>
      <c r="CU21" s="160">
        <v>1045.886</v>
      </c>
      <c r="CV21" s="164">
        <v>1</v>
      </c>
      <c r="CW21" s="165">
        <f t="shared" si="6"/>
        <v>1045.886</v>
      </c>
      <c r="CX21" s="160">
        <v>1058.787</v>
      </c>
      <c r="CY21" s="164">
        <v>1</v>
      </c>
      <c r="CZ21" s="165">
        <f t="shared" si="23"/>
        <v>1058.787</v>
      </c>
      <c r="DA21" s="168">
        <f t="shared" si="8"/>
        <v>12.901000000000067</v>
      </c>
      <c r="DB21" s="168">
        <f t="shared" si="9"/>
        <v>12.901000000000067</v>
      </c>
      <c r="DC21" s="168"/>
      <c r="DF21" s="160">
        <v>1058.787</v>
      </c>
      <c r="DG21" s="164">
        <v>1</v>
      </c>
      <c r="DH21" s="165">
        <f t="shared" si="10"/>
        <v>1058.787</v>
      </c>
      <c r="DI21" s="168">
        <f t="shared" si="11"/>
        <v>0</v>
      </c>
      <c r="DJ21" s="168">
        <f t="shared" si="12"/>
        <v>12.901000000000067</v>
      </c>
      <c r="DK21" s="168"/>
      <c r="DL21" s="168"/>
      <c r="DM21" s="168"/>
      <c r="DN21" s="168">
        <f t="shared" si="13"/>
        <v>1059.739</v>
      </c>
      <c r="DO21" s="165">
        <v>0</v>
      </c>
      <c r="DP21" s="165">
        <v>0</v>
      </c>
      <c r="DQ21" s="165">
        <v>28.998000000000001</v>
      </c>
      <c r="DR21" s="165">
        <v>111.901</v>
      </c>
      <c r="DS21" s="165">
        <v>91.84</v>
      </c>
      <c r="DT21" s="165">
        <v>118</v>
      </c>
      <c r="DU21" s="165">
        <v>39</v>
      </c>
      <c r="DV21" s="165">
        <v>148</v>
      </c>
      <c r="DW21" s="165">
        <v>273</v>
      </c>
      <c r="DX21" s="165">
        <v>149</v>
      </c>
      <c r="DY21" s="165">
        <v>45</v>
      </c>
      <c r="DZ21" s="165">
        <v>55</v>
      </c>
      <c r="EA21" s="168"/>
    </row>
    <row r="22" spans="1:131" s="91" customFormat="1" ht="16.25" hidden="1" customHeight="1" x14ac:dyDescent="0.4">
      <c r="A22" s="32" t="s">
        <v>97</v>
      </c>
      <c r="B22" s="32" t="s">
        <v>29</v>
      </c>
      <c r="C22" s="32" t="s">
        <v>172</v>
      </c>
      <c r="D22" s="32" t="s">
        <v>211</v>
      </c>
      <c r="E22" s="87" t="s">
        <v>212</v>
      </c>
      <c r="F22" s="87" t="s">
        <v>213</v>
      </c>
      <c r="G22" s="32" t="s">
        <v>101</v>
      </c>
      <c r="H22" s="36" t="s">
        <v>214</v>
      </c>
      <c r="I22" s="51"/>
      <c r="J22" s="35"/>
      <c r="K22" s="36"/>
      <c r="L22" s="36"/>
      <c r="M22" s="36"/>
      <c r="N22" s="36"/>
      <c r="O22" s="33"/>
      <c r="P22" s="32" t="s">
        <v>189</v>
      </c>
      <c r="Q22" s="129"/>
      <c r="R22" s="129"/>
      <c r="S22" s="129">
        <f>25%*CK22</f>
        <v>281.5</v>
      </c>
      <c r="T22" s="129"/>
      <c r="U22" s="129">
        <v>292</v>
      </c>
      <c r="W22" s="129"/>
      <c r="X22" s="129">
        <v>383</v>
      </c>
      <c r="Y22" s="129"/>
      <c r="Z22" s="129"/>
      <c r="AA22" s="129"/>
      <c r="AB22" s="129"/>
      <c r="AC22" s="32"/>
      <c r="AD22" s="37"/>
      <c r="AE22" s="37"/>
      <c r="AF22" s="37"/>
      <c r="AG22" s="37"/>
      <c r="AH22" s="158"/>
      <c r="AI22" s="160"/>
      <c r="AJ22" s="37">
        <v>0</v>
      </c>
      <c r="AK22" s="46">
        <v>0</v>
      </c>
      <c r="AL22" s="47">
        <f>AJ22*AK22</f>
        <v>0</v>
      </c>
      <c r="AM22" s="162"/>
      <c r="AN22" s="39">
        <v>0</v>
      </c>
      <c r="AO22" s="97">
        <v>0</v>
      </c>
      <c r="AP22" s="39">
        <v>0</v>
      </c>
      <c r="AQ22" s="160"/>
      <c r="AR22" s="45">
        <v>668</v>
      </c>
      <c r="AS22" s="46">
        <v>1</v>
      </c>
      <c r="AT22" s="45">
        <f>AR22*AS22</f>
        <v>668</v>
      </c>
      <c r="AU22" s="48"/>
      <c r="AV22" s="49">
        <f>AU22*AS22</f>
        <v>0</v>
      </c>
      <c r="AW22" s="48" t="s">
        <v>215</v>
      </c>
      <c r="AY22" s="45">
        <v>668</v>
      </c>
      <c r="AZ22" s="46">
        <v>1</v>
      </c>
      <c r="BA22" s="45">
        <f>AY22*AZ22</f>
        <v>668</v>
      </c>
      <c r="BB22" s="39">
        <f>BA22-AT22</f>
        <v>0</v>
      </c>
      <c r="BC22" s="50"/>
      <c r="BE22" s="45">
        <v>568</v>
      </c>
      <c r="BF22" s="46">
        <v>1</v>
      </c>
      <c r="BG22" s="45">
        <f t="shared" si="22"/>
        <v>568</v>
      </c>
      <c r="BH22" s="45"/>
      <c r="BI22" s="39">
        <f>BG22-BA22</f>
        <v>-100</v>
      </c>
      <c r="BJ22" s="39"/>
      <c r="BK22" s="50"/>
      <c r="BM22" s="45">
        <v>568</v>
      </c>
      <c r="BN22" s="46">
        <v>1</v>
      </c>
      <c r="BO22" s="45">
        <f t="shared" si="14"/>
        <v>568</v>
      </c>
      <c r="BP22" s="37" t="e">
        <f>VLOOKUP(D22,'May FF'!B$3:C$38,2,0)/1000</f>
        <v>#N/A</v>
      </c>
      <c r="BQ22" s="92">
        <f t="shared" si="15"/>
        <v>-100</v>
      </c>
      <c r="BR22" s="34" t="s">
        <v>106</v>
      </c>
      <c r="BS22" s="50"/>
      <c r="BU22" s="45">
        <v>512</v>
      </c>
      <c r="BV22" s="46">
        <v>1</v>
      </c>
      <c r="BW22" s="118">
        <f t="shared" si="16"/>
        <v>512</v>
      </c>
      <c r="BX22" s="118">
        <f t="shared" si="17"/>
        <v>-56</v>
      </c>
      <c r="BY22" s="50"/>
      <c r="CA22" s="45">
        <v>512</v>
      </c>
      <c r="CB22" s="46">
        <v>1</v>
      </c>
      <c r="CC22" s="118">
        <f t="shared" si="1"/>
        <v>512</v>
      </c>
      <c r="CD22" s="118"/>
      <c r="CE22" s="92">
        <f t="shared" si="18"/>
        <v>0</v>
      </c>
      <c r="CF22" s="92">
        <f t="shared" si="19"/>
        <v>-56</v>
      </c>
      <c r="CG22" s="50"/>
      <c r="CI22" s="160">
        <v>1126</v>
      </c>
      <c r="CJ22" s="164">
        <v>1</v>
      </c>
      <c r="CK22" s="165">
        <f t="shared" si="2"/>
        <v>1126</v>
      </c>
      <c r="CL22" s="92">
        <f t="shared" si="3"/>
        <v>614</v>
      </c>
      <c r="CM22" s="149" t="s">
        <v>216</v>
      </c>
      <c r="CO22" s="160">
        <f>618+398</f>
        <v>1016</v>
      </c>
      <c r="CP22" s="164">
        <v>1</v>
      </c>
      <c r="CQ22" s="165">
        <f t="shared" si="4"/>
        <v>1016</v>
      </c>
      <c r="CR22" s="168">
        <f t="shared" si="5"/>
        <v>-110</v>
      </c>
      <c r="CU22" s="160">
        <f>618+398</f>
        <v>1016</v>
      </c>
      <c r="CV22" s="164">
        <v>1</v>
      </c>
      <c r="CW22" s="165">
        <f t="shared" si="6"/>
        <v>1016</v>
      </c>
      <c r="CX22" s="160">
        <f>618+398</f>
        <v>1016</v>
      </c>
      <c r="CY22" s="164">
        <v>1</v>
      </c>
      <c r="CZ22" s="165">
        <f t="shared" si="23"/>
        <v>1016</v>
      </c>
      <c r="DA22" s="168">
        <f t="shared" si="8"/>
        <v>0</v>
      </c>
      <c r="DB22" s="168">
        <f t="shared" si="9"/>
        <v>0</v>
      </c>
      <c r="DC22" s="168"/>
      <c r="DF22" s="160">
        <v>1023</v>
      </c>
      <c r="DG22" s="164">
        <v>1</v>
      </c>
      <c r="DH22" s="165">
        <f t="shared" si="10"/>
        <v>1023</v>
      </c>
      <c r="DI22" s="168">
        <f t="shared" si="11"/>
        <v>7</v>
      </c>
      <c r="DJ22" s="168">
        <f t="shared" si="12"/>
        <v>7</v>
      </c>
      <c r="DK22" s="168"/>
      <c r="DL22" s="168"/>
      <c r="DM22" s="168"/>
      <c r="DN22" s="168">
        <f t="shared" si="13"/>
        <v>1023.739</v>
      </c>
      <c r="DO22" s="165">
        <v>0</v>
      </c>
      <c r="DP22" s="165">
        <v>0</v>
      </c>
      <c r="DQ22" s="165">
        <v>0</v>
      </c>
      <c r="DR22" s="165">
        <v>3.956</v>
      </c>
      <c r="DS22" s="165">
        <v>37.783000000000001</v>
      </c>
      <c r="DT22" s="165">
        <v>87</v>
      </c>
      <c r="DU22" s="165">
        <v>171</v>
      </c>
      <c r="DV22" s="165">
        <v>196</v>
      </c>
      <c r="DW22" s="165">
        <v>402</v>
      </c>
      <c r="DX22" s="165">
        <v>121</v>
      </c>
      <c r="DY22" s="165">
        <v>5</v>
      </c>
      <c r="DZ22" s="165">
        <v>0</v>
      </c>
      <c r="EA22" s="168"/>
    </row>
    <row r="23" spans="1:131" s="91" customFormat="1" ht="16.25" hidden="1" customHeight="1" x14ac:dyDescent="0.4">
      <c r="A23" s="32" t="s">
        <v>97</v>
      </c>
      <c r="B23" s="32" t="s">
        <v>29</v>
      </c>
      <c r="C23" s="32" t="s">
        <v>20</v>
      </c>
      <c r="D23" s="16" t="s">
        <v>217</v>
      </c>
      <c r="E23" s="87" t="s">
        <v>368</v>
      </c>
      <c r="F23" s="87" t="s">
        <v>110</v>
      </c>
      <c r="G23" s="32" t="s">
        <v>101</v>
      </c>
      <c r="H23" s="36"/>
      <c r="I23" s="51"/>
      <c r="J23" s="33"/>
      <c r="K23" s="36"/>
      <c r="L23" s="36"/>
      <c r="M23" s="36"/>
      <c r="N23" s="36"/>
      <c r="O23" s="33"/>
      <c r="P23" s="32" t="s">
        <v>189</v>
      </c>
      <c r="Q23" s="129"/>
      <c r="R23" s="129"/>
      <c r="S23" s="129"/>
      <c r="T23" s="129">
        <f>CZ23</f>
        <v>190</v>
      </c>
      <c r="U23" s="129"/>
      <c r="V23" s="129"/>
      <c r="W23" s="129"/>
      <c r="X23" s="129"/>
      <c r="Y23" s="129"/>
      <c r="Z23" s="129"/>
      <c r="AA23" s="129"/>
      <c r="AB23" s="129"/>
      <c r="AC23" s="32"/>
      <c r="AD23" s="39"/>
      <c r="AE23" s="39"/>
      <c r="AF23" s="37"/>
      <c r="AG23" s="37"/>
      <c r="AH23" s="158"/>
      <c r="AI23" s="160"/>
      <c r="AJ23" s="37"/>
      <c r="AK23" s="46"/>
      <c r="AL23" s="47"/>
      <c r="AM23" s="162"/>
      <c r="AN23" s="39"/>
      <c r="AO23" s="97"/>
      <c r="AP23" s="39"/>
      <c r="AQ23" s="160"/>
      <c r="AR23" s="39"/>
      <c r="AS23" s="40"/>
      <c r="AT23" s="39"/>
      <c r="AU23" s="48"/>
      <c r="AV23" s="49"/>
      <c r="AW23" s="48"/>
      <c r="AY23" s="39"/>
      <c r="AZ23" s="46"/>
      <c r="BA23" s="39"/>
      <c r="BB23" s="39"/>
      <c r="BC23" s="50"/>
      <c r="BE23" s="39"/>
      <c r="BF23" s="40"/>
      <c r="BG23" s="39"/>
      <c r="BH23" s="39"/>
      <c r="BI23" s="39"/>
      <c r="BJ23" s="39"/>
      <c r="BK23" s="50"/>
      <c r="BM23" s="39"/>
      <c r="BN23" s="120"/>
      <c r="BO23" s="39"/>
      <c r="BP23" s="39"/>
      <c r="BQ23" s="92"/>
      <c r="BR23" s="59"/>
      <c r="BS23" s="50"/>
      <c r="BU23" s="39"/>
      <c r="BV23" s="120"/>
      <c r="BW23" s="118"/>
      <c r="BX23" s="118"/>
      <c r="BY23" s="50"/>
      <c r="CA23" s="39"/>
      <c r="CB23" s="136"/>
      <c r="CC23" s="118"/>
      <c r="CD23" s="118"/>
      <c r="CE23" s="92"/>
      <c r="CF23" s="92"/>
      <c r="CG23" s="50"/>
      <c r="CI23" s="159">
        <v>320</v>
      </c>
      <c r="CJ23" s="169">
        <v>1</v>
      </c>
      <c r="CK23" s="165">
        <f t="shared" si="2"/>
        <v>320</v>
      </c>
      <c r="CL23" s="92">
        <f t="shared" si="3"/>
        <v>320</v>
      </c>
      <c r="CM23" s="50" t="s">
        <v>218</v>
      </c>
      <c r="CN23" s="139"/>
      <c r="CO23" s="159">
        <v>184.5</v>
      </c>
      <c r="CP23" s="169">
        <v>1</v>
      </c>
      <c r="CQ23" s="165">
        <f t="shared" si="4"/>
        <v>184.5</v>
      </c>
      <c r="CR23" s="168">
        <f t="shared" si="5"/>
        <v>-135.5</v>
      </c>
      <c r="CS23" s="91" t="s">
        <v>219</v>
      </c>
      <c r="CT23" s="139"/>
      <c r="CU23" s="159">
        <v>184.5</v>
      </c>
      <c r="CV23" s="169">
        <v>1</v>
      </c>
      <c r="CW23" s="165">
        <f t="shared" si="6"/>
        <v>184.5</v>
      </c>
      <c r="CX23" s="159">
        <v>190</v>
      </c>
      <c r="CY23" s="169">
        <v>1</v>
      </c>
      <c r="CZ23" s="165">
        <f t="shared" si="23"/>
        <v>190</v>
      </c>
      <c r="DA23" s="168">
        <f t="shared" si="8"/>
        <v>5.5</v>
      </c>
      <c r="DB23" s="168">
        <f t="shared" si="9"/>
        <v>5.5</v>
      </c>
      <c r="DC23" s="168"/>
      <c r="DF23" s="159">
        <v>190</v>
      </c>
      <c r="DG23" s="169">
        <v>1</v>
      </c>
      <c r="DH23" s="165">
        <f t="shared" si="10"/>
        <v>190</v>
      </c>
      <c r="DI23" s="168">
        <f t="shared" si="11"/>
        <v>0</v>
      </c>
      <c r="DJ23" s="168">
        <f t="shared" si="12"/>
        <v>5.5</v>
      </c>
      <c r="DK23" s="168"/>
      <c r="DL23" s="168"/>
      <c r="DM23" s="168"/>
      <c r="DN23" s="168">
        <f t="shared" si="13"/>
        <v>189.005</v>
      </c>
      <c r="DO23" s="165">
        <v>0</v>
      </c>
      <c r="DP23" s="165">
        <v>0</v>
      </c>
      <c r="DQ23" s="165">
        <v>0</v>
      </c>
      <c r="DR23" s="165">
        <v>0</v>
      </c>
      <c r="DS23" s="165">
        <v>3.0049999999999999</v>
      </c>
      <c r="DT23" s="165">
        <v>30</v>
      </c>
      <c r="DU23" s="165">
        <v>51</v>
      </c>
      <c r="DV23" s="165">
        <v>0</v>
      </c>
      <c r="DW23" s="165">
        <v>100</v>
      </c>
      <c r="DX23" s="165">
        <v>5</v>
      </c>
      <c r="DY23" s="165">
        <v>0</v>
      </c>
      <c r="DZ23" s="165">
        <v>0</v>
      </c>
    </row>
    <row r="24" spans="1:131" s="91" customFormat="1" ht="16.25" hidden="1" customHeight="1" x14ac:dyDescent="0.4">
      <c r="A24" s="32" t="s">
        <v>97</v>
      </c>
      <c r="B24" s="32" t="s">
        <v>29</v>
      </c>
      <c r="C24" s="32" t="s">
        <v>20</v>
      </c>
      <c r="D24" s="32" t="s">
        <v>221</v>
      </c>
      <c r="E24" s="87" t="s">
        <v>222</v>
      </c>
      <c r="F24" s="87" t="s">
        <v>223</v>
      </c>
      <c r="G24" s="32" t="s">
        <v>101</v>
      </c>
      <c r="H24" s="32" t="s">
        <v>224</v>
      </c>
      <c r="I24" s="16"/>
      <c r="J24" s="38" t="s">
        <v>225</v>
      </c>
      <c r="K24" s="36"/>
      <c r="L24" s="36"/>
      <c r="M24" s="36"/>
      <c r="N24" s="36"/>
      <c r="O24" s="38"/>
      <c r="P24" s="32" t="s">
        <v>193</v>
      </c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32"/>
      <c r="AD24" s="37"/>
      <c r="AE24" s="37"/>
      <c r="AF24" s="37"/>
      <c r="AG24" s="37"/>
      <c r="AH24" s="158"/>
      <c r="AI24" s="158"/>
      <c r="AJ24" s="37">
        <v>0</v>
      </c>
      <c r="AK24" s="46">
        <v>0</v>
      </c>
      <c r="AL24" s="47">
        <f>AJ24*AK24</f>
        <v>0</v>
      </c>
      <c r="AM24" s="162"/>
      <c r="AN24" s="39">
        <v>0</v>
      </c>
      <c r="AO24" s="97">
        <v>0</v>
      </c>
      <c r="AP24" s="39">
        <v>0</v>
      </c>
      <c r="AQ24" s="160"/>
      <c r="AR24" s="45">
        <v>400</v>
      </c>
      <c r="AS24" s="46">
        <v>0.5</v>
      </c>
      <c r="AT24" s="37">
        <f>AR24*AS24</f>
        <v>200</v>
      </c>
      <c r="AU24" s="48"/>
      <c r="AV24" s="49">
        <f>AU24*AS24</f>
        <v>0</v>
      </c>
      <c r="AW24" s="48"/>
      <c r="AY24" s="45">
        <v>400</v>
      </c>
      <c r="AZ24" s="46">
        <v>0.5</v>
      </c>
      <c r="BA24" s="37">
        <f>AY24*AZ24</f>
        <v>200</v>
      </c>
      <c r="BB24" s="39">
        <f>BA24-AT24</f>
        <v>0</v>
      </c>
      <c r="BC24" s="50"/>
      <c r="BE24" s="45">
        <v>400</v>
      </c>
      <c r="BF24" s="52">
        <v>0.5</v>
      </c>
      <c r="BG24" s="37">
        <f>BE24*BF24</f>
        <v>200</v>
      </c>
      <c r="BH24" s="37"/>
      <c r="BI24" s="39">
        <f>BG24-BA24</f>
        <v>0</v>
      </c>
      <c r="BJ24" s="39"/>
      <c r="BK24" s="50"/>
      <c r="BM24" s="45">
        <v>50</v>
      </c>
      <c r="BN24" s="52">
        <v>0.5</v>
      </c>
      <c r="BO24" s="37">
        <f>BM24*BN24</f>
        <v>25</v>
      </c>
      <c r="BP24" s="37"/>
      <c r="BQ24" s="92">
        <f>BO24-BA24</f>
        <v>-175</v>
      </c>
      <c r="BR24" s="34" t="s">
        <v>106</v>
      </c>
      <c r="BS24" s="50"/>
      <c r="BU24" s="45">
        <v>50</v>
      </c>
      <c r="BV24" s="52">
        <v>0.5</v>
      </c>
      <c r="BW24" s="118">
        <f>BU24*BV24</f>
        <v>25</v>
      </c>
      <c r="BX24" s="118">
        <f>BW24-BO24</f>
        <v>0</v>
      </c>
      <c r="BY24" s="50"/>
      <c r="CA24" s="45">
        <v>50</v>
      </c>
      <c r="CB24" s="52">
        <v>0</v>
      </c>
      <c r="CC24" s="118">
        <f>CA24*CB24</f>
        <v>0</v>
      </c>
      <c r="CD24" s="118"/>
      <c r="CE24" s="92">
        <f>CC24-BW24</f>
        <v>-25</v>
      </c>
      <c r="CF24" s="92">
        <f>CC24-BO24</f>
        <v>-25</v>
      </c>
      <c r="CG24" s="50"/>
      <c r="CI24" s="160">
        <v>50</v>
      </c>
      <c r="CJ24" s="167">
        <v>0</v>
      </c>
      <c r="CK24" s="165">
        <f t="shared" si="2"/>
        <v>0</v>
      </c>
      <c r="CL24" s="92">
        <f t="shared" si="3"/>
        <v>0</v>
      </c>
      <c r="CM24" s="50"/>
      <c r="CO24" s="160">
        <v>50</v>
      </c>
      <c r="CP24" s="167">
        <v>0</v>
      </c>
      <c r="CQ24" s="165">
        <f t="shared" si="4"/>
        <v>0</v>
      </c>
      <c r="CR24" s="168">
        <f t="shared" si="5"/>
        <v>0</v>
      </c>
      <c r="CU24" s="160">
        <v>50</v>
      </c>
      <c r="CV24" s="167">
        <v>0</v>
      </c>
      <c r="CW24" s="165">
        <f t="shared" si="6"/>
        <v>0</v>
      </c>
      <c r="CX24" s="160">
        <v>50</v>
      </c>
      <c r="CY24" s="167">
        <v>0</v>
      </c>
      <c r="CZ24" s="165">
        <f t="shared" si="23"/>
        <v>0</v>
      </c>
      <c r="DA24" s="168">
        <f t="shared" si="8"/>
        <v>0</v>
      </c>
      <c r="DB24" s="168">
        <f t="shared" si="9"/>
        <v>0</v>
      </c>
      <c r="DC24" s="168"/>
      <c r="DF24" s="160">
        <v>50</v>
      </c>
      <c r="DG24" s="167">
        <v>0</v>
      </c>
      <c r="DH24" s="165">
        <f t="shared" si="10"/>
        <v>0</v>
      </c>
      <c r="DI24" s="168">
        <f t="shared" si="11"/>
        <v>0</v>
      </c>
      <c r="DJ24" s="168">
        <f t="shared" si="12"/>
        <v>0</v>
      </c>
      <c r="DK24" s="168"/>
      <c r="DL24" s="168"/>
      <c r="DM24" s="168"/>
      <c r="DN24" s="168">
        <f t="shared" si="13"/>
        <v>0</v>
      </c>
      <c r="DO24" s="165">
        <v>0</v>
      </c>
      <c r="DP24" s="165">
        <v>0</v>
      </c>
      <c r="DQ24" s="165">
        <v>0</v>
      </c>
      <c r="DR24" s="165">
        <v>0</v>
      </c>
      <c r="DS24" s="165">
        <v>0</v>
      </c>
      <c r="DT24" s="165">
        <v>0</v>
      </c>
      <c r="DU24" s="165">
        <v>0</v>
      </c>
      <c r="DV24" s="165">
        <v>0</v>
      </c>
      <c r="DW24" s="165">
        <v>0</v>
      </c>
      <c r="DX24" s="165">
        <v>0</v>
      </c>
      <c r="DY24" s="165">
        <v>0</v>
      </c>
      <c r="DZ24" s="165">
        <v>0</v>
      </c>
    </row>
    <row r="25" spans="1:131" s="91" customFormat="1" ht="16.25" hidden="1" customHeight="1" x14ac:dyDescent="0.4">
      <c r="A25" s="32" t="s">
        <v>97</v>
      </c>
      <c r="B25" s="32" t="s">
        <v>29</v>
      </c>
      <c r="C25" s="32" t="s">
        <v>20</v>
      </c>
      <c r="D25" s="32" t="s">
        <v>226</v>
      </c>
      <c r="E25" s="87" t="s">
        <v>227</v>
      </c>
      <c r="F25" s="87" t="s">
        <v>223</v>
      </c>
      <c r="G25" s="32" t="s">
        <v>101</v>
      </c>
      <c r="H25" s="32" t="s">
        <v>224</v>
      </c>
      <c r="I25" s="16"/>
      <c r="J25" s="38" t="s">
        <v>225</v>
      </c>
      <c r="K25" s="36"/>
      <c r="L25" s="36"/>
      <c r="M25" s="36"/>
      <c r="N25" s="36"/>
      <c r="O25" s="38"/>
      <c r="P25" s="32" t="s">
        <v>193</v>
      </c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32"/>
      <c r="AD25" s="37"/>
      <c r="AE25" s="37"/>
      <c r="AF25" s="37"/>
      <c r="AG25" s="37"/>
      <c r="AH25" s="158"/>
      <c r="AI25" s="158"/>
      <c r="AJ25" s="37">
        <v>0</v>
      </c>
      <c r="AK25" s="46">
        <v>0</v>
      </c>
      <c r="AL25" s="47">
        <f>AJ25*AK25</f>
        <v>0</v>
      </c>
      <c r="AM25" s="162"/>
      <c r="AN25" s="39">
        <v>0</v>
      </c>
      <c r="AO25" s="97">
        <v>0</v>
      </c>
      <c r="AP25" s="39">
        <v>0</v>
      </c>
      <c r="AQ25" s="160"/>
      <c r="AR25" s="45">
        <v>300</v>
      </c>
      <c r="AS25" s="46">
        <v>0.5</v>
      </c>
      <c r="AT25" s="37">
        <f>AR25*AS25</f>
        <v>150</v>
      </c>
      <c r="AU25" s="48"/>
      <c r="AV25" s="49">
        <f>AU25*AS25</f>
        <v>0</v>
      </c>
      <c r="AW25" s="48"/>
      <c r="AY25" s="45">
        <v>300</v>
      </c>
      <c r="AZ25" s="46">
        <v>0.5</v>
      </c>
      <c r="BA25" s="37">
        <f>AY25*AZ25</f>
        <v>150</v>
      </c>
      <c r="BB25" s="39">
        <f>BA25-AT25</f>
        <v>0</v>
      </c>
      <c r="BC25" s="50"/>
      <c r="BE25" s="45">
        <v>300</v>
      </c>
      <c r="BF25" s="46">
        <v>0.5</v>
      </c>
      <c r="BG25" s="37">
        <f>BE25*BF25</f>
        <v>150</v>
      </c>
      <c r="BH25" s="37"/>
      <c r="BI25" s="39">
        <f>BG25-BA25</f>
        <v>0</v>
      </c>
      <c r="BJ25" s="39"/>
      <c r="BK25" s="50"/>
      <c r="BM25" s="45">
        <v>100</v>
      </c>
      <c r="BN25" s="46">
        <v>0.5</v>
      </c>
      <c r="BO25" s="37">
        <f>BM25*BN25</f>
        <v>50</v>
      </c>
      <c r="BP25" s="37"/>
      <c r="BQ25" s="92">
        <f>BO25-BA25</f>
        <v>-100</v>
      </c>
      <c r="BR25" s="59"/>
      <c r="BS25" s="50"/>
      <c r="BU25" s="45">
        <v>100</v>
      </c>
      <c r="BV25" s="46">
        <v>0.5</v>
      </c>
      <c r="BW25" s="118">
        <f>BU25*BV25</f>
        <v>50</v>
      </c>
      <c r="BX25" s="118">
        <f>BW25-BO25</f>
        <v>0</v>
      </c>
      <c r="BY25" s="50"/>
      <c r="CA25" s="45">
        <v>100</v>
      </c>
      <c r="CB25" s="46">
        <v>0</v>
      </c>
      <c r="CC25" s="118">
        <f>CA25*CB25</f>
        <v>0</v>
      </c>
      <c r="CD25" s="118"/>
      <c r="CE25" s="92">
        <f>CC25-BW25</f>
        <v>-50</v>
      </c>
      <c r="CF25" s="92">
        <f>CC25-BO25</f>
        <v>-50</v>
      </c>
      <c r="CG25" s="50"/>
      <c r="CI25" s="160">
        <v>100</v>
      </c>
      <c r="CJ25" s="164">
        <v>0</v>
      </c>
      <c r="CK25" s="165">
        <f t="shared" si="2"/>
        <v>0</v>
      </c>
      <c r="CL25" s="92">
        <f t="shared" si="3"/>
        <v>0</v>
      </c>
      <c r="CM25" s="50"/>
      <c r="CO25" s="160">
        <v>100</v>
      </c>
      <c r="CP25" s="164">
        <v>0</v>
      </c>
      <c r="CQ25" s="165">
        <f t="shared" si="4"/>
        <v>0</v>
      </c>
      <c r="CR25" s="168">
        <f t="shared" si="5"/>
        <v>0</v>
      </c>
      <c r="CU25" s="160">
        <v>100</v>
      </c>
      <c r="CV25" s="164">
        <v>0</v>
      </c>
      <c r="CW25" s="165">
        <f t="shared" si="6"/>
        <v>0</v>
      </c>
      <c r="CX25" s="160">
        <v>100</v>
      </c>
      <c r="CY25" s="164">
        <v>0</v>
      </c>
      <c r="CZ25" s="165">
        <f t="shared" si="23"/>
        <v>0</v>
      </c>
      <c r="DA25" s="168">
        <f t="shared" si="8"/>
        <v>0</v>
      </c>
      <c r="DB25" s="168">
        <f t="shared" si="9"/>
        <v>0</v>
      </c>
      <c r="DC25" s="168"/>
      <c r="DF25" s="160">
        <v>100</v>
      </c>
      <c r="DG25" s="164">
        <v>0</v>
      </c>
      <c r="DH25" s="165">
        <f t="shared" si="10"/>
        <v>0</v>
      </c>
      <c r="DI25" s="168">
        <f t="shared" si="11"/>
        <v>0</v>
      </c>
      <c r="DJ25" s="168">
        <f t="shared" si="12"/>
        <v>0</v>
      </c>
      <c r="DK25" s="168"/>
      <c r="DL25" s="168"/>
      <c r="DM25" s="168"/>
      <c r="DN25" s="168">
        <f t="shared" si="13"/>
        <v>0</v>
      </c>
      <c r="DO25" s="165">
        <v>0</v>
      </c>
      <c r="DP25" s="165">
        <v>0</v>
      </c>
      <c r="DQ25" s="165">
        <v>0</v>
      </c>
      <c r="DR25" s="165">
        <v>0</v>
      </c>
      <c r="DS25" s="165">
        <v>0</v>
      </c>
      <c r="DT25" s="165">
        <v>0</v>
      </c>
      <c r="DU25" s="165">
        <v>0</v>
      </c>
      <c r="DV25" s="165">
        <v>0</v>
      </c>
      <c r="DW25" s="165">
        <v>0</v>
      </c>
      <c r="DX25" s="165">
        <v>0</v>
      </c>
      <c r="DY25" s="165">
        <v>0</v>
      </c>
      <c r="DZ25" s="165">
        <v>0</v>
      </c>
    </row>
    <row r="26" spans="1:131" s="91" customFormat="1" ht="16.25" hidden="1" customHeight="1" x14ac:dyDescent="0.4">
      <c r="A26" s="32" t="s">
        <v>97</v>
      </c>
      <c r="B26" s="32" t="s">
        <v>29</v>
      </c>
      <c r="C26" s="32" t="s">
        <v>20</v>
      </c>
      <c r="D26" s="32" t="s">
        <v>228</v>
      </c>
      <c r="E26" s="87" t="s">
        <v>507</v>
      </c>
      <c r="F26" s="87" t="s">
        <v>100</v>
      </c>
      <c r="G26" s="32" t="s">
        <v>101</v>
      </c>
      <c r="H26" s="32" t="s">
        <v>214</v>
      </c>
      <c r="I26" s="51"/>
      <c r="J26" s="38" t="s">
        <v>229</v>
      </c>
      <c r="K26" s="36"/>
      <c r="L26" s="36"/>
      <c r="M26" s="36"/>
      <c r="N26" s="36"/>
      <c r="O26" s="38"/>
      <c r="P26" s="32" t="s">
        <v>230</v>
      </c>
      <c r="Q26" s="129"/>
      <c r="R26" s="129"/>
      <c r="S26" s="129"/>
      <c r="T26" s="50"/>
      <c r="V26" s="129">
        <f>CC26</f>
        <v>200</v>
      </c>
      <c r="W26" s="129"/>
      <c r="X26" s="129"/>
      <c r="Y26" s="129"/>
      <c r="Z26" s="129"/>
      <c r="AA26" s="129"/>
      <c r="AB26" s="129"/>
      <c r="AC26" s="32"/>
      <c r="AD26" s="37">
        <v>1200</v>
      </c>
      <c r="AE26" s="37"/>
      <c r="AF26" s="37"/>
      <c r="AG26" s="37"/>
      <c r="AH26" s="158"/>
      <c r="AI26" s="158"/>
      <c r="AJ26" s="37">
        <v>0</v>
      </c>
      <c r="AK26" s="46">
        <v>0</v>
      </c>
      <c r="AL26" s="47">
        <f>AJ26*AK26</f>
        <v>0</v>
      </c>
      <c r="AM26" s="162"/>
      <c r="AN26" s="39">
        <v>0</v>
      </c>
      <c r="AO26" s="97">
        <v>0</v>
      </c>
      <c r="AP26" s="39">
        <v>0</v>
      </c>
      <c r="AQ26" s="160"/>
      <c r="AR26" s="45">
        <v>1200</v>
      </c>
      <c r="AS26" s="46">
        <v>0.5</v>
      </c>
      <c r="AT26" s="37">
        <f>AR26*AS26</f>
        <v>600</v>
      </c>
      <c r="AU26" s="48"/>
      <c r="AV26" s="49"/>
      <c r="AW26" s="48"/>
      <c r="AY26" s="45">
        <v>1200</v>
      </c>
      <c r="AZ26" s="46">
        <v>0.5</v>
      </c>
      <c r="BA26" s="37">
        <f>AY26*AZ26</f>
        <v>600</v>
      </c>
      <c r="BB26" s="39">
        <f>BA26-AT26</f>
        <v>0</v>
      </c>
      <c r="BC26" s="50"/>
      <c r="BE26" s="45">
        <v>1200</v>
      </c>
      <c r="BF26" s="46">
        <v>0.5</v>
      </c>
      <c r="BG26" s="37">
        <f>BE26*BF26</f>
        <v>600</v>
      </c>
      <c r="BH26" s="37"/>
      <c r="BI26" s="39">
        <f>BG26-BA26</f>
        <v>0</v>
      </c>
      <c r="BJ26" s="39"/>
      <c r="BK26" s="50"/>
      <c r="BM26" s="45">
        <v>400</v>
      </c>
      <c r="BN26" s="46">
        <v>0.5</v>
      </c>
      <c r="BO26" s="37">
        <f>BM26*BN26</f>
        <v>200</v>
      </c>
      <c r="BP26" s="37"/>
      <c r="BQ26" s="92">
        <f>BO26-BA26</f>
        <v>-400</v>
      </c>
      <c r="BR26" s="59"/>
      <c r="BS26" s="50"/>
      <c r="BU26" s="45">
        <v>400</v>
      </c>
      <c r="BV26" s="46">
        <v>0.5</v>
      </c>
      <c r="BW26" s="118">
        <f>BU26*BV26</f>
        <v>200</v>
      </c>
      <c r="BX26" s="118">
        <f>BW26-BO26</f>
        <v>0</v>
      </c>
      <c r="BY26" s="50"/>
      <c r="CA26" s="45">
        <v>400</v>
      </c>
      <c r="CB26" s="46">
        <v>0.5</v>
      </c>
      <c r="CC26" s="118">
        <f>CA26*CB26</f>
        <v>200</v>
      </c>
      <c r="CD26" s="118"/>
      <c r="CE26" s="92">
        <f>CC26-BW26</f>
        <v>0</v>
      </c>
      <c r="CF26" s="92">
        <f>CC26-BO26</f>
        <v>0</v>
      </c>
      <c r="CG26" s="50"/>
      <c r="CI26" s="160">
        <v>400</v>
      </c>
      <c r="CJ26" s="164">
        <v>0.5</v>
      </c>
      <c r="CK26" s="165">
        <f t="shared" si="2"/>
        <v>200</v>
      </c>
      <c r="CL26" s="92">
        <f t="shared" si="3"/>
        <v>0</v>
      </c>
      <c r="CM26" s="50"/>
      <c r="CO26" s="160">
        <v>400</v>
      </c>
      <c r="CP26" s="164">
        <v>0.5</v>
      </c>
      <c r="CQ26" s="165">
        <f t="shared" si="4"/>
        <v>200</v>
      </c>
      <c r="CR26" s="168">
        <f t="shared" si="5"/>
        <v>0</v>
      </c>
      <c r="CS26" s="91" t="s">
        <v>231</v>
      </c>
      <c r="CU26" s="160">
        <v>400</v>
      </c>
      <c r="CV26" s="164">
        <v>0.5</v>
      </c>
      <c r="CW26" s="165">
        <f t="shared" si="6"/>
        <v>200</v>
      </c>
      <c r="CX26" s="160">
        <v>400</v>
      </c>
      <c r="CY26" s="164">
        <v>0.5</v>
      </c>
      <c r="CZ26" s="165">
        <f t="shared" si="23"/>
        <v>200</v>
      </c>
      <c r="DA26" s="168">
        <f t="shared" si="8"/>
        <v>0</v>
      </c>
      <c r="DB26" s="168">
        <f t="shared" si="9"/>
        <v>0</v>
      </c>
      <c r="DC26" s="168"/>
      <c r="DF26" s="160">
        <v>400</v>
      </c>
      <c r="DG26" s="164">
        <v>0.5</v>
      </c>
      <c r="DH26" s="165">
        <f t="shared" si="10"/>
        <v>200</v>
      </c>
      <c r="DI26" s="168">
        <f t="shared" si="11"/>
        <v>0</v>
      </c>
      <c r="DJ26" s="168">
        <f t="shared" si="12"/>
        <v>0</v>
      </c>
      <c r="DK26" s="168"/>
      <c r="DL26" s="168"/>
      <c r="DM26" s="168"/>
      <c r="DN26" s="168">
        <f t="shared" si="13"/>
        <v>200</v>
      </c>
      <c r="DO26" s="165">
        <v>0</v>
      </c>
      <c r="DP26" s="165">
        <v>0</v>
      </c>
      <c r="DQ26" s="165">
        <v>0</v>
      </c>
      <c r="DR26" s="165">
        <v>0</v>
      </c>
      <c r="DS26" s="165">
        <v>0</v>
      </c>
      <c r="DT26" s="165">
        <v>0</v>
      </c>
      <c r="DU26" s="165">
        <v>0</v>
      </c>
      <c r="DV26" s="165">
        <v>0</v>
      </c>
      <c r="DW26" s="165">
        <v>200</v>
      </c>
      <c r="DX26" s="165">
        <v>0</v>
      </c>
      <c r="DY26" s="165">
        <v>0</v>
      </c>
      <c r="DZ26" s="165">
        <v>0</v>
      </c>
      <c r="EA26" s="168"/>
    </row>
    <row r="27" spans="1:131" s="91" customFormat="1" ht="16.25" hidden="1" customHeight="1" x14ac:dyDescent="0.4">
      <c r="A27" s="32" t="s">
        <v>97</v>
      </c>
      <c r="B27" s="32" t="s">
        <v>29</v>
      </c>
      <c r="C27" s="32" t="s">
        <v>20</v>
      </c>
      <c r="D27" s="16" t="s">
        <v>232</v>
      </c>
      <c r="E27" s="87" t="s">
        <v>233</v>
      </c>
      <c r="F27" s="87" t="s">
        <v>114</v>
      </c>
      <c r="G27" s="32" t="s">
        <v>101</v>
      </c>
      <c r="H27" s="32" t="s">
        <v>182</v>
      </c>
      <c r="I27" s="51" t="s">
        <v>159</v>
      </c>
      <c r="J27" s="33" t="s">
        <v>234</v>
      </c>
      <c r="K27" s="36"/>
      <c r="L27" s="36"/>
      <c r="M27" s="68" t="s">
        <v>235</v>
      </c>
      <c r="N27" s="36"/>
      <c r="O27" s="33" t="s">
        <v>236</v>
      </c>
      <c r="P27" s="32" t="s">
        <v>193</v>
      </c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32"/>
      <c r="AD27" s="37">
        <v>6000</v>
      </c>
      <c r="AE27" s="37"/>
      <c r="AF27" s="37"/>
      <c r="AG27" s="37"/>
      <c r="AH27" s="158"/>
      <c r="AI27" s="160"/>
      <c r="AJ27" s="37">
        <v>2222</v>
      </c>
      <c r="AK27" s="46">
        <v>0.9</v>
      </c>
      <c r="AL27" s="47">
        <f>AJ27*AK27</f>
        <v>1999.8</v>
      </c>
      <c r="AM27" s="162"/>
      <c r="AN27" s="39">
        <f>VLOOKUP(D27,'May FF'!B$2:E$201,2,0)</f>
        <v>5040000</v>
      </c>
      <c r="AO27" s="97">
        <v>0</v>
      </c>
      <c r="AP27" s="39">
        <v>0</v>
      </c>
      <c r="AQ27" s="160"/>
      <c r="AR27" s="45">
        <v>5600</v>
      </c>
      <c r="AS27" s="46">
        <v>0.9</v>
      </c>
      <c r="AT27" s="37">
        <f>AR27*AS27</f>
        <v>5040</v>
      </c>
      <c r="AU27" s="48"/>
      <c r="AV27" s="49">
        <f>AU27*AS27</f>
        <v>0</v>
      </c>
      <c r="AW27" s="48" t="s">
        <v>237</v>
      </c>
      <c r="AY27" s="45">
        <v>5600</v>
      </c>
      <c r="AZ27" s="46">
        <v>0.9</v>
      </c>
      <c r="BA27" s="37">
        <f>AY27*AZ27</f>
        <v>5040</v>
      </c>
      <c r="BB27" s="39">
        <f>BA27-AT27</f>
        <v>0</v>
      </c>
      <c r="BC27" s="78" t="s">
        <v>238</v>
      </c>
      <c r="BE27" s="45">
        <v>5600</v>
      </c>
      <c r="BF27" s="46">
        <v>0.9</v>
      </c>
      <c r="BG27" s="37">
        <f>BE27*BF27</f>
        <v>5040</v>
      </c>
      <c r="BH27" s="37"/>
      <c r="BI27" s="39">
        <f>BG27-BA27</f>
        <v>0</v>
      </c>
      <c r="BJ27" s="39"/>
      <c r="BK27" s="78" t="s">
        <v>239</v>
      </c>
      <c r="BL27" s="154"/>
      <c r="BM27" s="45">
        <v>6000</v>
      </c>
      <c r="BN27" s="46">
        <v>0.9</v>
      </c>
      <c r="BO27" s="37">
        <f>BM27*BN27</f>
        <v>5400</v>
      </c>
      <c r="BP27" s="37">
        <f>VLOOKUP(D27,'May FF'!B$3:C$38,2,0)/1000</f>
        <v>5040</v>
      </c>
      <c r="BQ27" s="92">
        <f>BO27-BA27</f>
        <v>360</v>
      </c>
      <c r="BR27" s="34" t="s">
        <v>153</v>
      </c>
      <c r="BS27" s="50" t="s">
        <v>240</v>
      </c>
      <c r="BU27" s="45">
        <v>6000</v>
      </c>
      <c r="BV27" s="46">
        <v>0.9</v>
      </c>
      <c r="BW27" s="118">
        <f>BU27*BV27</f>
        <v>5400</v>
      </c>
      <c r="BX27" s="118">
        <f>BW27-BO27</f>
        <v>0</v>
      </c>
      <c r="BY27" s="50"/>
      <c r="CA27" s="45">
        <v>6000</v>
      </c>
      <c r="CB27" s="46">
        <v>0.9</v>
      </c>
      <c r="CC27" s="118">
        <f>CA27*CB27</f>
        <v>5400</v>
      </c>
      <c r="CD27" s="118"/>
      <c r="CE27" s="92">
        <f>CC27-BW27</f>
        <v>0</v>
      </c>
      <c r="CF27" s="92">
        <f>CC27-BO27</f>
        <v>0</v>
      </c>
      <c r="CG27" s="50"/>
      <c r="CI27" s="160">
        <v>0</v>
      </c>
      <c r="CJ27" s="164">
        <v>0</v>
      </c>
      <c r="CK27" s="165">
        <f t="shared" si="2"/>
        <v>0</v>
      </c>
      <c r="CL27" s="92">
        <f t="shared" si="3"/>
        <v>-5400</v>
      </c>
      <c r="CM27" s="50"/>
      <c r="CO27" s="160">
        <v>0</v>
      </c>
      <c r="CP27" s="164">
        <v>0</v>
      </c>
      <c r="CQ27" s="165">
        <f t="shared" si="4"/>
        <v>0</v>
      </c>
      <c r="CR27" s="168">
        <f t="shared" si="5"/>
        <v>0</v>
      </c>
      <c r="CU27" s="160">
        <v>0</v>
      </c>
      <c r="CV27" s="164">
        <v>0</v>
      </c>
      <c r="CW27" s="165">
        <f t="shared" si="6"/>
        <v>0</v>
      </c>
      <c r="CX27" s="160">
        <v>0</v>
      </c>
      <c r="CY27" s="164">
        <v>0</v>
      </c>
      <c r="CZ27" s="165">
        <f t="shared" si="23"/>
        <v>0</v>
      </c>
      <c r="DA27" s="168">
        <f t="shared" si="8"/>
        <v>0</v>
      </c>
      <c r="DB27" s="168">
        <f t="shared" si="9"/>
        <v>0</v>
      </c>
      <c r="DC27" s="168"/>
      <c r="DF27" s="160">
        <v>0</v>
      </c>
      <c r="DG27" s="164">
        <v>0</v>
      </c>
      <c r="DH27" s="165">
        <f t="shared" si="10"/>
        <v>0</v>
      </c>
      <c r="DI27" s="168">
        <f t="shared" si="11"/>
        <v>0</v>
      </c>
      <c r="DJ27" s="168">
        <f t="shared" si="12"/>
        <v>0</v>
      </c>
      <c r="DK27" s="168"/>
      <c r="DL27" s="168"/>
      <c r="DM27" s="168"/>
      <c r="DN27" s="168">
        <f t="shared" si="13"/>
        <v>0</v>
      </c>
      <c r="DO27" s="165">
        <v>0</v>
      </c>
      <c r="DP27" s="165">
        <v>0</v>
      </c>
      <c r="DQ27" s="165">
        <v>0</v>
      </c>
      <c r="DR27" s="165">
        <v>0</v>
      </c>
      <c r="DS27" s="165">
        <v>0</v>
      </c>
      <c r="DT27" s="165">
        <v>0</v>
      </c>
      <c r="DU27" s="165">
        <v>0</v>
      </c>
      <c r="DV27" s="165">
        <v>0</v>
      </c>
      <c r="DW27" s="165">
        <v>0</v>
      </c>
      <c r="DX27" s="165">
        <v>0</v>
      </c>
      <c r="DY27" s="165">
        <v>0</v>
      </c>
      <c r="DZ27" s="165">
        <v>0</v>
      </c>
    </row>
    <row r="28" spans="1:131" s="91" customFormat="1" ht="16.25" hidden="1" customHeight="1" x14ac:dyDescent="0.4">
      <c r="A28" s="32" t="s">
        <v>97</v>
      </c>
      <c r="B28" s="32" t="s">
        <v>29</v>
      </c>
      <c r="C28" s="32" t="s">
        <v>20</v>
      </c>
      <c r="D28" s="32" t="s">
        <v>241</v>
      </c>
      <c r="E28" s="87" t="s">
        <v>242</v>
      </c>
      <c r="F28" s="87" t="s">
        <v>110</v>
      </c>
      <c r="G28" s="32" t="s">
        <v>101</v>
      </c>
      <c r="H28" s="32" t="s">
        <v>182</v>
      </c>
      <c r="I28" s="51" t="s">
        <v>243</v>
      </c>
      <c r="J28" s="50"/>
      <c r="K28" s="36"/>
      <c r="L28" s="36"/>
      <c r="M28" s="36" t="s">
        <v>184</v>
      </c>
      <c r="N28" s="36" t="s">
        <v>244</v>
      </c>
      <c r="O28" s="50"/>
      <c r="P28" s="32" t="s">
        <v>193</v>
      </c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32"/>
      <c r="AD28" s="37">
        <v>800</v>
      </c>
      <c r="AE28" s="37">
        <v>250</v>
      </c>
      <c r="AF28" s="37"/>
      <c r="AG28" s="37"/>
      <c r="AH28" s="158"/>
      <c r="AI28" s="160"/>
      <c r="AJ28" s="37">
        <v>0</v>
      </c>
      <c r="AK28" s="46">
        <v>0</v>
      </c>
      <c r="AL28" s="47">
        <f>AJ28*AK28</f>
        <v>0</v>
      </c>
      <c r="AM28" s="162"/>
      <c r="AN28" s="39">
        <v>0</v>
      </c>
      <c r="AO28" s="97">
        <v>0</v>
      </c>
      <c r="AP28" s="39">
        <v>0</v>
      </c>
      <c r="AQ28" s="163"/>
      <c r="AR28" s="37">
        <v>800</v>
      </c>
      <c r="AS28" s="46">
        <v>0.75</v>
      </c>
      <c r="AT28" s="37">
        <f>AR28*AS28</f>
        <v>600</v>
      </c>
      <c r="AU28" s="60"/>
      <c r="AV28" s="49">
        <f>AU28*AS28</f>
        <v>0</v>
      </c>
      <c r="AW28" s="60"/>
      <c r="AX28" s="154"/>
      <c r="AY28" s="37">
        <v>800</v>
      </c>
      <c r="AZ28" s="46">
        <v>0.75</v>
      </c>
      <c r="BA28" s="37">
        <f>AY28*AZ28</f>
        <v>600</v>
      </c>
      <c r="BB28" s="39">
        <f>BA28-AT28</f>
        <v>0</v>
      </c>
      <c r="BC28" s="50" t="s">
        <v>123</v>
      </c>
      <c r="BE28" s="37">
        <v>800</v>
      </c>
      <c r="BF28" s="46">
        <v>0.75</v>
      </c>
      <c r="BG28" s="37">
        <f>BE28*BF28</f>
        <v>600</v>
      </c>
      <c r="BH28" s="37"/>
      <c r="BI28" s="39">
        <f>BG28-BA28</f>
        <v>0</v>
      </c>
      <c r="BJ28" s="39"/>
      <c r="BK28" s="50"/>
      <c r="BM28" s="37">
        <v>800</v>
      </c>
      <c r="BN28" s="46">
        <v>0.75</v>
      </c>
      <c r="BO28" s="37">
        <f>BM28*BN28</f>
        <v>600</v>
      </c>
      <c r="BP28" s="37">
        <f>VLOOKUP(D28,'May FF'!B$3:C$38,2,0)/1000</f>
        <v>600</v>
      </c>
      <c r="BQ28" s="92">
        <f>BO28-BA28</f>
        <v>0</v>
      </c>
      <c r="BR28" s="59"/>
      <c r="BS28" s="50"/>
      <c r="BU28" s="37">
        <v>800</v>
      </c>
      <c r="BV28" s="46">
        <v>0.75</v>
      </c>
      <c r="BW28" s="118">
        <f>BU28*BV28</f>
        <v>600</v>
      </c>
      <c r="BX28" s="118">
        <f>BW28-BO28</f>
        <v>0</v>
      </c>
      <c r="BY28" s="50"/>
      <c r="CA28" s="37">
        <v>800</v>
      </c>
      <c r="CB28" s="46">
        <v>0.75</v>
      </c>
      <c r="CC28" s="118">
        <f>CA28*CB28</f>
        <v>600</v>
      </c>
      <c r="CD28" s="118"/>
      <c r="CE28" s="92">
        <f>CC28-BW28</f>
        <v>0</v>
      </c>
      <c r="CF28" s="92">
        <f>CC28-BO28</f>
        <v>0</v>
      </c>
      <c r="CG28" s="50"/>
      <c r="CI28" s="163">
        <v>800</v>
      </c>
      <c r="CJ28" s="164">
        <v>0.75</v>
      </c>
      <c r="CK28" s="165">
        <f t="shared" si="2"/>
        <v>600</v>
      </c>
      <c r="CL28" s="92">
        <f t="shared" si="3"/>
        <v>0</v>
      </c>
      <c r="CM28" s="50"/>
      <c r="CO28" s="163">
        <v>0</v>
      </c>
      <c r="CP28" s="164">
        <v>0</v>
      </c>
      <c r="CQ28" s="165">
        <f t="shared" si="4"/>
        <v>0</v>
      </c>
      <c r="CR28" s="168">
        <f t="shared" si="5"/>
        <v>-600</v>
      </c>
      <c r="CS28" s="91" t="s">
        <v>245</v>
      </c>
      <c r="CU28" s="163">
        <v>0</v>
      </c>
      <c r="CV28" s="164">
        <v>0</v>
      </c>
      <c r="CW28" s="165">
        <f t="shared" si="6"/>
        <v>0</v>
      </c>
      <c r="CX28" s="163">
        <v>0</v>
      </c>
      <c r="CY28" s="164">
        <v>0</v>
      </c>
      <c r="CZ28" s="165">
        <f t="shared" si="23"/>
        <v>0</v>
      </c>
      <c r="DA28" s="168">
        <f t="shared" si="8"/>
        <v>0</v>
      </c>
      <c r="DB28" s="168">
        <f t="shared" si="9"/>
        <v>0</v>
      </c>
      <c r="DC28" s="168"/>
      <c r="DF28" s="163">
        <v>0</v>
      </c>
      <c r="DG28" s="164">
        <v>0</v>
      </c>
      <c r="DH28" s="165">
        <f t="shared" si="10"/>
        <v>0</v>
      </c>
      <c r="DI28" s="168">
        <f t="shared" si="11"/>
        <v>0</v>
      </c>
      <c r="DJ28" s="168">
        <f t="shared" si="12"/>
        <v>0</v>
      </c>
      <c r="DK28" s="168"/>
      <c r="DL28" s="168"/>
      <c r="DM28" s="168"/>
      <c r="DN28" s="168">
        <f t="shared" si="13"/>
        <v>0</v>
      </c>
      <c r="DO28" s="165" cm="1">
        <f t="array" ref="DO28">VLOOKUP(D28,+[2]Sheet3!$A$1:$R$175,7,0)</f>
        <v>0</v>
      </c>
      <c r="DP28" s="165" cm="1">
        <f t="array" ref="DP28">VLOOKUP(D28,+[2]Sheet3!$A$1:$R$175,7,0)</f>
        <v>0</v>
      </c>
      <c r="DQ28" s="165" cm="1">
        <f t="array" ref="DQ28">VLOOKUP(D28,+[2]Sheet3!$A$1:$R$175,9,0)</f>
        <v>0</v>
      </c>
      <c r="DR28" s="165" cm="1">
        <f t="array" ref="DR28">VLOOKUP(D28,+[2]Sheet3!$A$1:$R$175,10,0)</f>
        <v>0</v>
      </c>
      <c r="DS28" s="165" cm="1">
        <f t="array" ref="DS28">VLOOKUP(D28,+[2]Sheet3!$A$1:$R$175,11,0)</f>
        <v>0</v>
      </c>
      <c r="DT28" s="165" cm="1">
        <f t="array" ref="DT28">VLOOKUP(D28,+[2]Sheet3!$A$1:$R$175,12,0)</f>
        <v>0</v>
      </c>
      <c r="DU28" s="165">
        <v>0</v>
      </c>
      <c r="DV28" s="165" cm="1">
        <f t="array" ref="DV28">VLOOKUP(D28,+[2]Sheet3!$A$1:$R$175,14,0)</f>
        <v>0</v>
      </c>
      <c r="DW28" s="165" cm="1">
        <f t="array" ref="DW28">VLOOKUP(D28,+[2]Sheet3!$A$1:$R$175,15,0)</f>
        <v>0</v>
      </c>
      <c r="DX28" s="165" cm="1">
        <f t="array" ref="DX28">VLOOKUP(D28,+[2]Sheet3!$A$1:$R$175,16,0)</f>
        <v>0</v>
      </c>
      <c r="DY28" s="165" cm="1">
        <f t="array" ref="DY28">VLOOKUP(D28,+[2]Sheet3!$A$1:$R$175,17,0)</f>
        <v>0</v>
      </c>
      <c r="DZ28" s="165" cm="1">
        <f t="array" ref="DZ28">VLOOKUP(D28,+[2]Sheet3!$A$1:$R$175,18,0)</f>
        <v>0</v>
      </c>
      <c r="EA28" s="168"/>
    </row>
    <row r="29" spans="1:131" s="91" customFormat="1" ht="16.25" hidden="1" customHeight="1" x14ac:dyDescent="0.4">
      <c r="A29" s="32" t="s">
        <v>97</v>
      </c>
      <c r="B29" s="32" t="s">
        <v>29</v>
      </c>
      <c r="C29" s="32" t="s">
        <v>20</v>
      </c>
      <c r="D29" s="32" t="s">
        <v>246</v>
      </c>
      <c r="E29" s="87" t="s">
        <v>1004</v>
      </c>
      <c r="F29" s="87" t="s">
        <v>110</v>
      </c>
      <c r="G29" s="32" t="s">
        <v>101</v>
      </c>
      <c r="H29" s="32"/>
      <c r="I29" s="36"/>
      <c r="J29" s="33" t="s">
        <v>247</v>
      </c>
      <c r="K29" s="55"/>
      <c r="L29" s="36"/>
      <c r="M29" s="36"/>
      <c r="N29" s="36" t="s">
        <v>244</v>
      </c>
      <c r="O29" s="33" t="s">
        <v>275</v>
      </c>
      <c r="P29" s="32" t="s">
        <v>361</v>
      </c>
      <c r="Q29" s="36"/>
      <c r="R29" s="36"/>
      <c r="S29" s="36"/>
      <c r="T29" s="36"/>
      <c r="U29" s="36"/>
      <c r="V29" s="36"/>
      <c r="W29" s="129">
        <f>CZ29</f>
        <v>600</v>
      </c>
      <c r="X29" s="36"/>
      <c r="Y29" s="36"/>
      <c r="Z29" s="36"/>
      <c r="AA29" s="36"/>
      <c r="AB29" s="36"/>
      <c r="AC29" s="32"/>
      <c r="AD29" s="37"/>
      <c r="AE29" s="37"/>
      <c r="AF29" s="37"/>
      <c r="AG29" s="37"/>
      <c r="AH29" s="158"/>
      <c r="AI29" s="160"/>
      <c r="AJ29" s="37"/>
      <c r="AK29" s="46"/>
      <c r="AL29" s="47"/>
      <c r="AM29" s="162"/>
      <c r="AN29" s="39"/>
      <c r="AO29" s="45"/>
      <c r="AP29" s="45"/>
      <c r="AQ29" s="160"/>
      <c r="AR29" s="45"/>
      <c r="AS29" s="46"/>
      <c r="AT29" s="37"/>
      <c r="AU29" s="48"/>
      <c r="AV29" s="49"/>
      <c r="AW29" s="48"/>
      <c r="AX29" s="158"/>
      <c r="AY29" s="45"/>
      <c r="AZ29" s="46"/>
      <c r="BA29" s="37"/>
      <c r="BB29" s="37"/>
      <c r="BC29" s="80"/>
      <c r="BD29" s="158"/>
      <c r="BE29" s="45"/>
      <c r="BF29" s="46"/>
      <c r="BG29" s="37"/>
      <c r="BH29" s="37"/>
      <c r="BI29" s="39"/>
      <c r="BJ29" s="39"/>
      <c r="BK29" s="80"/>
      <c r="BL29" s="158"/>
      <c r="BM29" s="45"/>
      <c r="BN29" s="101"/>
      <c r="BO29" s="37"/>
      <c r="BP29" s="70"/>
      <c r="BQ29" s="92"/>
      <c r="BR29" s="59"/>
      <c r="BS29" s="50"/>
      <c r="BT29" s="158"/>
      <c r="BU29" s="45"/>
      <c r="BV29" s="101"/>
      <c r="BW29" s="118"/>
      <c r="BX29" s="118"/>
      <c r="BY29" s="50"/>
      <c r="BZ29" s="158"/>
      <c r="CA29" s="45"/>
      <c r="CB29" s="101"/>
      <c r="CC29" s="118"/>
      <c r="CD29" s="118"/>
      <c r="CE29" s="92"/>
      <c r="CF29" s="92"/>
      <c r="CG29" s="50"/>
      <c r="CH29" s="158"/>
      <c r="CI29" s="160">
        <v>0</v>
      </c>
      <c r="CJ29" s="170">
        <v>0</v>
      </c>
      <c r="CK29" s="165">
        <f t="shared" si="2"/>
        <v>0</v>
      </c>
      <c r="CL29" s="118"/>
      <c r="CM29" s="34"/>
      <c r="CO29" s="163">
        <v>800</v>
      </c>
      <c r="CP29" s="164">
        <v>0.75</v>
      </c>
      <c r="CQ29" s="165">
        <f t="shared" si="4"/>
        <v>600</v>
      </c>
      <c r="CR29" s="168">
        <f t="shared" si="5"/>
        <v>600</v>
      </c>
      <c r="CS29" s="91" t="s">
        <v>250</v>
      </c>
      <c r="CU29" s="163">
        <v>800</v>
      </c>
      <c r="CV29" s="164">
        <v>0.75</v>
      </c>
      <c r="CW29" s="165">
        <f t="shared" si="6"/>
        <v>600</v>
      </c>
      <c r="CX29" s="163">
        <v>800</v>
      </c>
      <c r="CY29" s="164">
        <v>0.75</v>
      </c>
      <c r="CZ29" s="165">
        <f t="shared" si="23"/>
        <v>600</v>
      </c>
      <c r="DA29" s="168">
        <f t="shared" si="8"/>
        <v>0</v>
      </c>
      <c r="DB29" s="168">
        <f t="shared" si="9"/>
        <v>0</v>
      </c>
      <c r="DC29" s="168"/>
      <c r="DD29" s="91" t="s">
        <v>251</v>
      </c>
      <c r="DF29" s="163">
        <v>800</v>
      </c>
      <c r="DG29" s="164">
        <v>0.75</v>
      </c>
      <c r="DH29" s="165">
        <f t="shared" si="10"/>
        <v>600</v>
      </c>
      <c r="DI29" s="168">
        <f t="shared" si="11"/>
        <v>0</v>
      </c>
      <c r="DJ29" s="168">
        <f t="shared" si="12"/>
        <v>0</v>
      </c>
      <c r="DK29" s="168"/>
      <c r="DL29" s="168"/>
      <c r="DM29" s="168"/>
      <c r="DN29" s="168">
        <f t="shared" si="13"/>
        <v>600</v>
      </c>
      <c r="DO29" s="165">
        <v>0</v>
      </c>
      <c r="DP29" s="165">
        <v>0</v>
      </c>
      <c r="DQ29" s="165">
        <v>0</v>
      </c>
      <c r="DR29" s="165">
        <v>0</v>
      </c>
      <c r="DS29" s="165">
        <v>0</v>
      </c>
      <c r="DT29" s="165">
        <v>0</v>
      </c>
      <c r="DU29" s="165">
        <v>0</v>
      </c>
      <c r="DV29" s="165">
        <v>0</v>
      </c>
      <c r="DW29" s="165">
        <v>600</v>
      </c>
      <c r="DX29" s="165">
        <v>0</v>
      </c>
      <c r="DY29" s="165">
        <v>0</v>
      </c>
      <c r="DZ29" s="165">
        <v>0</v>
      </c>
    </row>
    <row r="30" spans="1:131" s="50" customFormat="1" ht="16.25" hidden="1" customHeight="1" x14ac:dyDescent="0.4">
      <c r="A30" s="36" t="s">
        <v>97</v>
      </c>
      <c r="B30" s="36" t="s">
        <v>29</v>
      </c>
      <c r="C30" s="36" t="s">
        <v>20</v>
      </c>
      <c r="D30" s="15" t="s">
        <v>261</v>
      </c>
      <c r="E30" s="38" t="s">
        <v>262</v>
      </c>
      <c r="F30" s="38" t="s">
        <v>100</v>
      </c>
      <c r="G30" s="32" t="s">
        <v>263</v>
      </c>
      <c r="H30" s="32"/>
      <c r="I30" s="36" t="s">
        <v>264</v>
      </c>
      <c r="J30" s="43" t="s">
        <v>265</v>
      </c>
      <c r="K30" s="55"/>
      <c r="L30" s="36"/>
      <c r="M30" s="36"/>
      <c r="N30" s="36" t="s">
        <v>266</v>
      </c>
      <c r="O30" s="43" t="s">
        <v>267</v>
      </c>
      <c r="P30" s="36" t="s">
        <v>361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7">
        <v>2000</v>
      </c>
      <c r="AE30" s="37"/>
      <c r="AF30" s="37"/>
      <c r="AG30" s="37"/>
      <c r="AH30" s="34"/>
      <c r="AI30" s="45"/>
      <c r="AJ30" s="37">
        <v>0</v>
      </c>
      <c r="AK30" s="46">
        <v>0</v>
      </c>
      <c r="AL30" s="47">
        <f>AJ30*AK30</f>
        <v>0</v>
      </c>
      <c r="AM30" s="47"/>
      <c r="AN30" s="39">
        <f>VLOOKUP(D30,'May FF'!B$2:E$201,2,0)</f>
        <v>0</v>
      </c>
      <c r="AO30" s="45"/>
      <c r="AP30" s="45"/>
      <c r="AQ30" s="45"/>
      <c r="AR30" s="45">
        <v>2000</v>
      </c>
      <c r="AS30" s="46">
        <v>0.5</v>
      </c>
      <c r="AT30" s="37">
        <f>AR30*AS30</f>
        <v>1000</v>
      </c>
      <c r="AU30" s="48"/>
      <c r="AV30" s="49"/>
      <c r="AW30" s="48"/>
      <c r="AX30" s="34"/>
      <c r="AY30" s="45">
        <v>2000</v>
      </c>
      <c r="AZ30" s="46">
        <v>1</v>
      </c>
      <c r="BA30" s="37">
        <f>AY30*AZ30</f>
        <v>2000</v>
      </c>
      <c r="BB30" s="37"/>
      <c r="BC30" s="80"/>
      <c r="BD30" s="34"/>
      <c r="BE30" s="45">
        <v>2000</v>
      </c>
      <c r="BF30" s="46">
        <v>0.9</v>
      </c>
      <c r="BG30" s="37">
        <f>BE30*BF30</f>
        <v>1800</v>
      </c>
      <c r="BH30" s="37"/>
      <c r="BI30" s="39">
        <f>BG30-BA30</f>
        <v>-200</v>
      </c>
      <c r="BJ30" s="39"/>
      <c r="BK30" s="80">
        <f>BE30/1000</f>
        <v>2</v>
      </c>
      <c r="BL30" s="34"/>
      <c r="BM30" s="45">
        <v>2000</v>
      </c>
      <c r="BN30" s="101">
        <v>1</v>
      </c>
      <c r="BO30" s="37">
        <f>BM30*BN30</f>
        <v>2000</v>
      </c>
      <c r="BP30" s="70"/>
      <c r="BQ30" s="92">
        <f>BO30-BA30</f>
        <v>0</v>
      </c>
      <c r="BR30" s="59"/>
      <c r="BT30" s="34"/>
      <c r="BU30" s="45">
        <v>2000</v>
      </c>
      <c r="BV30" s="101">
        <v>1</v>
      </c>
      <c r="BW30" s="118">
        <f>BU30*BV30</f>
        <v>2000</v>
      </c>
      <c r="BX30" s="118">
        <f>BW30-BO30</f>
        <v>0</v>
      </c>
      <c r="BZ30" s="34"/>
      <c r="CA30" s="45">
        <v>2000</v>
      </c>
      <c r="CB30" s="101">
        <v>1</v>
      </c>
      <c r="CC30" s="118">
        <f>CA30*CB30</f>
        <v>2000</v>
      </c>
      <c r="CD30" s="118"/>
      <c r="CE30" s="92">
        <f>CC30-BW30</f>
        <v>0</v>
      </c>
      <c r="CF30" s="92">
        <f>CC30-BO30</f>
        <v>0</v>
      </c>
      <c r="CH30" s="34"/>
      <c r="CI30" s="45">
        <v>2000</v>
      </c>
      <c r="CJ30" s="101">
        <v>1</v>
      </c>
      <c r="CK30" s="118">
        <f t="shared" si="2"/>
        <v>2000</v>
      </c>
      <c r="CL30" s="118">
        <f>CK30-CC30</f>
        <v>0</v>
      </c>
      <c r="CM30" s="34" t="s">
        <v>268</v>
      </c>
      <c r="CO30" s="45">
        <v>2000</v>
      </c>
      <c r="CP30" s="101">
        <v>1</v>
      </c>
      <c r="CQ30" s="118">
        <f t="shared" si="4"/>
        <v>2000</v>
      </c>
      <c r="CR30" s="92">
        <f t="shared" si="5"/>
        <v>0</v>
      </c>
      <c r="CU30" s="45">
        <v>2000</v>
      </c>
      <c r="CV30" s="101">
        <v>1</v>
      </c>
      <c r="CW30" s="118">
        <f t="shared" si="6"/>
        <v>2000</v>
      </c>
      <c r="CX30" s="45">
        <v>2000</v>
      </c>
      <c r="CY30" s="101">
        <v>1</v>
      </c>
      <c r="CZ30" s="118">
        <f t="shared" si="23"/>
        <v>2000</v>
      </c>
      <c r="DA30" s="92">
        <f>CW30-CQ30</f>
        <v>0</v>
      </c>
      <c r="DB30" s="92"/>
      <c r="DC30" s="92"/>
      <c r="DF30" s="45">
        <v>0</v>
      </c>
      <c r="DG30" s="101">
        <v>1</v>
      </c>
      <c r="DH30" s="118">
        <f t="shared" si="10"/>
        <v>0</v>
      </c>
      <c r="DI30" s="168">
        <f t="shared" si="11"/>
        <v>-2000</v>
      </c>
      <c r="DJ30" s="168">
        <f t="shared" si="12"/>
        <v>-2000</v>
      </c>
      <c r="DN30" s="168">
        <f t="shared" si="13"/>
        <v>0</v>
      </c>
    </row>
    <row r="31" spans="1:131" s="91" customFormat="1" ht="16.25" hidden="1" customHeight="1" x14ac:dyDescent="0.4">
      <c r="A31" s="32" t="s">
        <v>97</v>
      </c>
      <c r="B31" s="32" t="s">
        <v>29</v>
      </c>
      <c r="C31" s="32" t="s">
        <v>20</v>
      </c>
      <c r="D31" s="32" t="s">
        <v>252</v>
      </c>
      <c r="E31" s="87" t="s">
        <v>253</v>
      </c>
      <c r="F31" s="87" t="s">
        <v>114</v>
      </c>
      <c r="G31" s="32" t="s">
        <v>101</v>
      </c>
      <c r="H31" s="32" t="s">
        <v>214</v>
      </c>
      <c r="I31" s="16"/>
      <c r="J31" s="33" t="s">
        <v>254</v>
      </c>
      <c r="K31" s="36"/>
      <c r="L31" s="36"/>
      <c r="M31" s="36" t="s">
        <v>255</v>
      </c>
      <c r="N31" s="36"/>
      <c r="O31" s="33" t="s">
        <v>256</v>
      </c>
      <c r="P31" s="32" t="s">
        <v>193</v>
      </c>
      <c r="Q31" s="129"/>
      <c r="R31" s="129"/>
      <c r="S31" s="129"/>
      <c r="T31" s="129"/>
      <c r="U31" s="50"/>
      <c r="V31" s="129"/>
      <c r="W31" s="129"/>
      <c r="X31" s="129"/>
      <c r="Y31" s="129"/>
      <c r="Z31" s="129"/>
      <c r="AA31" s="129"/>
      <c r="AB31" s="129"/>
      <c r="AC31" s="32"/>
      <c r="AD31" s="37">
        <v>300</v>
      </c>
      <c r="AE31" s="37">
        <v>150</v>
      </c>
      <c r="AF31" s="37"/>
      <c r="AG31" s="37"/>
      <c r="AH31" s="158"/>
      <c r="AI31" s="160"/>
      <c r="AJ31" s="37">
        <v>0</v>
      </c>
      <c r="AK31" s="46">
        <v>0</v>
      </c>
      <c r="AL31" s="47">
        <f>AJ31*AK31</f>
        <v>0</v>
      </c>
      <c r="AM31" s="162"/>
      <c r="AN31" s="39">
        <v>0</v>
      </c>
      <c r="AO31" s="97">
        <v>0</v>
      </c>
      <c r="AP31" s="39">
        <v>0</v>
      </c>
      <c r="AQ31" s="160"/>
      <c r="AR31" s="45">
        <v>270</v>
      </c>
      <c r="AS31" s="46">
        <v>0.75</v>
      </c>
      <c r="AT31" s="37">
        <f>AR31*AS31</f>
        <v>202.5</v>
      </c>
      <c r="AU31" s="48"/>
      <c r="AV31" s="49">
        <f>AU31*AS31</f>
        <v>0</v>
      </c>
      <c r="AW31" s="48"/>
      <c r="AY31" s="45">
        <v>270</v>
      </c>
      <c r="AZ31" s="46">
        <v>0.75</v>
      </c>
      <c r="BA31" s="37">
        <f>AY31*AZ31</f>
        <v>202.5</v>
      </c>
      <c r="BB31" s="39">
        <f>BA31-AT31</f>
        <v>0</v>
      </c>
      <c r="BC31" s="50"/>
      <c r="BE31" s="45">
        <v>270</v>
      </c>
      <c r="BF31" s="52">
        <v>0.75</v>
      </c>
      <c r="BG31" s="37">
        <f>BE31*BF31</f>
        <v>202.5</v>
      </c>
      <c r="BH31" s="37"/>
      <c r="BI31" s="39">
        <f>BG31-BA31</f>
        <v>0</v>
      </c>
      <c r="BJ31" s="39"/>
      <c r="BK31" s="50"/>
      <c r="BM31" s="45">
        <v>270</v>
      </c>
      <c r="BN31" s="52">
        <v>0.75</v>
      </c>
      <c r="BO31" s="37">
        <f>BM31*BN31</f>
        <v>202.5</v>
      </c>
      <c r="BP31" s="37">
        <f>VLOOKUP(D31,'May FF'!B$3:C$38,2,0)/1000</f>
        <v>202.5</v>
      </c>
      <c r="BQ31" s="92">
        <f>BO31-BA31</f>
        <v>0</v>
      </c>
      <c r="BR31" s="59"/>
      <c r="BS31" s="50"/>
      <c r="BU31" s="45">
        <v>270</v>
      </c>
      <c r="BV31" s="52">
        <v>0.75</v>
      </c>
      <c r="BW31" s="118">
        <f>BU31*BV31</f>
        <v>202.5</v>
      </c>
      <c r="BX31" s="118">
        <f>BW31-BO31</f>
        <v>0</v>
      </c>
      <c r="BY31" s="50"/>
      <c r="CA31" s="45">
        <v>270</v>
      </c>
      <c r="CB31" s="52">
        <v>0.75</v>
      </c>
      <c r="CC31" s="118">
        <f>CA31*CB31</f>
        <v>202.5</v>
      </c>
      <c r="CD31" s="118"/>
      <c r="CE31" s="92">
        <f>CC31-BW31</f>
        <v>0</v>
      </c>
      <c r="CF31" s="92">
        <f>CC31-BO31</f>
        <v>0</v>
      </c>
      <c r="CG31" s="50"/>
      <c r="CI31" s="160">
        <v>270</v>
      </c>
      <c r="CJ31" s="167">
        <v>0</v>
      </c>
      <c r="CK31" s="165">
        <f t="shared" si="2"/>
        <v>0</v>
      </c>
      <c r="CL31" s="92">
        <f>CK31-CC31</f>
        <v>-202.5</v>
      </c>
      <c r="CM31" s="50"/>
      <c r="CO31" s="160">
        <v>270</v>
      </c>
      <c r="CP31" s="167">
        <v>0</v>
      </c>
      <c r="CQ31" s="165">
        <f t="shared" si="4"/>
        <v>0</v>
      </c>
      <c r="CR31" s="168">
        <f t="shared" si="5"/>
        <v>0</v>
      </c>
      <c r="CU31" s="160">
        <v>270</v>
      </c>
      <c r="CV31" s="167">
        <v>0</v>
      </c>
      <c r="CW31" s="165">
        <f t="shared" si="6"/>
        <v>0</v>
      </c>
      <c r="CX31" s="160">
        <v>270</v>
      </c>
      <c r="CY31" s="167">
        <v>0</v>
      </c>
      <c r="CZ31" s="165">
        <f t="shared" si="23"/>
        <v>0</v>
      </c>
      <c r="DA31" s="168">
        <f t="shared" ref="DA31:DA36" si="24">CZ31-CQ31</f>
        <v>0</v>
      </c>
      <c r="DB31" s="168">
        <f t="shared" ref="DB31:DB36" si="25">CZ31-CW31</f>
        <v>0</v>
      </c>
      <c r="DC31" s="168"/>
      <c r="DF31" s="160">
        <v>270</v>
      </c>
      <c r="DG31" s="167">
        <v>0</v>
      </c>
      <c r="DH31" s="165">
        <f t="shared" si="10"/>
        <v>0</v>
      </c>
      <c r="DI31" s="168">
        <f t="shared" si="11"/>
        <v>0</v>
      </c>
      <c r="DJ31" s="168">
        <f t="shared" si="12"/>
        <v>0</v>
      </c>
      <c r="DK31" s="168"/>
      <c r="DL31" s="168"/>
      <c r="DM31" s="168"/>
      <c r="DN31" s="168">
        <f t="shared" si="13"/>
        <v>0</v>
      </c>
      <c r="DO31" s="165">
        <v>0</v>
      </c>
      <c r="DP31" s="165">
        <v>0</v>
      </c>
      <c r="DQ31" s="165">
        <v>0</v>
      </c>
      <c r="DR31" s="165">
        <v>0</v>
      </c>
      <c r="DS31" s="165">
        <v>0</v>
      </c>
      <c r="DT31" s="165">
        <v>0</v>
      </c>
      <c r="DU31" s="165">
        <v>0</v>
      </c>
      <c r="DV31" s="165">
        <v>0</v>
      </c>
      <c r="DW31" s="165">
        <v>0</v>
      </c>
      <c r="DX31" s="165">
        <v>0</v>
      </c>
      <c r="DY31" s="165">
        <v>0</v>
      </c>
      <c r="DZ31" s="165">
        <v>0</v>
      </c>
    </row>
    <row r="32" spans="1:131" s="91" customFormat="1" ht="16.25" hidden="1" customHeight="1" x14ac:dyDescent="0.4">
      <c r="A32" s="32" t="s">
        <v>97</v>
      </c>
      <c r="B32" s="32" t="s">
        <v>29</v>
      </c>
      <c r="C32" s="32" t="s">
        <v>20</v>
      </c>
      <c r="D32" s="32" t="s">
        <v>257</v>
      </c>
      <c r="E32" s="87" t="s">
        <v>258</v>
      </c>
      <c r="F32" s="87" t="s">
        <v>114</v>
      </c>
      <c r="G32" s="32" t="s">
        <v>101</v>
      </c>
      <c r="H32" s="32" t="s">
        <v>214</v>
      </c>
      <c r="I32" s="16" t="s">
        <v>259</v>
      </c>
      <c r="J32" s="38"/>
      <c r="K32" s="36"/>
      <c r="L32" s="36"/>
      <c r="M32" s="36" t="s">
        <v>255</v>
      </c>
      <c r="N32" s="50"/>
      <c r="O32" s="33" t="s">
        <v>260</v>
      </c>
      <c r="P32" s="32" t="s">
        <v>193</v>
      </c>
      <c r="Q32" s="129"/>
      <c r="R32" s="129"/>
      <c r="S32" s="129"/>
      <c r="T32" s="129"/>
      <c r="U32" s="50"/>
      <c r="V32" s="129"/>
      <c r="W32" s="129"/>
      <c r="X32" s="129"/>
      <c r="Y32" s="129"/>
      <c r="Z32" s="129"/>
      <c r="AA32" s="129"/>
      <c r="AB32" s="129"/>
      <c r="AC32" s="32"/>
      <c r="AD32" s="37">
        <v>700</v>
      </c>
      <c r="AE32" s="37"/>
      <c r="AF32" s="39"/>
      <c r="AG32" s="39"/>
      <c r="AH32" s="158"/>
      <c r="AI32" s="161"/>
      <c r="AJ32" s="37">
        <v>0</v>
      </c>
      <c r="AK32" s="46">
        <v>0</v>
      </c>
      <c r="AL32" s="47">
        <f>AJ32*AK32</f>
        <v>0</v>
      </c>
      <c r="AM32" s="162"/>
      <c r="AN32" s="39">
        <v>0</v>
      </c>
      <c r="AO32" s="97">
        <v>0</v>
      </c>
      <c r="AP32" s="39">
        <v>0</v>
      </c>
      <c r="AQ32" s="159"/>
      <c r="AR32" s="45">
        <v>670</v>
      </c>
      <c r="AS32" s="52">
        <v>0.75</v>
      </c>
      <c r="AT32" s="37">
        <f>AR32*AS32</f>
        <v>502.5</v>
      </c>
      <c r="AU32" s="48"/>
      <c r="AV32" s="49"/>
      <c r="AW32" s="48"/>
      <c r="AY32" s="45">
        <v>670</v>
      </c>
      <c r="AZ32" s="52">
        <v>0.75</v>
      </c>
      <c r="BA32" s="37">
        <f>AY32*AZ32</f>
        <v>502.5</v>
      </c>
      <c r="BB32" s="39">
        <f>BA32-AT32</f>
        <v>0</v>
      </c>
      <c r="BC32" s="50"/>
      <c r="BE32" s="45">
        <v>670</v>
      </c>
      <c r="BF32" s="52">
        <v>0.75</v>
      </c>
      <c r="BG32" s="37">
        <f>BE32*BF32</f>
        <v>502.5</v>
      </c>
      <c r="BH32" s="37"/>
      <c r="BI32" s="39">
        <f>BG32-BA32</f>
        <v>0</v>
      </c>
      <c r="BJ32" s="39"/>
      <c r="BK32" s="50"/>
      <c r="BM32" s="45">
        <v>670</v>
      </c>
      <c r="BN32" s="52">
        <v>0.75</v>
      </c>
      <c r="BO32" s="37">
        <f>BM32*BN32</f>
        <v>502.5</v>
      </c>
      <c r="BP32" s="37">
        <f>VLOOKUP(D32,'May FF'!B$3:C$38,2,0)/1000</f>
        <v>502.5</v>
      </c>
      <c r="BQ32" s="92">
        <f>BO32-BA32</f>
        <v>0</v>
      </c>
      <c r="BR32" s="59"/>
      <c r="BS32" s="50"/>
      <c r="BU32" s="45">
        <v>670</v>
      </c>
      <c r="BV32" s="52">
        <v>0.75</v>
      </c>
      <c r="BW32" s="118">
        <f>BU32*BV32</f>
        <v>502.5</v>
      </c>
      <c r="BX32" s="118">
        <f>BW32-BO32</f>
        <v>0</v>
      </c>
      <c r="BY32" s="50"/>
      <c r="CA32" s="45">
        <v>670</v>
      </c>
      <c r="CB32" s="52">
        <v>0.75</v>
      </c>
      <c r="CC32" s="118">
        <f>CA32*CB32</f>
        <v>502.5</v>
      </c>
      <c r="CD32" s="118"/>
      <c r="CE32" s="92">
        <f>CC32-BW32</f>
        <v>0</v>
      </c>
      <c r="CF32" s="92">
        <f>CC32-BO32</f>
        <v>0</v>
      </c>
      <c r="CG32" s="50"/>
      <c r="CI32" s="160">
        <v>670</v>
      </c>
      <c r="CJ32" s="167">
        <v>0</v>
      </c>
      <c r="CK32" s="165">
        <f t="shared" si="2"/>
        <v>0</v>
      </c>
      <c r="CL32" s="92">
        <f>CK32-CC32</f>
        <v>-502.5</v>
      </c>
      <c r="CM32" s="50"/>
      <c r="CO32" s="160">
        <v>670</v>
      </c>
      <c r="CP32" s="167">
        <v>0</v>
      </c>
      <c r="CQ32" s="165">
        <f t="shared" si="4"/>
        <v>0</v>
      </c>
      <c r="CR32" s="168">
        <f t="shared" si="5"/>
        <v>0</v>
      </c>
      <c r="CU32" s="160">
        <v>670</v>
      </c>
      <c r="CV32" s="167">
        <v>0</v>
      </c>
      <c r="CW32" s="165">
        <f t="shared" si="6"/>
        <v>0</v>
      </c>
      <c r="CX32" s="160">
        <v>670</v>
      </c>
      <c r="CY32" s="167">
        <v>0</v>
      </c>
      <c r="CZ32" s="165">
        <f t="shared" si="23"/>
        <v>0</v>
      </c>
      <c r="DA32" s="168">
        <f t="shared" si="24"/>
        <v>0</v>
      </c>
      <c r="DB32" s="168">
        <f t="shared" si="25"/>
        <v>0</v>
      </c>
      <c r="DC32" s="168"/>
      <c r="DF32" s="160">
        <v>670</v>
      </c>
      <c r="DG32" s="167">
        <v>0</v>
      </c>
      <c r="DH32" s="165">
        <f t="shared" si="10"/>
        <v>0</v>
      </c>
      <c r="DI32" s="168">
        <f t="shared" si="11"/>
        <v>0</v>
      </c>
      <c r="DJ32" s="168">
        <f t="shared" si="12"/>
        <v>0</v>
      </c>
      <c r="DK32" s="168"/>
      <c r="DL32" s="168"/>
      <c r="DM32" s="168"/>
      <c r="DN32" s="168">
        <f t="shared" si="13"/>
        <v>0</v>
      </c>
      <c r="DO32" s="165">
        <v>0</v>
      </c>
      <c r="DP32" s="165">
        <v>0</v>
      </c>
      <c r="DQ32" s="165">
        <v>0</v>
      </c>
      <c r="DR32" s="165">
        <v>0</v>
      </c>
      <c r="DS32" s="165">
        <v>0</v>
      </c>
      <c r="DT32" s="165">
        <v>0</v>
      </c>
      <c r="DU32" s="165">
        <v>0</v>
      </c>
      <c r="DV32" s="165">
        <v>0</v>
      </c>
      <c r="DW32" s="165">
        <v>0</v>
      </c>
      <c r="DX32" s="165">
        <v>0</v>
      </c>
      <c r="DY32" s="165">
        <v>0</v>
      </c>
      <c r="DZ32" s="165">
        <v>0</v>
      </c>
    </row>
    <row r="33" spans="1:132" s="91" customFormat="1" ht="16.25" hidden="1" customHeight="1" x14ac:dyDescent="0.4">
      <c r="A33" s="32" t="s">
        <v>97</v>
      </c>
      <c r="B33" s="32" t="s">
        <v>29</v>
      </c>
      <c r="C33" s="32" t="s">
        <v>20</v>
      </c>
      <c r="D33" s="15" t="s">
        <v>269</v>
      </c>
      <c r="E33" s="87" t="s">
        <v>270</v>
      </c>
      <c r="F33" s="87" t="s">
        <v>110</v>
      </c>
      <c r="G33" s="32" t="s">
        <v>101</v>
      </c>
      <c r="H33" s="32" t="s">
        <v>271</v>
      </c>
      <c r="I33" s="36" t="s">
        <v>272</v>
      </c>
      <c r="J33" s="43" t="s">
        <v>273</v>
      </c>
      <c r="K33" s="36" t="s">
        <v>282</v>
      </c>
      <c r="L33" s="36"/>
      <c r="M33" s="36"/>
      <c r="N33" s="36" t="s">
        <v>274</v>
      </c>
      <c r="O33" s="33" t="s">
        <v>275</v>
      </c>
      <c r="P33" s="32" t="s">
        <v>361</v>
      </c>
      <c r="Q33" s="129"/>
      <c r="R33" s="129"/>
      <c r="S33" s="129"/>
      <c r="T33" s="129"/>
      <c r="U33" s="129"/>
      <c r="V33" s="50"/>
      <c r="W33" s="129"/>
      <c r="X33" s="129">
        <f>CC33</f>
        <v>300</v>
      </c>
      <c r="Y33" s="129"/>
      <c r="Z33" s="129"/>
      <c r="AA33" s="129"/>
      <c r="AB33" s="129"/>
      <c r="AC33" s="32"/>
      <c r="AD33" s="37">
        <v>800</v>
      </c>
      <c r="AE33" s="37"/>
      <c r="AF33" s="37"/>
      <c r="AG33" s="37"/>
      <c r="AH33" s="158"/>
      <c r="AI33" s="160"/>
      <c r="AJ33" s="37">
        <v>0</v>
      </c>
      <c r="AK33" s="46">
        <v>0</v>
      </c>
      <c r="AL33" s="47">
        <f>AJ33*AK33</f>
        <v>0</v>
      </c>
      <c r="AM33" s="162"/>
      <c r="AN33" s="39">
        <v>0</v>
      </c>
      <c r="AO33" s="45"/>
      <c r="AP33" s="45"/>
      <c r="AQ33" s="160"/>
      <c r="AR33" s="37">
        <v>800</v>
      </c>
      <c r="AS33" s="46">
        <v>0.9</v>
      </c>
      <c r="AT33" s="37">
        <f>AR33*AS33</f>
        <v>720</v>
      </c>
      <c r="AU33" s="48"/>
      <c r="AV33" s="49">
        <f>AU33*AS33</f>
        <v>0</v>
      </c>
      <c r="AW33" s="48" t="s">
        <v>276</v>
      </c>
      <c r="AY33" s="37">
        <v>800</v>
      </c>
      <c r="AZ33" s="46">
        <v>0.9</v>
      </c>
      <c r="BA33" s="37">
        <f>AY33*AZ33</f>
        <v>720</v>
      </c>
      <c r="BB33" s="75">
        <f>BA33-AT33</f>
        <v>0</v>
      </c>
      <c r="BC33" s="78" t="s">
        <v>123</v>
      </c>
      <c r="BE33" s="37">
        <v>800</v>
      </c>
      <c r="BF33" s="46">
        <v>0.9</v>
      </c>
      <c r="BG33" s="37">
        <f>BE33*BF33</f>
        <v>720</v>
      </c>
      <c r="BH33" s="37"/>
      <c r="BI33" s="39">
        <f>BG33-BA33</f>
        <v>0</v>
      </c>
      <c r="BJ33" s="39"/>
      <c r="BK33" s="50"/>
      <c r="BM33" s="37">
        <v>600</v>
      </c>
      <c r="BN33" s="46">
        <v>0.5</v>
      </c>
      <c r="BO33" s="100">
        <f>BM33*BN33</f>
        <v>300</v>
      </c>
      <c r="BP33" s="37">
        <f>VLOOKUP(D33,'May FF'!B$3:C$38,2,0)/1000</f>
        <v>720</v>
      </c>
      <c r="BQ33" s="92">
        <f>BO33-BA33</f>
        <v>-420</v>
      </c>
      <c r="BR33" s="34" t="s">
        <v>178</v>
      </c>
      <c r="BS33" s="50" t="s">
        <v>179</v>
      </c>
      <c r="BU33" s="37">
        <v>600</v>
      </c>
      <c r="BV33" s="46">
        <v>0.5</v>
      </c>
      <c r="BW33" s="118">
        <f>BU33*BV33</f>
        <v>300</v>
      </c>
      <c r="BX33" s="118">
        <f>BW33-BO33</f>
        <v>0</v>
      </c>
      <c r="BY33" s="50"/>
      <c r="CA33" s="37">
        <v>600</v>
      </c>
      <c r="CB33" s="46">
        <v>0.5</v>
      </c>
      <c r="CC33" s="118">
        <f>CA33*CB33</f>
        <v>300</v>
      </c>
      <c r="CD33" s="118"/>
      <c r="CE33" s="92">
        <f>CC33-BW33</f>
        <v>0</v>
      </c>
      <c r="CF33" s="92">
        <f>CC33-BO33</f>
        <v>0</v>
      </c>
      <c r="CG33" s="50"/>
      <c r="CI33" s="163">
        <v>600</v>
      </c>
      <c r="CJ33" s="164">
        <v>0.5</v>
      </c>
      <c r="CK33" s="165">
        <f t="shared" si="2"/>
        <v>300</v>
      </c>
      <c r="CL33" s="92">
        <f>CK33-CC33</f>
        <v>0</v>
      </c>
      <c r="CM33" s="50"/>
      <c r="CO33" s="163">
        <v>600</v>
      </c>
      <c r="CP33" s="164">
        <v>0.5</v>
      </c>
      <c r="CQ33" s="165">
        <f t="shared" si="4"/>
        <v>300</v>
      </c>
      <c r="CR33" s="168">
        <f t="shared" si="5"/>
        <v>0</v>
      </c>
      <c r="CS33" s="91" t="s">
        <v>277</v>
      </c>
      <c r="CU33" s="163">
        <v>600</v>
      </c>
      <c r="CV33" s="164">
        <v>0.5</v>
      </c>
      <c r="CW33" s="165">
        <f t="shared" si="6"/>
        <v>300</v>
      </c>
      <c r="CX33" s="163">
        <v>600</v>
      </c>
      <c r="CY33" s="164">
        <v>0.5</v>
      </c>
      <c r="CZ33" s="165">
        <f t="shared" si="23"/>
        <v>300</v>
      </c>
      <c r="DA33" s="168">
        <f t="shared" si="24"/>
        <v>0</v>
      </c>
      <c r="DB33" s="168">
        <f t="shared" si="25"/>
        <v>0</v>
      </c>
      <c r="DC33" s="168"/>
      <c r="DF33" s="163">
        <v>600</v>
      </c>
      <c r="DG33" s="164">
        <v>0.5</v>
      </c>
      <c r="DH33" s="165">
        <f t="shared" si="10"/>
        <v>300</v>
      </c>
      <c r="DI33" s="168">
        <f t="shared" si="11"/>
        <v>0</v>
      </c>
      <c r="DJ33" s="168">
        <f t="shared" si="12"/>
        <v>0</v>
      </c>
      <c r="DK33" s="168"/>
      <c r="DL33" s="168"/>
      <c r="DM33" s="168"/>
      <c r="DN33" s="168">
        <f t="shared" si="13"/>
        <v>300</v>
      </c>
      <c r="DO33" s="165">
        <v>0</v>
      </c>
      <c r="DP33" s="165">
        <v>0</v>
      </c>
      <c r="DQ33" s="165">
        <v>0</v>
      </c>
      <c r="DR33" s="165">
        <v>0</v>
      </c>
      <c r="DS33" s="165">
        <v>0</v>
      </c>
      <c r="DT33" s="165">
        <v>0</v>
      </c>
      <c r="DU33" s="165">
        <v>0</v>
      </c>
      <c r="DV33" s="165">
        <v>0</v>
      </c>
      <c r="DW33" s="165">
        <v>0</v>
      </c>
      <c r="DX33" s="165">
        <v>300</v>
      </c>
      <c r="DY33" s="165">
        <v>0</v>
      </c>
      <c r="DZ33" s="165">
        <v>0</v>
      </c>
      <c r="EA33" s="168"/>
    </row>
    <row r="34" spans="1:132" s="91" customFormat="1" ht="16.25" hidden="1" customHeight="1" x14ac:dyDescent="0.4">
      <c r="A34" s="32" t="s">
        <v>97</v>
      </c>
      <c r="B34" s="32" t="s">
        <v>29</v>
      </c>
      <c r="C34" s="32" t="s">
        <v>20</v>
      </c>
      <c r="D34" s="15" t="s">
        <v>278</v>
      </c>
      <c r="E34" s="87" t="s">
        <v>279</v>
      </c>
      <c r="F34" s="87" t="s">
        <v>110</v>
      </c>
      <c r="G34" s="32" t="s">
        <v>101</v>
      </c>
      <c r="H34" s="32" t="s">
        <v>271</v>
      </c>
      <c r="I34" s="32" t="s">
        <v>280</v>
      </c>
      <c r="J34" s="33" t="s">
        <v>281</v>
      </c>
      <c r="K34" s="36" t="s">
        <v>282</v>
      </c>
      <c r="L34" s="36"/>
      <c r="M34" s="36" t="s">
        <v>283</v>
      </c>
      <c r="N34" s="36" t="s">
        <v>274</v>
      </c>
      <c r="O34" s="43" t="s">
        <v>284</v>
      </c>
      <c r="P34" s="32" t="s">
        <v>193</v>
      </c>
      <c r="Q34" s="129"/>
      <c r="R34" s="129"/>
      <c r="S34" s="50"/>
      <c r="T34" s="129">
        <f>CC34</f>
        <v>375</v>
      </c>
      <c r="U34" s="129"/>
      <c r="V34" s="50"/>
      <c r="W34" s="129"/>
      <c r="X34" s="129"/>
      <c r="Y34" s="129"/>
      <c r="Z34" s="129"/>
      <c r="AA34" s="129"/>
      <c r="AB34" s="129"/>
      <c r="AC34" s="32"/>
      <c r="AD34" s="37">
        <v>500</v>
      </c>
      <c r="AE34" s="37"/>
      <c r="AF34" s="37"/>
      <c r="AG34" s="37"/>
      <c r="AH34" s="158"/>
      <c r="AI34" s="160"/>
      <c r="AJ34" s="37">
        <v>0</v>
      </c>
      <c r="AK34" s="46">
        <v>0</v>
      </c>
      <c r="AL34" s="47">
        <f>AJ34*AK34</f>
        <v>0</v>
      </c>
      <c r="AM34" s="162"/>
      <c r="AN34" s="39">
        <v>0</v>
      </c>
      <c r="AO34" s="45"/>
      <c r="AP34" s="45"/>
      <c r="AQ34" s="160"/>
      <c r="AR34" s="37">
        <v>500</v>
      </c>
      <c r="AS34" s="46">
        <v>0.75</v>
      </c>
      <c r="AT34" s="37">
        <f>AR34*AS34</f>
        <v>375</v>
      </c>
      <c r="AU34" s="48"/>
      <c r="AV34" s="49">
        <f>AU34*AS34</f>
        <v>0</v>
      </c>
      <c r="AW34" s="48"/>
      <c r="AY34" s="37">
        <v>500</v>
      </c>
      <c r="AZ34" s="46">
        <v>0.75</v>
      </c>
      <c r="BA34" s="37">
        <f>AY34*AZ34</f>
        <v>375</v>
      </c>
      <c r="BB34" s="39">
        <f>BA34-AT34</f>
        <v>0</v>
      </c>
      <c r="BC34" s="50"/>
      <c r="BE34" s="37">
        <v>500</v>
      </c>
      <c r="BF34" s="46">
        <v>0.75</v>
      </c>
      <c r="BG34" s="37">
        <f>BE34*BF34</f>
        <v>375</v>
      </c>
      <c r="BH34" s="37"/>
      <c r="BI34" s="39">
        <f>BG34-BA34</f>
        <v>0</v>
      </c>
      <c r="BJ34" s="39"/>
      <c r="BK34" s="50"/>
      <c r="BM34" s="37">
        <v>500</v>
      </c>
      <c r="BN34" s="46">
        <v>0.75</v>
      </c>
      <c r="BO34" s="100">
        <f>BM34*BN34</f>
        <v>375</v>
      </c>
      <c r="BP34" s="37">
        <f>VLOOKUP(D34,'May FF'!B$3:C$38,2,0)/1000</f>
        <v>375</v>
      </c>
      <c r="BQ34" s="92">
        <f>BO34-BA34</f>
        <v>0</v>
      </c>
      <c r="BR34" s="59"/>
      <c r="BS34" s="50"/>
      <c r="BU34" s="37">
        <v>500</v>
      </c>
      <c r="BV34" s="46">
        <v>0.75</v>
      </c>
      <c r="BW34" s="118">
        <f>BU34*BV34</f>
        <v>375</v>
      </c>
      <c r="BX34" s="118">
        <f>BW34-BO34</f>
        <v>0</v>
      </c>
      <c r="BY34" s="50"/>
      <c r="CA34" s="37">
        <v>500</v>
      </c>
      <c r="CB34" s="46">
        <v>0.75</v>
      </c>
      <c r="CC34" s="118">
        <f>CA34*CB34</f>
        <v>375</v>
      </c>
      <c r="CD34" s="118"/>
      <c r="CE34" s="92">
        <f>CC34-BW34</f>
        <v>0</v>
      </c>
      <c r="CF34" s="92">
        <f>CC34-BO34</f>
        <v>0</v>
      </c>
      <c r="CG34" s="50"/>
      <c r="CI34" s="163">
        <v>500</v>
      </c>
      <c r="CJ34" s="164">
        <v>0.75</v>
      </c>
      <c r="CK34" s="165">
        <f t="shared" si="2"/>
        <v>375</v>
      </c>
      <c r="CL34" s="92">
        <f>CK34-CC34</f>
        <v>0</v>
      </c>
      <c r="CM34" s="50"/>
      <c r="CO34" s="163">
        <v>500</v>
      </c>
      <c r="CP34" s="164">
        <v>0.75</v>
      </c>
      <c r="CQ34" s="165">
        <f t="shared" si="4"/>
        <v>375</v>
      </c>
      <c r="CR34" s="168">
        <f t="shared" si="5"/>
        <v>0</v>
      </c>
      <c r="CS34" s="91" t="s">
        <v>285</v>
      </c>
      <c r="CU34" s="163">
        <v>500</v>
      </c>
      <c r="CV34" s="164">
        <v>0.75</v>
      </c>
      <c r="CW34" s="165">
        <f t="shared" si="6"/>
        <v>375</v>
      </c>
      <c r="CX34" s="163">
        <v>500</v>
      </c>
      <c r="CY34" s="164">
        <v>0.75</v>
      </c>
      <c r="CZ34" s="165">
        <f t="shared" si="23"/>
        <v>375</v>
      </c>
      <c r="DA34" s="168">
        <f t="shared" si="24"/>
        <v>0</v>
      </c>
      <c r="DB34" s="168">
        <f t="shared" si="25"/>
        <v>0</v>
      </c>
      <c r="DC34" s="168"/>
      <c r="DF34" s="163">
        <v>0</v>
      </c>
      <c r="DG34" s="164">
        <v>0.5</v>
      </c>
      <c r="DH34" s="165">
        <f t="shared" si="10"/>
        <v>0</v>
      </c>
      <c r="DI34" s="168">
        <f t="shared" si="11"/>
        <v>-375</v>
      </c>
      <c r="DJ34" s="168">
        <f t="shared" si="12"/>
        <v>-375</v>
      </c>
      <c r="DK34" s="168"/>
      <c r="DL34" s="168"/>
      <c r="DM34" s="168"/>
      <c r="DN34" s="168">
        <f t="shared" si="13"/>
        <v>0</v>
      </c>
      <c r="DO34" s="165">
        <v>0</v>
      </c>
      <c r="DP34" s="165">
        <v>0</v>
      </c>
      <c r="DQ34" s="165">
        <v>0</v>
      </c>
      <c r="DR34" s="165">
        <v>0</v>
      </c>
      <c r="DS34" s="165">
        <v>0</v>
      </c>
      <c r="DT34" s="165">
        <v>0</v>
      </c>
      <c r="DU34" s="165">
        <v>0</v>
      </c>
      <c r="DV34" s="165">
        <v>0</v>
      </c>
      <c r="DW34" s="165">
        <v>0</v>
      </c>
      <c r="DX34" s="165">
        <v>0</v>
      </c>
      <c r="DY34" s="165">
        <v>0</v>
      </c>
      <c r="DZ34" s="165">
        <v>0</v>
      </c>
      <c r="EA34" s="168"/>
    </row>
    <row r="35" spans="1:132" s="91" customFormat="1" ht="16.25" hidden="1" customHeight="1" x14ac:dyDescent="0.35">
      <c r="A35" s="36" t="s">
        <v>97</v>
      </c>
      <c r="B35" s="36" t="s">
        <v>29</v>
      </c>
      <c r="C35" s="36" t="s">
        <v>20</v>
      </c>
      <c r="D35" s="15" t="s">
        <v>286</v>
      </c>
      <c r="E35" s="87" t="s">
        <v>287</v>
      </c>
      <c r="F35" s="38" t="s">
        <v>110</v>
      </c>
      <c r="G35" s="53" t="s">
        <v>101</v>
      </c>
      <c r="H35" s="51"/>
      <c r="I35" s="51"/>
      <c r="J35" s="35"/>
      <c r="K35" s="36"/>
      <c r="L35" s="36"/>
      <c r="M35" s="36" t="s">
        <v>288</v>
      </c>
      <c r="N35" s="36" t="s">
        <v>289</v>
      </c>
      <c r="O35" s="33"/>
      <c r="P35" s="32" t="s">
        <v>230</v>
      </c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36"/>
      <c r="AD35" s="37"/>
      <c r="AE35" s="37"/>
      <c r="AF35" s="37"/>
      <c r="AG35" s="37"/>
      <c r="AH35" s="34"/>
      <c r="AI35" s="45"/>
      <c r="AJ35" s="37"/>
      <c r="AK35" s="46"/>
      <c r="AL35" s="47"/>
      <c r="AM35" s="47"/>
      <c r="AN35" s="39"/>
      <c r="AO35" s="97"/>
      <c r="AP35" s="39"/>
      <c r="AQ35" s="45"/>
      <c r="AR35" s="71"/>
      <c r="AS35" s="72"/>
      <c r="AT35" s="71"/>
      <c r="AU35" s="48"/>
      <c r="AV35" s="49"/>
      <c r="AW35" s="48"/>
      <c r="AX35" s="50"/>
      <c r="AY35" s="71"/>
      <c r="AZ35" s="72"/>
      <c r="BA35" s="71"/>
      <c r="BB35" s="39"/>
      <c r="BC35" s="50"/>
      <c r="BD35" s="50"/>
      <c r="BE35" s="37"/>
      <c r="BF35" s="46"/>
      <c r="BG35" s="37"/>
      <c r="BH35" s="37"/>
      <c r="BI35" s="39"/>
      <c r="BJ35" s="39"/>
      <c r="BK35" s="50"/>
      <c r="BL35" s="50"/>
      <c r="BM35" s="37"/>
      <c r="BN35" s="46"/>
      <c r="BO35" s="37"/>
      <c r="BP35" s="37"/>
      <c r="BQ35" s="92"/>
      <c r="BR35" s="34"/>
      <c r="BS35" s="50"/>
      <c r="BT35" s="50"/>
      <c r="BU35" s="37"/>
      <c r="BV35" s="46"/>
      <c r="BW35" s="118"/>
      <c r="BX35" s="118"/>
      <c r="BY35" s="50"/>
      <c r="BZ35" s="50"/>
      <c r="CA35" s="37"/>
      <c r="CB35" s="46"/>
      <c r="CC35" s="118"/>
      <c r="CD35" s="118"/>
      <c r="CE35" s="92"/>
      <c r="CF35" s="92"/>
      <c r="CG35" s="50"/>
      <c r="CH35" s="50"/>
      <c r="CI35" s="37"/>
      <c r="CJ35" s="46"/>
      <c r="CK35" s="118"/>
      <c r="CL35" s="92"/>
      <c r="CM35" s="50"/>
      <c r="CN35" s="17"/>
      <c r="CO35" s="37"/>
      <c r="CP35" s="46"/>
      <c r="CQ35" s="118"/>
      <c r="CR35" s="92"/>
      <c r="CS35" s="17"/>
      <c r="CT35" s="17"/>
      <c r="CU35" s="37"/>
      <c r="CV35" s="46"/>
      <c r="CW35" s="118"/>
      <c r="CX35" s="37">
        <v>200</v>
      </c>
      <c r="CY35" s="46">
        <v>0.5</v>
      </c>
      <c r="CZ35" s="118">
        <f t="shared" si="23"/>
        <v>100</v>
      </c>
      <c r="DA35" s="168">
        <f t="shared" si="24"/>
        <v>100</v>
      </c>
      <c r="DB35" s="168">
        <f t="shared" si="25"/>
        <v>100</v>
      </c>
      <c r="DC35" s="168"/>
      <c r="DD35" s="17" t="s">
        <v>290</v>
      </c>
      <c r="DE35" s="17"/>
      <c r="DF35" s="37">
        <v>200</v>
      </c>
      <c r="DG35" s="46">
        <v>0.5</v>
      </c>
      <c r="DH35" s="118">
        <f t="shared" ref="DH35:DH66" si="26">DF35*DG35</f>
        <v>100</v>
      </c>
      <c r="DI35" s="168">
        <f t="shared" si="11"/>
        <v>0</v>
      </c>
      <c r="DJ35" s="168">
        <f t="shared" si="12"/>
        <v>100</v>
      </c>
      <c r="DK35" s="17"/>
      <c r="DL35" s="17"/>
      <c r="DM35" s="17"/>
      <c r="DN35" s="168">
        <f t="shared" ref="DN35:DN66" si="27">SUM(DO35:DZ35)</f>
        <v>100</v>
      </c>
      <c r="DO35" s="165"/>
      <c r="DP35" s="165"/>
      <c r="DQ35" s="165"/>
      <c r="DR35" s="165"/>
      <c r="DS35" s="165"/>
      <c r="DT35" s="165"/>
      <c r="DU35" s="165"/>
      <c r="DV35" s="165"/>
      <c r="DW35" s="165"/>
      <c r="DX35" s="165">
        <v>100</v>
      </c>
      <c r="DY35" s="165"/>
      <c r="DZ35" s="165"/>
      <c r="EA35" s="50"/>
      <c r="EB35" s="50"/>
    </row>
    <row r="36" spans="1:132" s="91" customFormat="1" ht="16.25" hidden="1" customHeight="1" x14ac:dyDescent="0.4">
      <c r="A36" s="32" t="s">
        <v>97</v>
      </c>
      <c r="B36" s="32" t="s">
        <v>29</v>
      </c>
      <c r="C36" s="32" t="s">
        <v>20</v>
      </c>
      <c r="D36" s="16" t="s">
        <v>1005</v>
      </c>
      <c r="E36" s="87" t="s">
        <v>1006</v>
      </c>
      <c r="F36" s="87" t="s">
        <v>110</v>
      </c>
      <c r="G36" s="32" t="s">
        <v>101</v>
      </c>
      <c r="H36" s="32" t="s">
        <v>271</v>
      </c>
      <c r="I36" s="32" t="s">
        <v>292</v>
      </c>
      <c r="J36" s="33" t="s">
        <v>293</v>
      </c>
      <c r="K36" s="36" t="s">
        <v>294</v>
      </c>
      <c r="L36" s="36"/>
      <c r="M36" s="36"/>
      <c r="N36" s="36"/>
      <c r="O36" s="33" t="s">
        <v>295</v>
      </c>
      <c r="P36" s="32" t="s">
        <v>230</v>
      </c>
      <c r="Q36" s="129"/>
      <c r="R36" s="129"/>
      <c r="S36" s="129"/>
      <c r="T36" s="129"/>
      <c r="U36" s="129"/>
      <c r="V36" s="129"/>
      <c r="W36" s="129">
        <f>CC36</f>
        <v>150</v>
      </c>
      <c r="X36" s="129"/>
      <c r="Y36" s="129"/>
      <c r="Z36" s="129"/>
      <c r="AA36" s="129"/>
      <c r="AB36" s="129"/>
      <c r="AC36" s="32"/>
      <c r="AD36" s="37">
        <v>300</v>
      </c>
      <c r="AE36" s="37"/>
      <c r="AF36" s="37"/>
      <c r="AG36" s="37"/>
      <c r="AH36" s="158"/>
      <c r="AI36" s="160"/>
      <c r="AJ36" s="37">
        <v>0</v>
      </c>
      <c r="AK36" s="46">
        <v>0</v>
      </c>
      <c r="AL36" s="47">
        <f>AJ36*AK36</f>
        <v>0</v>
      </c>
      <c r="AM36" s="162"/>
      <c r="AN36" s="39">
        <v>0</v>
      </c>
      <c r="AO36" s="45"/>
      <c r="AP36" s="45"/>
      <c r="AQ36" s="160"/>
      <c r="AR36" s="37">
        <v>300</v>
      </c>
      <c r="AS36" s="46">
        <v>0.5</v>
      </c>
      <c r="AT36" s="37">
        <f>AR36*AS36</f>
        <v>150</v>
      </c>
      <c r="AU36" s="48"/>
      <c r="AV36" s="49">
        <f>AU36*AS36</f>
        <v>0</v>
      </c>
      <c r="AW36" s="48"/>
      <c r="AY36" s="37">
        <v>300</v>
      </c>
      <c r="AZ36" s="46">
        <v>0.5</v>
      </c>
      <c r="BA36" s="37">
        <f>AY36*AZ36</f>
        <v>150</v>
      </c>
      <c r="BB36" s="39">
        <f>BA36-AT36</f>
        <v>0</v>
      </c>
      <c r="BC36" s="50"/>
      <c r="BE36" s="37">
        <v>300</v>
      </c>
      <c r="BF36" s="46">
        <v>0.5</v>
      </c>
      <c r="BG36" s="37">
        <f>BE36*BF36</f>
        <v>150</v>
      </c>
      <c r="BH36" s="37"/>
      <c r="BI36" s="39">
        <f>BG36-BA36</f>
        <v>0</v>
      </c>
      <c r="BJ36" s="39"/>
      <c r="BK36" s="50"/>
      <c r="BM36" s="37">
        <v>300</v>
      </c>
      <c r="BN36" s="46">
        <v>0.5</v>
      </c>
      <c r="BO36" s="100">
        <f>BM36*BN36</f>
        <v>150</v>
      </c>
      <c r="BP36" s="37">
        <f>VLOOKUP(D36,'May FF'!B$3:C$38,2,0)/1000</f>
        <v>150</v>
      </c>
      <c r="BQ36" s="92">
        <f>BO36-BA36</f>
        <v>0</v>
      </c>
      <c r="BR36" s="59"/>
      <c r="BS36" s="50"/>
      <c r="BU36" s="37">
        <v>300</v>
      </c>
      <c r="BV36" s="46">
        <v>0.5</v>
      </c>
      <c r="BW36" s="118">
        <f>BU36*BV36</f>
        <v>150</v>
      </c>
      <c r="BX36" s="118">
        <f>BW36-BO36</f>
        <v>0</v>
      </c>
      <c r="BY36" s="50"/>
      <c r="CA36" s="37">
        <v>300</v>
      </c>
      <c r="CB36" s="46">
        <v>0.5</v>
      </c>
      <c r="CC36" s="118">
        <f t="shared" ref="CC36:CC51" si="28">CA36*CB36</f>
        <v>150</v>
      </c>
      <c r="CD36" s="118"/>
      <c r="CE36" s="92">
        <f t="shared" ref="CE36:CE51" si="29">CC36-BW36</f>
        <v>0</v>
      </c>
      <c r="CF36" s="92">
        <f t="shared" ref="CF36:CF51" si="30">CC36-BO36</f>
        <v>0</v>
      </c>
      <c r="CG36" s="50"/>
      <c r="CI36" s="163">
        <v>300</v>
      </c>
      <c r="CJ36" s="164">
        <v>0.5</v>
      </c>
      <c r="CK36" s="165">
        <f t="shared" ref="CK36:CK51" si="31">CI36*CJ36</f>
        <v>150</v>
      </c>
      <c r="CL36" s="92">
        <f t="shared" ref="CL36:CL51" si="32">CK36-CC36</f>
        <v>0</v>
      </c>
      <c r="CM36" s="50"/>
      <c r="CO36" s="163">
        <v>300</v>
      </c>
      <c r="CP36" s="164">
        <v>0.5</v>
      </c>
      <c r="CQ36" s="165">
        <f t="shared" ref="CQ36:CQ53" si="33">CO36*CP36</f>
        <v>150</v>
      </c>
      <c r="CR36" s="168">
        <f t="shared" ref="CR36:CR51" si="34">CQ36-CK36</f>
        <v>0</v>
      </c>
      <c r="CU36" s="163">
        <v>300</v>
      </c>
      <c r="CV36" s="164">
        <v>0.5</v>
      </c>
      <c r="CW36" s="165">
        <f t="shared" ref="CW36:CW51" si="35">CU36*CV36</f>
        <v>150</v>
      </c>
      <c r="CX36" s="163">
        <v>30</v>
      </c>
      <c r="CY36" s="164">
        <v>1</v>
      </c>
      <c r="CZ36" s="165">
        <f t="shared" si="23"/>
        <v>30</v>
      </c>
      <c r="DA36" s="168">
        <f t="shared" si="24"/>
        <v>-120</v>
      </c>
      <c r="DB36" s="168">
        <f t="shared" si="25"/>
        <v>-120</v>
      </c>
      <c r="DC36" s="168"/>
      <c r="DF36" s="163">
        <v>30</v>
      </c>
      <c r="DG36" s="164">
        <v>1</v>
      </c>
      <c r="DH36" s="165">
        <f t="shared" si="26"/>
        <v>30</v>
      </c>
      <c r="DI36" s="168">
        <f t="shared" si="11"/>
        <v>0</v>
      </c>
      <c r="DJ36" s="168">
        <f t="shared" si="12"/>
        <v>-120</v>
      </c>
      <c r="DK36" s="168"/>
      <c r="DL36" s="168"/>
      <c r="DM36" s="168"/>
      <c r="DN36" s="168">
        <f t="shared" si="27"/>
        <v>30</v>
      </c>
      <c r="DO36" s="165">
        <v>0</v>
      </c>
      <c r="DP36" s="165">
        <v>0</v>
      </c>
      <c r="DQ36" s="165">
        <v>0</v>
      </c>
      <c r="DR36" s="165">
        <v>0</v>
      </c>
      <c r="DS36" s="165">
        <v>0</v>
      </c>
      <c r="DT36" s="165">
        <v>0</v>
      </c>
      <c r="DU36" s="165">
        <v>0</v>
      </c>
      <c r="DV36" s="165">
        <v>0</v>
      </c>
      <c r="DW36" s="165">
        <v>0</v>
      </c>
      <c r="DX36" s="165">
        <v>30</v>
      </c>
      <c r="DY36" s="165">
        <v>0</v>
      </c>
      <c r="DZ36" s="165">
        <v>0</v>
      </c>
      <c r="EA36" s="168"/>
    </row>
    <row r="37" spans="1:132" s="50" customFormat="1" ht="16.25" hidden="1" customHeight="1" x14ac:dyDescent="0.4">
      <c r="A37" s="36" t="s">
        <v>97</v>
      </c>
      <c r="B37" s="36" t="s">
        <v>29</v>
      </c>
      <c r="C37" s="36" t="s">
        <v>27</v>
      </c>
      <c r="D37" s="36" t="s">
        <v>297</v>
      </c>
      <c r="E37" s="38" t="s">
        <v>298</v>
      </c>
      <c r="F37" s="33" t="s">
        <v>114</v>
      </c>
      <c r="G37" s="51" t="s">
        <v>263</v>
      </c>
      <c r="H37" s="51"/>
      <c r="I37" s="16"/>
      <c r="J37" s="33"/>
      <c r="K37" s="36"/>
      <c r="L37" s="36"/>
      <c r="M37" s="36"/>
      <c r="N37" s="36"/>
      <c r="O37" s="38" t="s">
        <v>299</v>
      </c>
      <c r="P37" s="36" t="s">
        <v>361</v>
      </c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36"/>
      <c r="AD37" s="37"/>
      <c r="AE37" s="37"/>
      <c r="AF37" s="37"/>
      <c r="AG37" s="37"/>
      <c r="AH37" s="34"/>
      <c r="AI37" s="34"/>
      <c r="AJ37" s="37">
        <v>0</v>
      </c>
      <c r="AK37" s="46">
        <v>0</v>
      </c>
      <c r="AL37" s="47">
        <f>AJ37*AK37</f>
        <v>0</v>
      </c>
      <c r="AM37" s="47"/>
      <c r="AN37" s="39">
        <v>0</v>
      </c>
      <c r="AO37" s="97">
        <v>0</v>
      </c>
      <c r="AP37" s="39">
        <v>0</v>
      </c>
      <c r="AQ37" s="45"/>
      <c r="AR37" s="45">
        <v>600</v>
      </c>
      <c r="AS37" s="46">
        <v>0.5</v>
      </c>
      <c r="AT37" s="39">
        <f>AR37*AS37</f>
        <v>300</v>
      </c>
      <c r="AU37" s="48"/>
      <c r="AV37" s="49">
        <f>AU37*AS37</f>
        <v>0</v>
      </c>
      <c r="AW37" s="48"/>
      <c r="AY37" s="45">
        <v>500</v>
      </c>
      <c r="AZ37" s="46">
        <v>1</v>
      </c>
      <c r="BA37" s="39">
        <f>AY37*AZ37</f>
        <v>500</v>
      </c>
      <c r="BB37" s="39"/>
      <c r="BE37" s="45">
        <v>600</v>
      </c>
      <c r="BF37" s="46">
        <v>0.9</v>
      </c>
      <c r="BG37" s="39">
        <f>BE37*BF37</f>
        <v>540</v>
      </c>
      <c r="BH37" s="39"/>
      <c r="BI37" s="39">
        <f>BG37-BA37</f>
        <v>40</v>
      </c>
      <c r="BJ37" s="39"/>
      <c r="BM37" s="45">
        <v>2000</v>
      </c>
      <c r="BN37" s="120">
        <v>1</v>
      </c>
      <c r="BO37" s="39">
        <f>BM37*BN37</f>
        <v>2000</v>
      </c>
      <c r="BP37" s="39"/>
      <c r="BQ37" s="92">
        <f>BO37-BA37</f>
        <v>1500</v>
      </c>
      <c r="BR37" s="59"/>
      <c r="BU37" s="45">
        <v>2000</v>
      </c>
      <c r="BV37" s="120">
        <v>1</v>
      </c>
      <c r="BW37" s="118">
        <f>BU37*BV37</f>
        <v>2000</v>
      </c>
      <c r="BX37" s="118">
        <f>BW37-BO37</f>
        <v>0</v>
      </c>
      <c r="CA37" s="45">
        <v>2000</v>
      </c>
      <c r="CB37" s="120">
        <v>1</v>
      </c>
      <c r="CC37" s="118">
        <f t="shared" si="28"/>
        <v>2000</v>
      </c>
      <c r="CD37" s="118"/>
      <c r="CE37" s="92">
        <f t="shared" si="29"/>
        <v>0</v>
      </c>
      <c r="CF37" s="92">
        <f t="shared" si="30"/>
        <v>0</v>
      </c>
      <c r="CI37" s="45">
        <v>2000</v>
      </c>
      <c r="CJ37" s="120">
        <v>1</v>
      </c>
      <c r="CK37" s="118">
        <f t="shared" si="31"/>
        <v>2000</v>
      </c>
      <c r="CL37" s="92">
        <f t="shared" si="32"/>
        <v>0</v>
      </c>
      <c r="CO37" s="45">
        <v>2000</v>
      </c>
      <c r="CP37" s="120">
        <v>1</v>
      </c>
      <c r="CQ37" s="118">
        <f t="shared" si="33"/>
        <v>2000</v>
      </c>
      <c r="CR37" s="92">
        <f t="shared" si="34"/>
        <v>0</v>
      </c>
      <c r="CU37" s="45">
        <v>2000</v>
      </c>
      <c r="CV37" s="120">
        <v>1</v>
      </c>
      <c r="CW37" s="118">
        <f t="shared" si="35"/>
        <v>2000</v>
      </c>
      <c r="CX37" s="45">
        <v>2000</v>
      </c>
      <c r="CY37" s="120">
        <v>1</v>
      </c>
      <c r="CZ37" s="118">
        <f t="shared" si="23"/>
        <v>2000</v>
      </c>
      <c r="DA37" s="92">
        <f>CW37-CQ37</f>
        <v>0</v>
      </c>
      <c r="DB37" s="92"/>
      <c r="DC37" s="92"/>
      <c r="DF37" s="45">
        <v>0</v>
      </c>
      <c r="DG37" s="120">
        <v>1</v>
      </c>
      <c r="DH37" s="118">
        <f t="shared" si="26"/>
        <v>0</v>
      </c>
      <c r="DI37" s="168">
        <f t="shared" si="11"/>
        <v>-2000</v>
      </c>
      <c r="DJ37" s="168">
        <f t="shared" si="12"/>
        <v>-2000</v>
      </c>
      <c r="DN37" s="168">
        <f t="shared" si="27"/>
        <v>0</v>
      </c>
      <c r="DO37" s="165">
        <v>0</v>
      </c>
      <c r="DP37" s="165">
        <v>0</v>
      </c>
      <c r="DQ37" s="165">
        <v>0</v>
      </c>
      <c r="DR37" s="165">
        <v>0</v>
      </c>
      <c r="DS37" s="165">
        <v>0</v>
      </c>
      <c r="DT37" s="165">
        <v>0</v>
      </c>
      <c r="DU37" s="165">
        <v>0</v>
      </c>
      <c r="DV37" s="165">
        <v>0</v>
      </c>
      <c r="DW37" s="165">
        <v>0</v>
      </c>
      <c r="DX37" s="165">
        <v>0</v>
      </c>
      <c r="DY37" s="165">
        <v>0</v>
      </c>
      <c r="DZ37" s="165">
        <v>0</v>
      </c>
    </row>
    <row r="38" spans="1:132" s="91" customFormat="1" ht="16.25" hidden="1" customHeight="1" x14ac:dyDescent="0.4">
      <c r="A38" s="32" t="s">
        <v>97</v>
      </c>
      <c r="B38" s="32" t="s">
        <v>29</v>
      </c>
      <c r="C38" s="32" t="s">
        <v>20</v>
      </c>
      <c r="D38" s="16" t="s">
        <v>296</v>
      </c>
      <c r="E38" s="87" t="s">
        <v>1007</v>
      </c>
      <c r="F38" s="87" t="s">
        <v>110</v>
      </c>
      <c r="G38" s="32" t="s">
        <v>101</v>
      </c>
      <c r="H38" s="32" t="s">
        <v>271</v>
      </c>
      <c r="I38" s="32" t="s">
        <v>292</v>
      </c>
      <c r="J38" s="35"/>
      <c r="K38" s="36" t="s">
        <v>294</v>
      </c>
      <c r="L38" s="36"/>
      <c r="M38" s="36"/>
      <c r="N38" s="36" t="s">
        <v>149</v>
      </c>
      <c r="O38" s="33" t="s">
        <v>1008</v>
      </c>
      <c r="P38" s="32" t="s">
        <v>230</v>
      </c>
      <c r="Q38" s="129"/>
      <c r="R38" s="129"/>
      <c r="S38" s="129"/>
      <c r="T38" s="129"/>
      <c r="U38" s="129"/>
      <c r="V38" s="129"/>
      <c r="W38" s="129">
        <f>CC38</f>
        <v>150</v>
      </c>
      <c r="X38" s="129"/>
      <c r="Y38" s="129"/>
      <c r="Z38" s="129"/>
      <c r="AA38" s="129"/>
      <c r="AB38" s="129"/>
      <c r="AC38" s="32"/>
      <c r="AD38" s="37">
        <v>300</v>
      </c>
      <c r="AE38" s="37"/>
      <c r="AF38" s="37"/>
      <c r="AG38" s="37"/>
      <c r="AH38" s="158"/>
      <c r="AI38" s="160"/>
      <c r="AJ38" s="37">
        <v>0</v>
      </c>
      <c r="AK38" s="46">
        <v>0</v>
      </c>
      <c r="AL38" s="47">
        <f>AJ38*AK38</f>
        <v>0</v>
      </c>
      <c r="AM38" s="162"/>
      <c r="AN38" s="39">
        <v>0</v>
      </c>
      <c r="AO38" s="45"/>
      <c r="AP38" s="45"/>
      <c r="AQ38" s="160"/>
      <c r="AR38" s="37">
        <v>300</v>
      </c>
      <c r="AS38" s="46">
        <v>0.5</v>
      </c>
      <c r="AT38" s="37">
        <f>AR38*AS38</f>
        <v>150</v>
      </c>
      <c r="AU38" s="48"/>
      <c r="AV38" s="49">
        <f>AU38*AS38</f>
        <v>0</v>
      </c>
      <c r="AW38" s="48"/>
      <c r="AY38" s="37">
        <v>300</v>
      </c>
      <c r="AZ38" s="46">
        <v>0.5</v>
      </c>
      <c r="BA38" s="37">
        <f>AY38*AZ38</f>
        <v>150</v>
      </c>
      <c r="BB38" s="39">
        <f>BA38-AT38</f>
        <v>0</v>
      </c>
      <c r="BC38" s="50"/>
      <c r="BE38" s="37">
        <v>300</v>
      </c>
      <c r="BF38" s="46">
        <v>0.5</v>
      </c>
      <c r="BG38" s="37">
        <f>BE38*BF38</f>
        <v>150</v>
      </c>
      <c r="BH38" s="37"/>
      <c r="BI38" s="39">
        <f>BG38-BA38</f>
        <v>0</v>
      </c>
      <c r="BJ38" s="39"/>
      <c r="BK38" s="50"/>
      <c r="BM38" s="37">
        <v>300</v>
      </c>
      <c r="BN38" s="46">
        <v>0.5</v>
      </c>
      <c r="BO38" s="100">
        <f>BM38*BN38</f>
        <v>150</v>
      </c>
      <c r="BP38" s="37">
        <f>VLOOKUP(D38,'May FF'!B$3:C$38,2,0)/1000</f>
        <v>150</v>
      </c>
      <c r="BQ38" s="92">
        <f>BO38-BA38</f>
        <v>0</v>
      </c>
      <c r="BR38" s="59"/>
      <c r="BS38" s="50"/>
      <c r="BU38" s="37">
        <v>300</v>
      </c>
      <c r="BV38" s="46">
        <v>0.5</v>
      </c>
      <c r="BW38" s="118">
        <f>BU38*BV38</f>
        <v>150</v>
      </c>
      <c r="BX38" s="118">
        <f>BW38-BO38</f>
        <v>0</v>
      </c>
      <c r="BY38" s="50"/>
      <c r="CA38" s="37">
        <v>300</v>
      </c>
      <c r="CB38" s="46">
        <v>0.5</v>
      </c>
      <c r="CC38" s="118">
        <f t="shared" si="28"/>
        <v>150</v>
      </c>
      <c r="CD38" s="118"/>
      <c r="CE38" s="92">
        <f t="shared" si="29"/>
        <v>0</v>
      </c>
      <c r="CF38" s="92">
        <f t="shared" si="30"/>
        <v>0</v>
      </c>
      <c r="CG38" s="50"/>
      <c r="CI38" s="163">
        <v>300</v>
      </c>
      <c r="CJ38" s="164">
        <v>0.5</v>
      </c>
      <c r="CK38" s="165">
        <f t="shared" si="31"/>
        <v>150</v>
      </c>
      <c r="CL38" s="92">
        <f t="shared" si="32"/>
        <v>0</v>
      </c>
      <c r="CM38" s="50"/>
      <c r="CO38" s="163">
        <v>300</v>
      </c>
      <c r="CP38" s="164">
        <v>0.5</v>
      </c>
      <c r="CQ38" s="165">
        <f t="shared" si="33"/>
        <v>150</v>
      </c>
      <c r="CR38" s="168">
        <f t="shared" si="34"/>
        <v>0</v>
      </c>
      <c r="CU38" s="163">
        <v>300</v>
      </c>
      <c r="CV38" s="164">
        <v>0.5</v>
      </c>
      <c r="CW38" s="165">
        <f t="shared" si="35"/>
        <v>150</v>
      </c>
      <c r="CX38" s="163">
        <v>300</v>
      </c>
      <c r="CY38" s="164">
        <v>0.5</v>
      </c>
      <c r="CZ38" s="165">
        <f t="shared" si="23"/>
        <v>150</v>
      </c>
      <c r="DA38" s="168">
        <f>CZ38-CQ38</f>
        <v>0</v>
      </c>
      <c r="DB38" s="168">
        <f>CZ38-CW38</f>
        <v>0</v>
      </c>
      <c r="DC38" s="168"/>
      <c r="DF38" s="163">
        <v>300</v>
      </c>
      <c r="DG38" s="164">
        <v>0.5</v>
      </c>
      <c r="DH38" s="165">
        <f t="shared" si="26"/>
        <v>150</v>
      </c>
      <c r="DI38" s="168">
        <f t="shared" si="11"/>
        <v>0</v>
      </c>
      <c r="DJ38" s="168">
        <f t="shared" si="12"/>
        <v>0</v>
      </c>
      <c r="DK38" s="168"/>
      <c r="DL38" s="168"/>
      <c r="DM38" s="168"/>
      <c r="DN38" s="168">
        <f t="shared" si="27"/>
        <v>150</v>
      </c>
      <c r="DO38" s="165">
        <v>0</v>
      </c>
      <c r="DP38" s="165">
        <v>0</v>
      </c>
      <c r="DQ38" s="165">
        <v>0</v>
      </c>
      <c r="DR38" s="165">
        <v>0</v>
      </c>
      <c r="DS38" s="165">
        <v>0</v>
      </c>
      <c r="DT38" s="165">
        <v>0</v>
      </c>
      <c r="DU38" s="165">
        <v>0</v>
      </c>
      <c r="DV38" s="165">
        <v>0</v>
      </c>
      <c r="DW38" s="165">
        <v>0</v>
      </c>
      <c r="DX38" s="165">
        <v>150</v>
      </c>
      <c r="DY38" s="165">
        <v>0</v>
      </c>
      <c r="DZ38" s="165">
        <v>0</v>
      </c>
      <c r="EA38" s="168"/>
    </row>
    <row r="39" spans="1:132" s="91" customFormat="1" ht="16.25" hidden="1" customHeight="1" x14ac:dyDescent="0.4">
      <c r="A39" s="32" t="s">
        <v>97</v>
      </c>
      <c r="B39" s="32" t="s">
        <v>29</v>
      </c>
      <c r="C39" s="32" t="s">
        <v>27</v>
      </c>
      <c r="D39" s="32" t="s">
        <v>300</v>
      </c>
      <c r="E39" s="87" t="s">
        <v>301</v>
      </c>
      <c r="F39" s="87" t="s">
        <v>110</v>
      </c>
      <c r="G39" s="32" t="s">
        <v>101</v>
      </c>
      <c r="H39" s="32"/>
      <c r="I39" s="51" t="s">
        <v>302</v>
      </c>
      <c r="J39" s="38"/>
      <c r="K39" s="36" t="s">
        <v>184</v>
      </c>
      <c r="L39" s="36"/>
      <c r="M39" s="38"/>
      <c r="N39" s="36" t="s">
        <v>303</v>
      </c>
      <c r="O39" s="91" t="s">
        <v>304</v>
      </c>
      <c r="P39" s="32" t="s">
        <v>230</v>
      </c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32"/>
      <c r="AD39" s="37"/>
      <c r="AE39" s="37"/>
      <c r="AF39" s="37"/>
      <c r="AG39" s="37"/>
      <c r="AH39" s="158"/>
      <c r="AI39" s="158"/>
      <c r="AJ39" s="37">
        <v>0</v>
      </c>
      <c r="AK39" s="46">
        <v>0</v>
      </c>
      <c r="AL39" s="47">
        <f>AJ39*AK39</f>
        <v>0</v>
      </c>
      <c r="AM39" s="162"/>
      <c r="AN39" s="39">
        <v>0</v>
      </c>
      <c r="AO39" s="97">
        <v>0</v>
      </c>
      <c r="AP39" s="39">
        <v>0</v>
      </c>
      <c r="AQ39" s="160"/>
      <c r="AR39" s="45">
        <v>2000</v>
      </c>
      <c r="AS39" s="52">
        <v>0.5</v>
      </c>
      <c r="AT39" s="39">
        <f>AR39*AS39</f>
        <v>1000</v>
      </c>
      <c r="AU39" s="48"/>
      <c r="AV39" s="49"/>
      <c r="AW39" s="48"/>
      <c r="AY39" s="45">
        <v>2000</v>
      </c>
      <c r="AZ39" s="52">
        <v>0.5</v>
      </c>
      <c r="BA39" s="39">
        <f>AY39*AZ39</f>
        <v>1000</v>
      </c>
      <c r="BB39" s="39">
        <f>BA39-AT39</f>
        <v>0</v>
      </c>
      <c r="BC39" s="50"/>
      <c r="BE39" s="45">
        <v>2000</v>
      </c>
      <c r="BF39" s="52">
        <v>0.5</v>
      </c>
      <c r="BG39" s="39">
        <f>BE39*BF39</f>
        <v>1000</v>
      </c>
      <c r="BH39" s="39"/>
      <c r="BI39" s="39">
        <f>BG39-BA39</f>
        <v>0</v>
      </c>
      <c r="BJ39" s="39"/>
      <c r="BK39" s="50"/>
      <c r="BM39" s="45">
        <v>0</v>
      </c>
      <c r="BN39" s="52">
        <v>0.5</v>
      </c>
      <c r="BO39" s="39">
        <f>BM39*BN39</f>
        <v>0</v>
      </c>
      <c r="BP39" s="37">
        <f>VLOOKUP(D39,'May FF'!B$3:C$38,2,0)/1000</f>
        <v>1000</v>
      </c>
      <c r="BQ39" s="92">
        <f>BO39-BA39</f>
        <v>-1000</v>
      </c>
      <c r="BR39" s="34" t="s">
        <v>193</v>
      </c>
      <c r="BS39" s="50" t="s">
        <v>305</v>
      </c>
      <c r="BU39" s="45">
        <v>0</v>
      </c>
      <c r="BV39" s="52">
        <v>0.5</v>
      </c>
      <c r="BW39" s="118">
        <f>BU39*BV39</f>
        <v>0</v>
      </c>
      <c r="BX39" s="118">
        <f>BW39-BO39</f>
        <v>0</v>
      </c>
      <c r="BY39" s="50"/>
      <c r="CA39" s="45">
        <v>0</v>
      </c>
      <c r="CB39" s="52">
        <v>0.5</v>
      </c>
      <c r="CC39" s="118">
        <f t="shared" si="28"/>
        <v>0</v>
      </c>
      <c r="CD39" s="118"/>
      <c r="CE39" s="92">
        <f t="shared" si="29"/>
        <v>0</v>
      </c>
      <c r="CF39" s="92">
        <f t="shared" si="30"/>
        <v>0</v>
      </c>
      <c r="CG39" s="50"/>
      <c r="CI39" s="160">
        <v>0</v>
      </c>
      <c r="CJ39" s="167">
        <v>0.5</v>
      </c>
      <c r="CK39" s="165">
        <f t="shared" si="31"/>
        <v>0</v>
      </c>
      <c r="CL39" s="92">
        <f t="shared" si="32"/>
        <v>0</v>
      </c>
      <c r="CM39" s="50"/>
      <c r="CO39" s="160">
        <v>300</v>
      </c>
      <c r="CP39" s="167">
        <v>0.9</v>
      </c>
      <c r="CQ39" s="165">
        <f t="shared" si="33"/>
        <v>270</v>
      </c>
      <c r="CR39" s="168">
        <f t="shared" si="34"/>
        <v>270</v>
      </c>
      <c r="CU39" s="160">
        <v>300</v>
      </c>
      <c r="CV39" s="167">
        <v>0.9</v>
      </c>
      <c r="CW39" s="165">
        <f t="shared" si="35"/>
        <v>270</v>
      </c>
      <c r="CX39" s="160">
        <v>300</v>
      </c>
      <c r="CY39" s="167">
        <v>0.9</v>
      </c>
      <c r="CZ39" s="165">
        <f t="shared" si="23"/>
        <v>270</v>
      </c>
      <c r="DA39" s="168">
        <f>CZ39-CQ39</f>
        <v>0</v>
      </c>
      <c r="DB39" s="168">
        <f>CZ39-CW39</f>
        <v>0</v>
      </c>
      <c r="DC39" s="168"/>
      <c r="DF39" s="160">
        <v>500</v>
      </c>
      <c r="DG39" s="167">
        <v>0.5</v>
      </c>
      <c r="DH39" s="165">
        <f t="shared" si="26"/>
        <v>250</v>
      </c>
      <c r="DI39" s="168">
        <f t="shared" si="11"/>
        <v>-20</v>
      </c>
      <c r="DJ39" s="168">
        <f t="shared" si="12"/>
        <v>-20</v>
      </c>
      <c r="DK39" s="165"/>
      <c r="DL39" s="165"/>
      <c r="DM39" s="165"/>
      <c r="DN39" s="168">
        <f t="shared" si="27"/>
        <v>250</v>
      </c>
      <c r="DO39" s="165">
        <v>0</v>
      </c>
      <c r="DP39" s="165">
        <v>0</v>
      </c>
      <c r="DQ39" s="165">
        <v>0</v>
      </c>
      <c r="DR39" s="165">
        <v>0</v>
      </c>
      <c r="DS39" s="165">
        <v>0</v>
      </c>
      <c r="DT39" s="165">
        <v>0</v>
      </c>
      <c r="DU39" s="165">
        <v>0</v>
      </c>
      <c r="DV39" s="165">
        <v>0</v>
      </c>
      <c r="DW39" s="165">
        <v>0</v>
      </c>
      <c r="DX39" s="165">
        <v>250</v>
      </c>
      <c r="DY39" s="165">
        <v>0</v>
      </c>
      <c r="DZ39" s="165">
        <v>0</v>
      </c>
    </row>
    <row r="40" spans="1:132" s="50" customFormat="1" ht="16.25" hidden="1" customHeight="1" x14ac:dyDescent="0.4">
      <c r="A40" s="36" t="s">
        <v>97</v>
      </c>
      <c r="B40" s="36" t="s">
        <v>29</v>
      </c>
      <c r="C40" s="36" t="s">
        <v>27</v>
      </c>
      <c r="D40" s="36" t="s">
        <v>306</v>
      </c>
      <c r="E40" s="38" t="s">
        <v>307</v>
      </c>
      <c r="F40" s="38" t="s">
        <v>110</v>
      </c>
      <c r="G40" s="36" t="s">
        <v>263</v>
      </c>
      <c r="H40" s="36"/>
      <c r="I40" s="51"/>
      <c r="J40" s="33"/>
      <c r="K40" s="36"/>
      <c r="L40" s="36"/>
      <c r="M40" s="36"/>
      <c r="N40" s="36"/>
      <c r="O40" s="33"/>
      <c r="P40" s="36" t="s">
        <v>361</v>
      </c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36"/>
      <c r="AD40" s="39"/>
      <c r="AE40" s="39"/>
      <c r="AF40" s="37"/>
      <c r="AG40" s="37"/>
      <c r="AH40" s="34"/>
      <c r="AI40" s="45"/>
      <c r="AJ40" s="37"/>
      <c r="AK40" s="46"/>
      <c r="AL40" s="47"/>
      <c r="AM40" s="47"/>
      <c r="AN40" s="39"/>
      <c r="AO40" s="97"/>
      <c r="AP40" s="39"/>
      <c r="AQ40" s="45"/>
      <c r="AR40" s="39"/>
      <c r="AS40" s="40"/>
      <c r="AT40" s="39"/>
      <c r="AU40" s="48"/>
      <c r="AV40" s="49"/>
      <c r="AW40" s="48"/>
      <c r="AY40" s="39"/>
      <c r="AZ40" s="46"/>
      <c r="BA40" s="39"/>
      <c r="BB40" s="39"/>
      <c r="BE40" s="39"/>
      <c r="BF40" s="40"/>
      <c r="BG40" s="39"/>
      <c r="BH40" s="39"/>
      <c r="BI40" s="39"/>
      <c r="BJ40" s="39"/>
      <c r="BM40" s="39"/>
      <c r="BN40" s="120"/>
      <c r="BO40" s="39"/>
      <c r="BP40" s="39"/>
      <c r="BQ40" s="92"/>
      <c r="BR40" s="59"/>
      <c r="BU40" s="39"/>
      <c r="BV40" s="120"/>
      <c r="BW40" s="118"/>
      <c r="BX40" s="118"/>
      <c r="CA40" s="39">
        <v>2000</v>
      </c>
      <c r="CB40" s="101">
        <v>1</v>
      </c>
      <c r="CC40" s="118">
        <f t="shared" si="28"/>
        <v>2000</v>
      </c>
      <c r="CD40" s="118"/>
      <c r="CE40" s="92">
        <f t="shared" si="29"/>
        <v>2000</v>
      </c>
      <c r="CF40" s="92">
        <f t="shared" si="30"/>
        <v>2000</v>
      </c>
      <c r="CI40" s="39">
        <v>0</v>
      </c>
      <c r="CJ40" s="101">
        <v>0</v>
      </c>
      <c r="CK40" s="118">
        <f t="shared" si="31"/>
        <v>0</v>
      </c>
      <c r="CL40" s="92">
        <f t="shared" si="32"/>
        <v>-2000</v>
      </c>
      <c r="CO40" s="39">
        <v>0</v>
      </c>
      <c r="CP40" s="101">
        <v>0</v>
      </c>
      <c r="CQ40" s="118">
        <f t="shared" si="33"/>
        <v>0</v>
      </c>
      <c r="CR40" s="92">
        <f t="shared" si="34"/>
        <v>0</v>
      </c>
      <c r="CU40" s="39">
        <v>0</v>
      </c>
      <c r="CV40" s="101">
        <v>0</v>
      </c>
      <c r="CW40" s="118">
        <f t="shared" si="35"/>
        <v>0</v>
      </c>
      <c r="CX40" s="39">
        <v>0</v>
      </c>
      <c r="CY40" s="101">
        <v>0</v>
      </c>
      <c r="CZ40" s="118">
        <f t="shared" si="23"/>
        <v>0</v>
      </c>
      <c r="DA40" s="92">
        <f>CW40-CQ40</f>
        <v>0</v>
      </c>
      <c r="DB40" s="92"/>
      <c r="DC40" s="92"/>
      <c r="DF40" s="39">
        <v>0</v>
      </c>
      <c r="DG40" s="101">
        <v>0</v>
      </c>
      <c r="DH40" s="118">
        <f t="shared" si="26"/>
        <v>0</v>
      </c>
      <c r="DI40" s="168">
        <f t="shared" si="11"/>
        <v>0</v>
      </c>
      <c r="DJ40" s="168">
        <f t="shared" si="12"/>
        <v>0</v>
      </c>
      <c r="DN40" s="168">
        <f t="shared" si="27"/>
        <v>0</v>
      </c>
      <c r="DO40" s="165">
        <v>0</v>
      </c>
      <c r="DP40" s="165">
        <v>0</v>
      </c>
      <c r="DQ40" s="165">
        <v>0</v>
      </c>
      <c r="DR40" s="165">
        <v>0</v>
      </c>
      <c r="DS40" s="165">
        <v>0</v>
      </c>
      <c r="DT40" s="165">
        <v>0</v>
      </c>
      <c r="DU40" s="165">
        <v>0</v>
      </c>
      <c r="DV40" s="165">
        <v>0</v>
      </c>
      <c r="DW40" s="165">
        <v>0</v>
      </c>
      <c r="DX40" s="165">
        <v>0</v>
      </c>
      <c r="DY40" s="165">
        <v>0</v>
      </c>
      <c r="DZ40" s="165">
        <v>0</v>
      </c>
    </row>
    <row r="41" spans="1:132" s="50" customFormat="1" ht="16.25" hidden="1" customHeight="1" x14ac:dyDescent="0.4">
      <c r="A41" s="36" t="s">
        <v>97</v>
      </c>
      <c r="B41" s="36" t="s">
        <v>29</v>
      </c>
      <c r="C41" s="36" t="s">
        <v>27</v>
      </c>
      <c r="D41" s="36" t="s">
        <v>313</v>
      </c>
      <c r="E41" s="38" t="s">
        <v>314</v>
      </c>
      <c r="F41" s="38" t="s">
        <v>110</v>
      </c>
      <c r="G41" s="36" t="s">
        <v>263</v>
      </c>
      <c r="H41" s="36"/>
      <c r="I41" s="51" t="s">
        <v>315</v>
      </c>
      <c r="J41" s="33" t="s">
        <v>316</v>
      </c>
      <c r="K41" s="36"/>
      <c r="L41" s="36"/>
      <c r="M41" s="36"/>
      <c r="N41" s="36"/>
      <c r="O41" s="33" t="s">
        <v>317</v>
      </c>
      <c r="P41" s="36" t="s">
        <v>193</v>
      </c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36"/>
      <c r="AD41" s="39">
        <v>800</v>
      </c>
      <c r="AE41" s="39"/>
      <c r="AF41" s="37"/>
      <c r="AG41" s="37"/>
      <c r="AH41" s="34"/>
      <c r="AI41" s="45"/>
      <c r="AJ41" s="37">
        <v>0</v>
      </c>
      <c r="AK41" s="46">
        <v>0</v>
      </c>
      <c r="AL41" s="47">
        <f>AJ41*AK41</f>
        <v>0</v>
      </c>
      <c r="AM41" s="47"/>
      <c r="AN41" s="39">
        <v>0</v>
      </c>
      <c r="AO41" s="97">
        <v>0</v>
      </c>
      <c r="AP41" s="39">
        <v>0</v>
      </c>
      <c r="AQ41" s="45"/>
      <c r="AR41" s="39">
        <v>800</v>
      </c>
      <c r="AS41" s="40">
        <v>0.5</v>
      </c>
      <c r="AT41" s="39">
        <v>400</v>
      </c>
      <c r="AU41" s="48"/>
      <c r="AV41" s="49">
        <f>AU41*AS41</f>
        <v>0</v>
      </c>
      <c r="AW41" s="48"/>
      <c r="AY41" s="39">
        <v>800</v>
      </c>
      <c r="AZ41" s="46">
        <v>1</v>
      </c>
      <c r="BA41" s="39">
        <f>AY41*AZ41</f>
        <v>800</v>
      </c>
      <c r="BB41" s="39"/>
      <c r="BE41" s="39">
        <v>800</v>
      </c>
      <c r="BF41" s="40">
        <v>0.9</v>
      </c>
      <c r="BG41" s="39">
        <f>BE41*BF41</f>
        <v>720</v>
      </c>
      <c r="BH41" s="39"/>
      <c r="BI41" s="39">
        <f>BG41-BA41</f>
        <v>-80</v>
      </c>
      <c r="BJ41" s="39"/>
      <c r="BM41" s="39">
        <v>0</v>
      </c>
      <c r="BN41" s="120">
        <v>1</v>
      </c>
      <c r="BO41" s="39">
        <f>BM41*BN41</f>
        <v>0</v>
      </c>
      <c r="BP41" s="39"/>
      <c r="BQ41" s="92">
        <f>BO41-BA41</f>
        <v>-800</v>
      </c>
      <c r="BR41" s="59" t="s">
        <v>318</v>
      </c>
      <c r="BU41" s="39">
        <v>0</v>
      </c>
      <c r="BV41" s="120">
        <v>1</v>
      </c>
      <c r="BW41" s="118">
        <f>BU41*BV41</f>
        <v>0</v>
      </c>
      <c r="BX41" s="118">
        <f>BW41-BO41</f>
        <v>0</v>
      </c>
      <c r="CA41" s="39">
        <v>0</v>
      </c>
      <c r="CB41" s="120">
        <v>1</v>
      </c>
      <c r="CC41" s="118">
        <f t="shared" si="28"/>
        <v>0</v>
      </c>
      <c r="CD41" s="118"/>
      <c r="CE41" s="92">
        <f t="shared" si="29"/>
        <v>0</v>
      </c>
      <c r="CF41" s="92">
        <f t="shared" si="30"/>
        <v>0</v>
      </c>
      <c r="CI41" s="39">
        <v>0</v>
      </c>
      <c r="CJ41" s="120">
        <v>1</v>
      </c>
      <c r="CK41" s="118">
        <f t="shared" si="31"/>
        <v>0</v>
      </c>
      <c r="CL41" s="92">
        <f t="shared" si="32"/>
        <v>0</v>
      </c>
      <c r="CO41" s="39">
        <v>0</v>
      </c>
      <c r="CP41" s="120">
        <v>1</v>
      </c>
      <c r="CQ41" s="118">
        <f t="shared" si="33"/>
        <v>0</v>
      </c>
      <c r="CR41" s="92">
        <f t="shared" si="34"/>
        <v>0</v>
      </c>
      <c r="CU41" s="39">
        <v>0</v>
      </c>
      <c r="CV41" s="120">
        <v>1</v>
      </c>
      <c r="CW41" s="118">
        <f t="shared" si="35"/>
        <v>0</v>
      </c>
      <c r="CX41" s="39">
        <v>0</v>
      </c>
      <c r="CY41" s="120">
        <v>1</v>
      </c>
      <c r="CZ41" s="118">
        <f t="shared" si="23"/>
        <v>0</v>
      </c>
      <c r="DA41" s="92">
        <f>CW41-CQ41</f>
        <v>0</v>
      </c>
      <c r="DB41" s="92"/>
      <c r="DC41" s="92"/>
      <c r="DF41" s="39">
        <v>0</v>
      </c>
      <c r="DG41" s="120">
        <v>1</v>
      </c>
      <c r="DH41" s="118">
        <f t="shared" si="26"/>
        <v>0</v>
      </c>
      <c r="DI41" s="168">
        <f t="shared" si="11"/>
        <v>0</v>
      </c>
      <c r="DJ41" s="168">
        <f t="shared" si="12"/>
        <v>0</v>
      </c>
      <c r="DN41" s="168">
        <f t="shared" si="27"/>
        <v>0</v>
      </c>
      <c r="DO41" s="165">
        <v>0</v>
      </c>
      <c r="DP41" s="165">
        <v>0</v>
      </c>
      <c r="DQ41" s="165">
        <v>0</v>
      </c>
      <c r="DR41" s="165">
        <v>0</v>
      </c>
      <c r="DS41" s="165">
        <v>0</v>
      </c>
      <c r="DT41" s="165">
        <v>0</v>
      </c>
      <c r="DU41" s="165">
        <v>0</v>
      </c>
      <c r="DV41" s="165">
        <v>0</v>
      </c>
      <c r="DW41" s="165">
        <v>0</v>
      </c>
      <c r="DX41" s="165">
        <v>0</v>
      </c>
      <c r="DY41" s="165">
        <v>0</v>
      </c>
      <c r="DZ41" s="165">
        <v>0</v>
      </c>
    </row>
    <row r="42" spans="1:132" s="91" customFormat="1" ht="16.25" hidden="1" customHeight="1" x14ac:dyDescent="0.4">
      <c r="A42" s="32" t="s">
        <v>97</v>
      </c>
      <c r="B42" s="32" t="s">
        <v>29</v>
      </c>
      <c r="C42" s="32" t="s">
        <v>27</v>
      </c>
      <c r="D42" s="32" t="s">
        <v>306</v>
      </c>
      <c r="E42" s="87" t="s">
        <v>308</v>
      </c>
      <c r="F42" s="87" t="s">
        <v>110</v>
      </c>
      <c r="G42" s="32" t="s">
        <v>101</v>
      </c>
      <c r="H42" s="32" t="s">
        <v>224</v>
      </c>
      <c r="I42" s="51" t="s">
        <v>302</v>
      </c>
      <c r="J42" s="38"/>
      <c r="K42" s="36" t="s">
        <v>309</v>
      </c>
      <c r="L42" s="36"/>
      <c r="M42" s="36"/>
      <c r="N42" s="36" t="s">
        <v>310</v>
      </c>
      <c r="O42" s="33" t="s">
        <v>311</v>
      </c>
      <c r="P42" s="32" t="s">
        <v>193</v>
      </c>
      <c r="Q42" s="129"/>
      <c r="R42" s="129"/>
      <c r="S42" s="129"/>
      <c r="T42" s="129"/>
      <c r="U42" s="129"/>
      <c r="V42" s="129"/>
      <c r="W42" s="129">
        <v>250</v>
      </c>
      <c r="X42" s="129"/>
      <c r="Y42" s="129"/>
      <c r="Z42" s="129"/>
      <c r="AA42" s="129"/>
      <c r="AB42" s="129"/>
      <c r="AC42" s="32"/>
      <c r="AD42" s="39">
        <v>3600</v>
      </c>
      <c r="AE42" s="39"/>
      <c r="AF42" s="37"/>
      <c r="AG42" s="37"/>
      <c r="AH42" s="158"/>
      <c r="AI42" s="160"/>
      <c r="AJ42" s="37">
        <v>0</v>
      </c>
      <c r="AK42" s="46">
        <v>0</v>
      </c>
      <c r="AL42" s="47">
        <f>AJ42*AK42</f>
        <v>0</v>
      </c>
      <c r="AM42" s="162"/>
      <c r="AN42" s="39">
        <v>0</v>
      </c>
      <c r="AO42" s="97">
        <v>0</v>
      </c>
      <c r="AP42" s="39">
        <v>0</v>
      </c>
      <c r="AQ42" s="163"/>
      <c r="AR42" s="39">
        <v>1600</v>
      </c>
      <c r="AS42" s="40">
        <v>0.5</v>
      </c>
      <c r="AT42" s="39">
        <v>800</v>
      </c>
      <c r="AU42" s="48"/>
      <c r="AV42" s="49">
        <f>AU42*AS42</f>
        <v>0</v>
      </c>
      <c r="AW42" s="48"/>
      <c r="AY42" s="39">
        <v>1600</v>
      </c>
      <c r="AZ42" s="40">
        <v>0.5</v>
      </c>
      <c r="BA42" s="39">
        <v>800</v>
      </c>
      <c r="BB42" s="39">
        <f>BA42-AT42</f>
        <v>0</v>
      </c>
      <c r="BC42" s="50"/>
      <c r="BE42" s="39">
        <v>1600</v>
      </c>
      <c r="BF42" s="40">
        <v>0.5</v>
      </c>
      <c r="BG42" s="39">
        <v>800</v>
      </c>
      <c r="BH42" s="39"/>
      <c r="BI42" s="39">
        <f>BG42-BA42</f>
        <v>0</v>
      </c>
      <c r="BJ42" s="39"/>
      <c r="BK42" s="50"/>
      <c r="BM42" s="39">
        <v>3600</v>
      </c>
      <c r="BN42" s="40">
        <v>0.5</v>
      </c>
      <c r="BO42" s="39">
        <f>BM42*BN42</f>
        <v>1800</v>
      </c>
      <c r="BP42" s="37">
        <v>1800</v>
      </c>
      <c r="BQ42" s="92">
        <f>BO42-BA42</f>
        <v>1000</v>
      </c>
      <c r="BR42" s="34" t="s">
        <v>193</v>
      </c>
      <c r="BS42" s="50"/>
      <c r="BU42" s="39">
        <v>3600</v>
      </c>
      <c r="BV42" s="40">
        <v>0.5</v>
      </c>
      <c r="BW42" s="118">
        <f>BU42*BV42</f>
        <v>1800</v>
      </c>
      <c r="BX42" s="118">
        <f>BW42-BO42</f>
        <v>0</v>
      </c>
      <c r="BY42" s="50"/>
      <c r="CA42" s="39">
        <v>3600</v>
      </c>
      <c r="CB42" s="40">
        <v>0</v>
      </c>
      <c r="CC42" s="118">
        <f t="shared" si="28"/>
        <v>0</v>
      </c>
      <c r="CD42" s="118"/>
      <c r="CE42" s="92">
        <f t="shared" si="29"/>
        <v>-1800</v>
      </c>
      <c r="CF42" s="92">
        <f t="shared" si="30"/>
        <v>-1800</v>
      </c>
      <c r="CG42" s="50"/>
      <c r="CI42" s="159">
        <v>2000</v>
      </c>
      <c r="CJ42" s="166">
        <v>0.5</v>
      </c>
      <c r="CK42" s="165">
        <f t="shared" si="31"/>
        <v>1000</v>
      </c>
      <c r="CL42" s="92">
        <f t="shared" si="32"/>
        <v>1000</v>
      </c>
      <c r="CM42" s="50"/>
      <c r="CO42" s="159">
        <v>1000</v>
      </c>
      <c r="CP42" s="166">
        <v>0.5</v>
      </c>
      <c r="CQ42" s="165">
        <f t="shared" si="33"/>
        <v>500</v>
      </c>
      <c r="CR42" s="168">
        <f t="shared" si="34"/>
        <v>-500</v>
      </c>
      <c r="CU42" s="159">
        <v>1000</v>
      </c>
      <c r="CV42" s="166">
        <v>0.5</v>
      </c>
      <c r="CW42" s="165">
        <f t="shared" si="35"/>
        <v>500</v>
      </c>
      <c r="CX42" s="159">
        <v>500</v>
      </c>
      <c r="CY42" s="166">
        <v>0.5</v>
      </c>
      <c r="CZ42" s="165">
        <f t="shared" si="23"/>
        <v>250</v>
      </c>
      <c r="DA42" s="168">
        <f>CZ42-CQ42</f>
        <v>-250</v>
      </c>
      <c r="DB42" s="168">
        <f>CZ42-CW42</f>
        <v>-250</v>
      </c>
      <c r="DC42" s="168"/>
      <c r="DD42" s="91" t="s">
        <v>312</v>
      </c>
      <c r="DF42" s="159">
        <v>0</v>
      </c>
      <c r="DG42" s="166">
        <v>0.5</v>
      </c>
      <c r="DH42" s="165">
        <f t="shared" si="26"/>
        <v>0</v>
      </c>
      <c r="DI42" s="168">
        <f t="shared" si="11"/>
        <v>-250</v>
      </c>
      <c r="DJ42" s="168">
        <f t="shared" si="12"/>
        <v>-500</v>
      </c>
      <c r="DK42" s="165"/>
      <c r="DL42" s="165"/>
      <c r="DM42" s="165"/>
      <c r="DN42" s="168">
        <f t="shared" si="27"/>
        <v>0</v>
      </c>
      <c r="DO42" s="165">
        <v>0</v>
      </c>
      <c r="DP42" s="165">
        <v>0</v>
      </c>
      <c r="DQ42" s="165">
        <v>0</v>
      </c>
      <c r="DR42" s="165">
        <v>0</v>
      </c>
      <c r="DS42" s="165">
        <v>0</v>
      </c>
      <c r="DT42" s="165">
        <v>0</v>
      </c>
      <c r="DU42" s="165">
        <v>0</v>
      </c>
      <c r="DV42" s="165">
        <v>0</v>
      </c>
      <c r="DW42" s="165">
        <v>0</v>
      </c>
      <c r="DX42" s="165">
        <v>0</v>
      </c>
      <c r="DY42" s="165">
        <v>0</v>
      </c>
      <c r="DZ42" s="165">
        <v>0</v>
      </c>
      <c r="EA42" s="168"/>
    </row>
    <row r="43" spans="1:132" s="50" customFormat="1" ht="16.25" hidden="1" customHeight="1" x14ac:dyDescent="0.4">
      <c r="A43" s="36" t="s">
        <v>97</v>
      </c>
      <c r="B43" s="36" t="s">
        <v>29</v>
      </c>
      <c r="C43" s="36" t="s">
        <v>27</v>
      </c>
      <c r="D43" s="36" t="s">
        <v>319</v>
      </c>
      <c r="E43" s="38" t="s">
        <v>320</v>
      </c>
      <c r="F43" s="38" t="s">
        <v>110</v>
      </c>
      <c r="G43" s="36" t="s">
        <v>263</v>
      </c>
      <c r="H43" s="32"/>
      <c r="I43" s="16"/>
      <c r="J43" s="33"/>
      <c r="K43" s="36"/>
      <c r="L43" s="36"/>
      <c r="M43" s="36"/>
      <c r="N43" s="36"/>
      <c r="O43" s="33"/>
      <c r="P43" s="36" t="s">
        <v>361</v>
      </c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36"/>
      <c r="AD43" s="39"/>
      <c r="AE43" s="39"/>
      <c r="AF43" s="37"/>
      <c r="AG43" s="37"/>
      <c r="AH43" s="34"/>
      <c r="AI43" s="45"/>
      <c r="AJ43" s="37"/>
      <c r="AK43" s="46"/>
      <c r="AL43" s="47"/>
      <c r="AM43" s="47"/>
      <c r="AN43" s="39"/>
      <c r="AO43" s="97"/>
      <c r="AP43" s="39"/>
      <c r="AQ43" s="45"/>
      <c r="AR43" s="39"/>
      <c r="AS43" s="40"/>
      <c r="AT43" s="39"/>
      <c r="AU43" s="48"/>
      <c r="AV43" s="49"/>
      <c r="AW43" s="48"/>
      <c r="AY43" s="39"/>
      <c r="AZ43" s="40"/>
      <c r="BA43" s="39"/>
      <c r="BB43" s="39"/>
      <c r="BE43" s="39"/>
      <c r="BF43" s="40"/>
      <c r="BG43" s="39"/>
      <c r="BH43" s="39"/>
      <c r="BI43" s="39"/>
      <c r="BJ43" s="39"/>
      <c r="BM43" s="39"/>
      <c r="BN43" s="40"/>
      <c r="BO43" s="39"/>
      <c r="BP43" s="37"/>
      <c r="BQ43" s="92"/>
      <c r="BR43" s="34"/>
      <c r="BU43" s="39"/>
      <c r="BV43" s="40"/>
      <c r="BW43" s="118"/>
      <c r="BX43" s="118"/>
      <c r="CA43" s="39">
        <v>600</v>
      </c>
      <c r="CB43" s="40">
        <v>1</v>
      </c>
      <c r="CC43" s="118">
        <f t="shared" si="28"/>
        <v>600</v>
      </c>
      <c r="CD43" s="118"/>
      <c r="CE43" s="92">
        <f t="shared" si="29"/>
        <v>600</v>
      </c>
      <c r="CF43" s="92">
        <f t="shared" si="30"/>
        <v>600</v>
      </c>
      <c r="CI43" s="39">
        <v>600</v>
      </c>
      <c r="CJ43" s="40">
        <v>0</v>
      </c>
      <c r="CK43" s="118">
        <f t="shared" si="31"/>
        <v>0</v>
      </c>
      <c r="CL43" s="92">
        <f t="shared" si="32"/>
        <v>-600</v>
      </c>
      <c r="CO43" s="39">
        <v>600</v>
      </c>
      <c r="CP43" s="40">
        <v>0</v>
      </c>
      <c r="CQ43" s="118">
        <f t="shared" si="33"/>
        <v>0</v>
      </c>
      <c r="CR43" s="92">
        <f t="shared" si="34"/>
        <v>0</v>
      </c>
      <c r="CU43" s="39">
        <v>0</v>
      </c>
      <c r="CV43" s="40">
        <v>0</v>
      </c>
      <c r="CW43" s="118">
        <f t="shared" si="35"/>
        <v>0</v>
      </c>
      <c r="CX43" s="39">
        <v>0</v>
      </c>
      <c r="CY43" s="40">
        <v>0</v>
      </c>
      <c r="CZ43" s="118">
        <f t="shared" si="23"/>
        <v>0</v>
      </c>
      <c r="DA43" s="92">
        <f>CW43-CQ43</f>
        <v>0</v>
      </c>
      <c r="DB43" s="92"/>
      <c r="DC43" s="92"/>
      <c r="DF43" s="39">
        <v>0</v>
      </c>
      <c r="DG43" s="40">
        <v>0</v>
      </c>
      <c r="DH43" s="118">
        <f t="shared" si="26"/>
        <v>0</v>
      </c>
      <c r="DI43" s="168">
        <f t="shared" si="11"/>
        <v>0</v>
      </c>
      <c r="DJ43" s="168">
        <f t="shared" si="12"/>
        <v>0</v>
      </c>
      <c r="DN43" s="168">
        <f t="shared" si="27"/>
        <v>0</v>
      </c>
      <c r="DO43" s="165">
        <v>0</v>
      </c>
      <c r="DP43" s="165">
        <v>0</v>
      </c>
      <c r="DQ43" s="165">
        <v>0</v>
      </c>
      <c r="DR43" s="165">
        <v>0</v>
      </c>
      <c r="DS43" s="165">
        <v>0</v>
      </c>
      <c r="DT43" s="165">
        <v>0</v>
      </c>
      <c r="DU43" s="165">
        <v>0</v>
      </c>
      <c r="DV43" s="165">
        <v>0</v>
      </c>
      <c r="DW43" s="165">
        <v>0</v>
      </c>
      <c r="DX43" s="165">
        <v>0</v>
      </c>
      <c r="DY43" s="165">
        <v>0</v>
      </c>
      <c r="DZ43" s="165">
        <v>0</v>
      </c>
    </row>
    <row r="44" spans="1:132" s="50" customFormat="1" ht="16.25" hidden="1" customHeight="1" x14ac:dyDescent="0.4">
      <c r="A44" s="36" t="s">
        <v>97</v>
      </c>
      <c r="B44" s="36" t="s">
        <v>29</v>
      </c>
      <c r="C44" s="36" t="s">
        <v>27</v>
      </c>
      <c r="D44" s="36" t="s">
        <v>323</v>
      </c>
      <c r="E44" s="38" t="s">
        <v>324</v>
      </c>
      <c r="F44" s="38" t="s">
        <v>110</v>
      </c>
      <c r="G44" s="51" t="s">
        <v>263</v>
      </c>
      <c r="H44" s="51"/>
      <c r="I44" s="51" t="s">
        <v>325</v>
      </c>
      <c r="J44" s="33" t="s">
        <v>326</v>
      </c>
      <c r="K44" s="36"/>
      <c r="L44" s="36"/>
      <c r="M44" s="36"/>
      <c r="N44" s="36"/>
      <c r="O44" s="38" t="s">
        <v>327</v>
      </c>
      <c r="P44" s="36" t="s">
        <v>361</v>
      </c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36"/>
      <c r="AD44" s="39">
        <v>4000</v>
      </c>
      <c r="AE44" s="39"/>
      <c r="AF44" s="37"/>
      <c r="AG44" s="37"/>
      <c r="AH44" s="34"/>
      <c r="AI44" s="45"/>
      <c r="AJ44" s="37">
        <v>0</v>
      </c>
      <c r="AK44" s="46">
        <v>0</v>
      </c>
      <c r="AL44" s="47">
        <f>AJ44*AK44</f>
        <v>0</v>
      </c>
      <c r="AM44" s="47"/>
      <c r="AN44" s="39">
        <v>0</v>
      </c>
      <c r="AO44" s="97">
        <v>0</v>
      </c>
      <c r="AP44" s="39">
        <v>0</v>
      </c>
      <c r="AQ44" s="45"/>
      <c r="AR44" s="39">
        <v>1000</v>
      </c>
      <c r="AS44" s="40">
        <v>0.5</v>
      </c>
      <c r="AT44" s="39">
        <f>AR44*AS44</f>
        <v>500</v>
      </c>
      <c r="AU44" s="48"/>
      <c r="AV44" s="49">
        <f>AU44*AS44</f>
        <v>0</v>
      </c>
      <c r="AW44" s="48"/>
      <c r="AY44" s="39">
        <v>1000</v>
      </c>
      <c r="AZ44" s="46">
        <v>1</v>
      </c>
      <c r="BA44" s="39">
        <f>AY44*AZ44</f>
        <v>1000</v>
      </c>
      <c r="BB44" s="39"/>
      <c r="BE44" s="39">
        <v>1000</v>
      </c>
      <c r="BF44" s="40">
        <v>0.9</v>
      </c>
      <c r="BG44" s="39">
        <f>BE44*BF44</f>
        <v>900</v>
      </c>
      <c r="BH44" s="39"/>
      <c r="BI44" s="39">
        <f>BG44-BA44</f>
        <v>-100</v>
      </c>
      <c r="BJ44" s="39"/>
      <c r="BM44" s="39">
        <v>1000</v>
      </c>
      <c r="BN44" s="120">
        <v>1</v>
      </c>
      <c r="BO44" s="39">
        <f>BM44*BN44</f>
        <v>1000</v>
      </c>
      <c r="BP44" s="39"/>
      <c r="BQ44" s="92">
        <f t="shared" ref="BQ44:BQ51" si="36">BO44-BA44</f>
        <v>0</v>
      </c>
      <c r="BR44" s="59"/>
      <c r="BU44" s="39">
        <v>1000</v>
      </c>
      <c r="BV44" s="120">
        <v>1</v>
      </c>
      <c r="BW44" s="118">
        <f t="shared" ref="BW44:BW51" si="37">BU44*BV44</f>
        <v>1000</v>
      </c>
      <c r="BX44" s="118">
        <f t="shared" ref="BX44:BX51" si="38">BW44-BO44</f>
        <v>0</v>
      </c>
      <c r="CA44" s="39">
        <v>1000</v>
      </c>
      <c r="CB44" s="120">
        <v>1</v>
      </c>
      <c r="CC44" s="118">
        <f t="shared" si="28"/>
        <v>1000</v>
      </c>
      <c r="CD44" s="118"/>
      <c r="CE44" s="92">
        <f t="shared" si="29"/>
        <v>0</v>
      </c>
      <c r="CF44" s="92">
        <f t="shared" si="30"/>
        <v>0</v>
      </c>
      <c r="CI44" s="39">
        <v>1000</v>
      </c>
      <c r="CJ44" s="120">
        <v>1</v>
      </c>
      <c r="CK44" s="118">
        <f t="shared" si="31"/>
        <v>1000</v>
      </c>
      <c r="CL44" s="92">
        <f t="shared" si="32"/>
        <v>0</v>
      </c>
      <c r="CO44" s="39">
        <v>1000</v>
      </c>
      <c r="CP44" s="120">
        <v>1</v>
      </c>
      <c r="CQ44" s="118">
        <f t="shared" si="33"/>
        <v>1000</v>
      </c>
      <c r="CR44" s="92">
        <f t="shared" si="34"/>
        <v>0</v>
      </c>
      <c r="CU44" s="39">
        <v>0</v>
      </c>
      <c r="CV44" s="120">
        <v>0</v>
      </c>
      <c r="CW44" s="118">
        <f t="shared" si="35"/>
        <v>0</v>
      </c>
      <c r="CX44" s="39">
        <v>0</v>
      </c>
      <c r="CY44" s="120">
        <v>0</v>
      </c>
      <c r="CZ44" s="118">
        <f t="shared" si="23"/>
        <v>0</v>
      </c>
      <c r="DA44" s="92">
        <f>CW44-CQ44</f>
        <v>-1000</v>
      </c>
      <c r="DB44" s="92"/>
      <c r="DC44" s="92"/>
      <c r="DF44" s="39">
        <v>0</v>
      </c>
      <c r="DG44" s="120">
        <v>0</v>
      </c>
      <c r="DH44" s="118">
        <f t="shared" si="26"/>
        <v>0</v>
      </c>
      <c r="DI44" s="168">
        <f t="shared" si="11"/>
        <v>0</v>
      </c>
      <c r="DJ44" s="168">
        <f t="shared" si="12"/>
        <v>0</v>
      </c>
      <c r="DN44" s="168">
        <f t="shared" si="27"/>
        <v>0</v>
      </c>
      <c r="DO44" s="165">
        <v>0</v>
      </c>
      <c r="DP44" s="165">
        <v>0</v>
      </c>
      <c r="DQ44" s="165">
        <v>0</v>
      </c>
      <c r="DR44" s="165">
        <v>0</v>
      </c>
      <c r="DS44" s="165">
        <v>0</v>
      </c>
      <c r="DT44" s="165">
        <v>0</v>
      </c>
      <c r="DU44" s="165">
        <v>0</v>
      </c>
      <c r="DV44" s="165">
        <v>0</v>
      </c>
      <c r="DW44" s="165">
        <v>0</v>
      </c>
      <c r="DX44" s="165">
        <v>0</v>
      </c>
      <c r="DY44" s="165">
        <v>0</v>
      </c>
      <c r="DZ44" s="165">
        <v>0</v>
      </c>
    </row>
    <row r="45" spans="1:132" s="91" customFormat="1" ht="16.25" hidden="1" customHeight="1" x14ac:dyDescent="0.4">
      <c r="A45" s="32" t="s">
        <v>97</v>
      </c>
      <c r="B45" s="32" t="s">
        <v>29</v>
      </c>
      <c r="C45" s="32" t="s">
        <v>27</v>
      </c>
      <c r="D45" s="32" t="s">
        <v>319</v>
      </c>
      <c r="E45" s="87" t="s">
        <v>320</v>
      </c>
      <c r="F45" s="87" t="s">
        <v>110</v>
      </c>
      <c r="G45" s="32" t="s">
        <v>101</v>
      </c>
      <c r="H45" s="32" t="s">
        <v>224</v>
      </c>
      <c r="I45" s="51" t="s">
        <v>302</v>
      </c>
      <c r="J45" s="38" t="s">
        <v>321</v>
      </c>
      <c r="K45" s="38"/>
      <c r="L45" s="38"/>
      <c r="M45" s="38"/>
      <c r="N45" s="36"/>
      <c r="O45" s="38" t="s">
        <v>322</v>
      </c>
      <c r="P45" s="32" t="s">
        <v>193</v>
      </c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32"/>
      <c r="AD45" s="39">
        <v>1200</v>
      </c>
      <c r="AE45" s="39">
        <v>1000</v>
      </c>
      <c r="AF45" s="39"/>
      <c r="AG45" s="39"/>
      <c r="AH45" s="87"/>
      <c r="AI45" s="159"/>
      <c r="AJ45" s="37">
        <v>0</v>
      </c>
      <c r="AK45" s="46">
        <v>0</v>
      </c>
      <c r="AL45" s="47">
        <f>AJ45*AK45</f>
        <v>0</v>
      </c>
      <c r="AM45" s="162"/>
      <c r="AN45" s="39">
        <v>0</v>
      </c>
      <c r="AO45" s="97">
        <v>0</v>
      </c>
      <c r="AP45" s="39">
        <v>0</v>
      </c>
      <c r="AQ45" s="159"/>
      <c r="AR45" s="39">
        <v>600</v>
      </c>
      <c r="AS45" s="40">
        <v>0.5</v>
      </c>
      <c r="AT45" s="39">
        <v>300</v>
      </c>
      <c r="AU45" s="48"/>
      <c r="AV45" s="49">
        <f>AU45*AS45</f>
        <v>0</v>
      </c>
      <c r="AW45" s="48"/>
      <c r="AY45" s="39">
        <v>600</v>
      </c>
      <c r="AZ45" s="40">
        <v>0.5</v>
      </c>
      <c r="BA45" s="39">
        <v>300</v>
      </c>
      <c r="BB45" s="39">
        <f>BA45-AT45</f>
        <v>0</v>
      </c>
      <c r="BC45" s="50"/>
      <c r="BE45" s="39">
        <v>600</v>
      </c>
      <c r="BF45" s="40">
        <v>0.5</v>
      </c>
      <c r="BG45" s="39">
        <v>300</v>
      </c>
      <c r="BH45" s="39"/>
      <c r="BI45" s="39">
        <f>BG45-BA45</f>
        <v>0</v>
      </c>
      <c r="BJ45" s="39"/>
      <c r="BK45" s="50"/>
      <c r="BM45" s="39">
        <v>600</v>
      </c>
      <c r="BN45" s="40">
        <v>0.5</v>
      </c>
      <c r="BO45" s="39">
        <f>BM45*BN45</f>
        <v>300</v>
      </c>
      <c r="BP45" s="37">
        <f>VLOOKUP(D45,'May FF'!B$3:C$38,2,0)/1000</f>
        <v>300</v>
      </c>
      <c r="BQ45" s="92">
        <f t="shared" si="36"/>
        <v>0</v>
      </c>
      <c r="BR45" s="59"/>
      <c r="BS45" s="50"/>
      <c r="BU45" s="39">
        <v>600</v>
      </c>
      <c r="BV45" s="40">
        <v>0.5</v>
      </c>
      <c r="BW45" s="118">
        <f t="shared" si="37"/>
        <v>300</v>
      </c>
      <c r="BX45" s="118">
        <f t="shared" si="38"/>
        <v>0</v>
      </c>
      <c r="BY45" s="50"/>
      <c r="CA45" s="39">
        <v>600</v>
      </c>
      <c r="CB45" s="40">
        <v>0</v>
      </c>
      <c r="CC45" s="118">
        <f t="shared" si="28"/>
        <v>0</v>
      </c>
      <c r="CD45" s="118"/>
      <c r="CE45" s="92">
        <f t="shared" si="29"/>
        <v>-300</v>
      </c>
      <c r="CF45" s="92">
        <f t="shared" si="30"/>
        <v>-300</v>
      </c>
      <c r="CG45" s="50"/>
      <c r="CI45" s="159">
        <v>600</v>
      </c>
      <c r="CJ45" s="166">
        <v>0</v>
      </c>
      <c r="CK45" s="165">
        <f t="shared" si="31"/>
        <v>0</v>
      </c>
      <c r="CL45" s="92">
        <f t="shared" si="32"/>
        <v>0</v>
      </c>
      <c r="CM45" s="50"/>
      <c r="CO45" s="159">
        <v>600</v>
      </c>
      <c r="CP45" s="166">
        <v>0</v>
      </c>
      <c r="CQ45" s="165">
        <f t="shared" si="33"/>
        <v>0</v>
      </c>
      <c r="CR45" s="168">
        <f t="shared" si="34"/>
        <v>0</v>
      </c>
      <c r="CU45" s="159">
        <v>600</v>
      </c>
      <c r="CV45" s="166">
        <v>0</v>
      </c>
      <c r="CW45" s="165">
        <f t="shared" si="35"/>
        <v>0</v>
      </c>
      <c r="CX45" s="159">
        <v>600</v>
      </c>
      <c r="CY45" s="166">
        <v>0</v>
      </c>
      <c r="CZ45" s="165">
        <f t="shared" si="23"/>
        <v>0</v>
      </c>
      <c r="DA45" s="168">
        <f t="shared" ref="DA45:DA52" si="39">CZ45-CQ45</f>
        <v>0</v>
      </c>
      <c r="DB45" s="168">
        <f t="shared" ref="DB45:DB52" si="40">CZ45-CW45</f>
        <v>0</v>
      </c>
      <c r="DC45" s="168"/>
      <c r="DF45" s="159">
        <v>600</v>
      </c>
      <c r="DG45" s="166">
        <v>0</v>
      </c>
      <c r="DH45" s="165">
        <f t="shared" si="26"/>
        <v>0</v>
      </c>
      <c r="DI45" s="168">
        <f t="shared" si="11"/>
        <v>0</v>
      </c>
      <c r="DJ45" s="168">
        <f t="shared" si="12"/>
        <v>0</v>
      </c>
      <c r="DK45" s="168"/>
      <c r="DL45" s="168"/>
      <c r="DM45" s="168"/>
      <c r="DN45" s="168">
        <f t="shared" si="27"/>
        <v>0</v>
      </c>
      <c r="DO45" s="165">
        <v>0</v>
      </c>
      <c r="DP45" s="165">
        <v>0</v>
      </c>
      <c r="DQ45" s="165">
        <v>0</v>
      </c>
      <c r="DR45" s="165">
        <v>0</v>
      </c>
      <c r="DS45" s="165">
        <v>0</v>
      </c>
      <c r="DT45" s="165">
        <v>0</v>
      </c>
      <c r="DU45" s="165">
        <v>0</v>
      </c>
      <c r="DV45" s="165">
        <v>0</v>
      </c>
      <c r="DW45" s="165">
        <v>0</v>
      </c>
      <c r="DX45" s="165">
        <v>0</v>
      </c>
      <c r="DY45" s="165">
        <v>0</v>
      </c>
      <c r="DZ45" s="165">
        <v>0</v>
      </c>
    </row>
    <row r="46" spans="1:132" s="91" customFormat="1" ht="16.25" hidden="1" customHeight="1" x14ac:dyDescent="0.4">
      <c r="A46" s="32" t="s">
        <v>97</v>
      </c>
      <c r="B46" s="32" t="s">
        <v>29</v>
      </c>
      <c r="C46" s="32" t="s">
        <v>27</v>
      </c>
      <c r="D46" s="32" t="s">
        <v>328</v>
      </c>
      <c r="E46" s="87" t="s">
        <v>329</v>
      </c>
      <c r="F46" s="87" t="s">
        <v>110</v>
      </c>
      <c r="G46" s="32" t="s">
        <v>101</v>
      </c>
      <c r="H46" s="32"/>
      <c r="I46" s="16" t="s">
        <v>302</v>
      </c>
      <c r="J46" s="33" t="s">
        <v>330</v>
      </c>
      <c r="K46" s="36" t="s">
        <v>331</v>
      </c>
      <c r="L46" s="36" t="s">
        <v>130</v>
      </c>
      <c r="M46" s="36"/>
      <c r="N46" s="36" t="s">
        <v>332</v>
      </c>
      <c r="O46" s="33" t="s">
        <v>333</v>
      </c>
      <c r="P46" s="32" t="s">
        <v>193</v>
      </c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32"/>
      <c r="AD46" s="39">
        <v>150</v>
      </c>
      <c r="AE46" s="39"/>
      <c r="AF46" s="37"/>
      <c r="AG46" s="37"/>
      <c r="AH46" s="158"/>
      <c r="AI46" s="160"/>
      <c r="AJ46" s="37">
        <v>0</v>
      </c>
      <c r="AK46" s="46">
        <v>0</v>
      </c>
      <c r="AL46" s="47">
        <f>AJ46*AK46</f>
        <v>0</v>
      </c>
      <c r="AM46" s="162"/>
      <c r="AN46" s="39">
        <v>0</v>
      </c>
      <c r="AO46" s="97">
        <v>0</v>
      </c>
      <c r="AP46" s="39">
        <v>0</v>
      </c>
      <c r="AQ46" s="160"/>
      <c r="AR46" s="39">
        <v>150</v>
      </c>
      <c r="AS46" s="40">
        <v>0.5</v>
      </c>
      <c r="AT46" s="39">
        <v>75</v>
      </c>
      <c r="AU46" s="48"/>
      <c r="AV46" s="49">
        <f>AU46*AS46</f>
        <v>0</v>
      </c>
      <c r="AW46" s="48"/>
      <c r="AY46" s="39">
        <v>150</v>
      </c>
      <c r="AZ46" s="40">
        <v>0.5</v>
      </c>
      <c r="BA46" s="39">
        <v>75</v>
      </c>
      <c r="BB46" s="39">
        <f>BA46-AT46</f>
        <v>0</v>
      </c>
      <c r="BC46" s="50"/>
      <c r="BE46" s="39">
        <v>150</v>
      </c>
      <c r="BF46" s="40">
        <v>0.5</v>
      </c>
      <c r="BG46" s="39">
        <v>75</v>
      </c>
      <c r="BH46" s="39"/>
      <c r="BI46" s="39">
        <f>BG46-BA46</f>
        <v>0</v>
      </c>
      <c r="BJ46" s="39"/>
      <c r="BK46" s="50"/>
      <c r="BM46" s="39">
        <v>0</v>
      </c>
      <c r="BN46" s="40">
        <v>0</v>
      </c>
      <c r="BO46" s="39">
        <f>BM46*BN46</f>
        <v>0</v>
      </c>
      <c r="BP46" s="37">
        <v>0</v>
      </c>
      <c r="BQ46" s="92">
        <f t="shared" si="36"/>
        <v>-75</v>
      </c>
      <c r="BR46" s="34" t="s">
        <v>178</v>
      </c>
      <c r="BS46" s="50" t="s">
        <v>334</v>
      </c>
      <c r="BU46" s="39">
        <v>0</v>
      </c>
      <c r="BV46" s="40">
        <v>0</v>
      </c>
      <c r="BW46" s="118">
        <f t="shared" si="37"/>
        <v>0</v>
      </c>
      <c r="BX46" s="118">
        <f t="shared" si="38"/>
        <v>0</v>
      </c>
      <c r="BY46" s="50"/>
      <c r="CA46" s="39">
        <v>0</v>
      </c>
      <c r="CB46" s="40">
        <v>0</v>
      </c>
      <c r="CC46" s="118">
        <f t="shared" si="28"/>
        <v>0</v>
      </c>
      <c r="CD46" s="118"/>
      <c r="CE46" s="92">
        <f t="shared" si="29"/>
        <v>0</v>
      </c>
      <c r="CF46" s="92">
        <f t="shared" si="30"/>
        <v>0</v>
      </c>
      <c r="CG46" s="50"/>
      <c r="CI46" s="159">
        <v>0</v>
      </c>
      <c r="CJ46" s="166">
        <v>0</v>
      </c>
      <c r="CK46" s="165">
        <f t="shared" si="31"/>
        <v>0</v>
      </c>
      <c r="CL46" s="92">
        <f t="shared" si="32"/>
        <v>0</v>
      </c>
      <c r="CM46" s="50"/>
      <c r="CO46" s="159">
        <v>0</v>
      </c>
      <c r="CP46" s="166">
        <v>0</v>
      </c>
      <c r="CQ46" s="165">
        <f t="shared" si="33"/>
        <v>0</v>
      </c>
      <c r="CR46" s="168">
        <f t="shared" si="34"/>
        <v>0</v>
      </c>
      <c r="CU46" s="159">
        <v>0</v>
      </c>
      <c r="CV46" s="166">
        <v>0</v>
      </c>
      <c r="CW46" s="165">
        <f t="shared" si="35"/>
        <v>0</v>
      </c>
      <c r="CX46" s="159">
        <v>0</v>
      </c>
      <c r="CY46" s="166">
        <v>0</v>
      </c>
      <c r="CZ46" s="165">
        <f t="shared" si="23"/>
        <v>0</v>
      </c>
      <c r="DA46" s="168">
        <f t="shared" si="39"/>
        <v>0</v>
      </c>
      <c r="DB46" s="168">
        <f t="shared" si="40"/>
        <v>0</v>
      </c>
      <c r="DC46" s="168"/>
      <c r="DF46" s="159">
        <v>0</v>
      </c>
      <c r="DG46" s="166">
        <v>0</v>
      </c>
      <c r="DH46" s="165">
        <f t="shared" si="26"/>
        <v>0</v>
      </c>
      <c r="DI46" s="168">
        <f t="shared" si="11"/>
        <v>0</v>
      </c>
      <c r="DJ46" s="168">
        <f t="shared" si="12"/>
        <v>0</v>
      </c>
      <c r="DK46" s="168"/>
      <c r="DL46" s="168"/>
      <c r="DM46" s="168"/>
      <c r="DN46" s="168">
        <f t="shared" si="27"/>
        <v>0</v>
      </c>
      <c r="DO46" s="165">
        <v>0</v>
      </c>
      <c r="DP46" s="165">
        <v>0</v>
      </c>
      <c r="DQ46" s="165">
        <v>0</v>
      </c>
      <c r="DR46" s="165">
        <v>0</v>
      </c>
      <c r="DS46" s="165">
        <v>0</v>
      </c>
      <c r="DT46" s="165">
        <v>0</v>
      </c>
      <c r="DU46" s="165">
        <v>0</v>
      </c>
      <c r="DV46" s="165">
        <v>0</v>
      </c>
      <c r="DW46" s="165">
        <v>0</v>
      </c>
      <c r="DX46" s="165">
        <v>0</v>
      </c>
      <c r="DY46" s="165">
        <v>0</v>
      </c>
      <c r="DZ46" s="165">
        <v>0</v>
      </c>
    </row>
    <row r="47" spans="1:132" s="91" customFormat="1" ht="16.25" hidden="1" customHeight="1" x14ac:dyDescent="0.4">
      <c r="A47" s="32" t="s">
        <v>97</v>
      </c>
      <c r="B47" s="32" t="s">
        <v>29</v>
      </c>
      <c r="C47" s="32" t="s">
        <v>27</v>
      </c>
      <c r="D47" s="32" t="s">
        <v>335</v>
      </c>
      <c r="E47" s="87" t="s">
        <v>336</v>
      </c>
      <c r="F47" s="87" t="s">
        <v>223</v>
      </c>
      <c r="G47" s="32" t="s">
        <v>101</v>
      </c>
      <c r="H47" s="32" t="s">
        <v>224</v>
      </c>
      <c r="I47" s="16"/>
      <c r="J47" s="38" t="s">
        <v>337</v>
      </c>
      <c r="K47" s="38"/>
      <c r="L47" s="38"/>
      <c r="M47" s="38"/>
      <c r="N47" s="36"/>
      <c r="O47" s="33"/>
      <c r="P47" s="32" t="s">
        <v>193</v>
      </c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32"/>
      <c r="AD47" s="39"/>
      <c r="AE47" s="39"/>
      <c r="AF47" s="39"/>
      <c r="AG47" s="39"/>
      <c r="AH47" s="87"/>
      <c r="AI47" s="159"/>
      <c r="AJ47" s="37">
        <v>0</v>
      </c>
      <c r="AK47" s="46">
        <v>0</v>
      </c>
      <c r="AL47" s="47">
        <f>AJ47*AK47</f>
        <v>0</v>
      </c>
      <c r="AM47" s="162"/>
      <c r="AN47" s="39">
        <v>0</v>
      </c>
      <c r="AO47" s="97">
        <v>0</v>
      </c>
      <c r="AP47" s="39">
        <v>0</v>
      </c>
      <c r="AQ47" s="159"/>
      <c r="AR47" s="39">
        <v>250</v>
      </c>
      <c r="AS47" s="40">
        <v>0.5</v>
      </c>
      <c r="AT47" s="39">
        <v>125</v>
      </c>
      <c r="AU47" s="48"/>
      <c r="AV47" s="49">
        <f>AU47*AS47</f>
        <v>0</v>
      </c>
      <c r="AW47" s="48"/>
      <c r="AY47" s="39">
        <v>250</v>
      </c>
      <c r="AZ47" s="40">
        <v>0.5</v>
      </c>
      <c r="BA47" s="39">
        <v>125</v>
      </c>
      <c r="BB47" s="39">
        <f>BA47-AT47</f>
        <v>0</v>
      </c>
      <c r="BC47" s="50"/>
      <c r="BE47" s="39">
        <v>250</v>
      </c>
      <c r="BF47" s="40">
        <v>0.5</v>
      </c>
      <c r="BG47" s="39">
        <v>125</v>
      </c>
      <c r="BH47" s="39"/>
      <c r="BI47" s="39">
        <f>BG47-BA47</f>
        <v>0</v>
      </c>
      <c r="BJ47" s="39"/>
      <c r="BK47" s="50"/>
      <c r="BM47" s="39">
        <v>250</v>
      </c>
      <c r="BN47" s="40">
        <v>0.5</v>
      </c>
      <c r="BO47" s="39">
        <f>BM47*BN47</f>
        <v>125</v>
      </c>
      <c r="BP47" s="37">
        <f>VLOOKUP(D47,'May FF'!B$3:C$38,2,0)/1000</f>
        <v>125</v>
      </c>
      <c r="BQ47" s="92">
        <f t="shared" si="36"/>
        <v>0</v>
      </c>
      <c r="BR47" s="59"/>
      <c r="BS47" s="50"/>
      <c r="BU47" s="39">
        <v>250</v>
      </c>
      <c r="BV47" s="40">
        <v>0.5</v>
      </c>
      <c r="BW47" s="118">
        <f t="shared" si="37"/>
        <v>125</v>
      </c>
      <c r="BX47" s="118">
        <f t="shared" si="38"/>
        <v>0</v>
      </c>
      <c r="BY47" s="50"/>
      <c r="CA47" s="39">
        <v>250</v>
      </c>
      <c r="CB47" s="46">
        <v>0</v>
      </c>
      <c r="CC47" s="118">
        <f t="shared" si="28"/>
        <v>0</v>
      </c>
      <c r="CD47" s="118"/>
      <c r="CE47" s="92">
        <f t="shared" si="29"/>
        <v>-125</v>
      </c>
      <c r="CF47" s="92">
        <f t="shared" si="30"/>
        <v>-125</v>
      </c>
      <c r="CG47" s="50"/>
      <c r="CI47" s="159">
        <v>250</v>
      </c>
      <c r="CJ47" s="164">
        <v>0</v>
      </c>
      <c r="CK47" s="165">
        <f t="shared" si="31"/>
        <v>0</v>
      </c>
      <c r="CL47" s="92">
        <f t="shared" si="32"/>
        <v>0</v>
      </c>
      <c r="CM47" s="50"/>
      <c r="CO47" s="159">
        <v>0</v>
      </c>
      <c r="CP47" s="164">
        <v>0</v>
      </c>
      <c r="CQ47" s="165">
        <f t="shared" si="33"/>
        <v>0</v>
      </c>
      <c r="CR47" s="168">
        <f t="shared" si="34"/>
        <v>0</v>
      </c>
      <c r="CU47" s="159">
        <v>0</v>
      </c>
      <c r="CV47" s="164">
        <v>0</v>
      </c>
      <c r="CW47" s="165">
        <f t="shared" si="35"/>
        <v>0</v>
      </c>
      <c r="CX47" s="159">
        <v>0</v>
      </c>
      <c r="CY47" s="164">
        <v>0</v>
      </c>
      <c r="CZ47" s="165">
        <f t="shared" si="23"/>
        <v>0</v>
      </c>
      <c r="DA47" s="168">
        <f t="shared" si="39"/>
        <v>0</v>
      </c>
      <c r="DB47" s="168">
        <f t="shared" si="40"/>
        <v>0</v>
      </c>
      <c r="DC47" s="168"/>
      <c r="DF47" s="159">
        <v>0</v>
      </c>
      <c r="DG47" s="164">
        <v>0</v>
      </c>
      <c r="DH47" s="165">
        <f t="shared" si="26"/>
        <v>0</v>
      </c>
      <c r="DI47" s="168">
        <f t="shared" si="11"/>
        <v>0</v>
      </c>
      <c r="DJ47" s="168">
        <f t="shared" si="12"/>
        <v>0</v>
      </c>
      <c r="DK47" s="168"/>
      <c r="DL47" s="168"/>
      <c r="DM47" s="168"/>
      <c r="DN47" s="168">
        <f t="shared" si="27"/>
        <v>0</v>
      </c>
      <c r="DO47" s="165">
        <v>0</v>
      </c>
      <c r="DP47" s="165">
        <v>0</v>
      </c>
      <c r="DQ47" s="165">
        <v>0</v>
      </c>
      <c r="DR47" s="165">
        <v>0</v>
      </c>
      <c r="DS47" s="165">
        <v>0</v>
      </c>
      <c r="DT47" s="165">
        <v>0</v>
      </c>
      <c r="DU47" s="165">
        <v>0</v>
      </c>
      <c r="DV47" s="165">
        <v>0</v>
      </c>
      <c r="DW47" s="165">
        <v>0</v>
      </c>
      <c r="DX47" s="165">
        <v>0</v>
      </c>
      <c r="DY47" s="165">
        <v>0</v>
      </c>
      <c r="DZ47" s="165">
        <v>0</v>
      </c>
    </row>
    <row r="48" spans="1:132" s="91" customFormat="1" ht="16.25" hidden="1" customHeight="1" x14ac:dyDescent="0.4">
      <c r="A48" s="32" t="s">
        <v>97</v>
      </c>
      <c r="B48" s="32" t="s">
        <v>29</v>
      </c>
      <c r="C48" s="32" t="s">
        <v>27</v>
      </c>
      <c r="D48" s="32" t="s">
        <v>338</v>
      </c>
      <c r="E48" s="87" t="s">
        <v>507</v>
      </c>
      <c r="F48" s="87" t="s">
        <v>100</v>
      </c>
      <c r="G48" s="32" t="s">
        <v>101</v>
      </c>
      <c r="H48" s="32" t="s">
        <v>214</v>
      </c>
      <c r="I48" s="16"/>
      <c r="J48" s="38" t="s">
        <v>339</v>
      </c>
      <c r="K48" s="38"/>
      <c r="L48" s="38"/>
      <c r="M48" s="38"/>
      <c r="N48" s="36"/>
      <c r="O48" s="33"/>
      <c r="P48" s="32" t="s">
        <v>230</v>
      </c>
      <c r="Q48" s="129"/>
      <c r="R48" s="129"/>
      <c r="S48" s="129"/>
      <c r="T48" s="129"/>
      <c r="U48" s="129"/>
      <c r="V48" s="129"/>
      <c r="W48" s="129">
        <f>CC48</f>
        <v>150</v>
      </c>
      <c r="X48" s="129"/>
      <c r="Y48" s="129"/>
      <c r="Z48" s="129"/>
      <c r="AA48" s="129"/>
      <c r="AB48" s="129"/>
      <c r="AC48" s="32"/>
      <c r="AD48" s="39"/>
      <c r="AE48" s="39"/>
      <c r="AF48" s="39"/>
      <c r="AG48" s="39"/>
      <c r="AH48" s="87"/>
      <c r="AI48" s="159"/>
      <c r="AJ48" s="37">
        <v>0</v>
      </c>
      <c r="AK48" s="46">
        <v>0</v>
      </c>
      <c r="AL48" s="47">
        <f>AJ48*AK48</f>
        <v>0</v>
      </c>
      <c r="AM48" s="162"/>
      <c r="AN48" s="39">
        <v>0</v>
      </c>
      <c r="AO48" s="97">
        <v>0</v>
      </c>
      <c r="AP48" s="39">
        <v>0</v>
      </c>
      <c r="AQ48" s="159"/>
      <c r="AR48" s="39">
        <v>300</v>
      </c>
      <c r="AS48" s="40">
        <v>0.5</v>
      </c>
      <c r="AT48" s="39">
        <v>150</v>
      </c>
      <c r="AU48" s="48"/>
      <c r="AV48" s="49">
        <f>AU48*AS48</f>
        <v>0</v>
      </c>
      <c r="AW48" s="48"/>
      <c r="AY48" s="39">
        <v>300</v>
      </c>
      <c r="AZ48" s="40">
        <v>0.5</v>
      </c>
      <c r="BA48" s="39">
        <v>150</v>
      </c>
      <c r="BB48" s="39">
        <f>BA48-AT48</f>
        <v>0</v>
      </c>
      <c r="BC48" s="50"/>
      <c r="BE48" s="39">
        <v>300</v>
      </c>
      <c r="BF48" s="52">
        <v>0.5</v>
      </c>
      <c r="BG48" s="39">
        <v>150</v>
      </c>
      <c r="BH48" s="39"/>
      <c r="BI48" s="39">
        <f>BG48-BA48</f>
        <v>0</v>
      </c>
      <c r="BJ48" s="39"/>
      <c r="BK48" s="50"/>
      <c r="BM48" s="39">
        <v>300</v>
      </c>
      <c r="BN48" s="52">
        <v>0.5</v>
      </c>
      <c r="BO48" s="39">
        <v>150</v>
      </c>
      <c r="BP48" s="37">
        <f>VLOOKUP(D48,'May FF'!B$3:C$38,2,0)/1000</f>
        <v>150</v>
      </c>
      <c r="BQ48" s="92">
        <f t="shared" si="36"/>
        <v>0</v>
      </c>
      <c r="BR48" s="59"/>
      <c r="BS48" s="50"/>
      <c r="BU48" s="39">
        <v>300</v>
      </c>
      <c r="BV48" s="52">
        <v>0.5</v>
      </c>
      <c r="BW48" s="118">
        <f t="shared" si="37"/>
        <v>150</v>
      </c>
      <c r="BX48" s="118">
        <f t="shared" si="38"/>
        <v>0</v>
      </c>
      <c r="BY48" s="50"/>
      <c r="CA48" s="39">
        <v>300</v>
      </c>
      <c r="CB48" s="52">
        <v>0.5</v>
      </c>
      <c r="CC48" s="118">
        <f t="shared" si="28"/>
        <v>150</v>
      </c>
      <c r="CD48" s="118"/>
      <c r="CE48" s="92">
        <f t="shared" si="29"/>
        <v>0</v>
      </c>
      <c r="CF48" s="92">
        <f t="shared" si="30"/>
        <v>0</v>
      </c>
      <c r="CG48" s="50"/>
      <c r="CI48" s="159">
        <v>300</v>
      </c>
      <c r="CJ48" s="167">
        <v>0.5</v>
      </c>
      <c r="CK48" s="165">
        <f t="shared" si="31"/>
        <v>150</v>
      </c>
      <c r="CL48" s="92">
        <f t="shared" si="32"/>
        <v>0</v>
      </c>
      <c r="CM48" s="50"/>
      <c r="CO48" s="159">
        <v>300</v>
      </c>
      <c r="CP48" s="167">
        <v>0.5</v>
      </c>
      <c r="CQ48" s="165">
        <f t="shared" si="33"/>
        <v>150</v>
      </c>
      <c r="CR48" s="168">
        <f t="shared" si="34"/>
        <v>0</v>
      </c>
      <c r="CU48" s="159">
        <v>300</v>
      </c>
      <c r="CV48" s="167">
        <v>0.5</v>
      </c>
      <c r="CW48" s="165">
        <f t="shared" si="35"/>
        <v>150</v>
      </c>
      <c r="CX48" s="159">
        <v>300</v>
      </c>
      <c r="CY48" s="167">
        <v>0.5</v>
      </c>
      <c r="CZ48" s="165">
        <f t="shared" ref="CZ48:CZ79" si="41">CX48*CY48</f>
        <v>150</v>
      </c>
      <c r="DA48" s="168">
        <f t="shared" si="39"/>
        <v>0</v>
      </c>
      <c r="DB48" s="168">
        <f t="shared" si="40"/>
        <v>0</v>
      </c>
      <c r="DC48" s="168"/>
      <c r="DF48" s="159">
        <v>300</v>
      </c>
      <c r="DG48" s="167">
        <v>0.5</v>
      </c>
      <c r="DH48" s="165">
        <f t="shared" si="26"/>
        <v>150</v>
      </c>
      <c r="DI48" s="168">
        <f t="shared" si="11"/>
        <v>0</v>
      </c>
      <c r="DJ48" s="168">
        <f t="shared" si="12"/>
        <v>0</v>
      </c>
      <c r="DK48" s="165"/>
      <c r="DL48" s="165"/>
      <c r="DM48" s="165"/>
      <c r="DN48" s="168">
        <f t="shared" si="27"/>
        <v>150</v>
      </c>
      <c r="DO48" s="165">
        <v>0</v>
      </c>
      <c r="DP48" s="165">
        <v>0</v>
      </c>
      <c r="DQ48" s="165">
        <v>0</v>
      </c>
      <c r="DR48" s="165">
        <v>0</v>
      </c>
      <c r="DS48" s="165">
        <v>0</v>
      </c>
      <c r="DT48" s="165">
        <v>0</v>
      </c>
      <c r="DU48" s="165">
        <v>0</v>
      </c>
      <c r="DV48" s="165">
        <v>0</v>
      </c>
      <c r="DW48" s="165">
        <v>0</v>
      </c>
      <c r="DX48" s="165">
        <v>150</v>
      </c>
      <c r="DY48" s="165">
        <v>0</v>
      </c>
      <c r="DZ48" s="165">
        <v>0</v>
      </c>
      <c r="EA48" s="168"/>
    </row>
    <row r="49" spans="1:131" s="91" customFormat="1" ht="16.25" hidden="1" customHeight="1" x14ac:dyDescent="0.4">
      <c r="A49" s="32" t="s">
        <v>97</v>
      </c>
      <c r="B49" s="32" t="s">
        <v>29</v>
      </c>
      <c r="C49" s="32" t="s">
        <v>20</v>
      </c>
      <c r="D49" s="16" t="s">
        <v>1009</v>
      </c>
      <c r="E49" s="87" t="s">
        <v>1010</v>
      </c>
      <c r="F49" s="87" t="s">
        <v>110</v>
      </c>
      <c r="G49" s="32" t="s">
        <v>101</v>
      </c>
      <c r="H49" s="32" t="s">
        <v>271</v>
      </c>
      <c r="I49" s="32"/>
      <c r="J49" s="35"/>
      <c r="K49" s="36" t="s">
        <v>176</v>
      </c>
      <c r="L49" s="36"/>
      <c r="M49" s="36"/>
      <c r="N49" s="36"/>
      <c r="O49" s="33" t="s">
        <v>341</v>
      </c>
      <c r="P49" s="32" t="s">
        <v>361</v>
      </c>
      <c r="Q49" s="129"/>
      <c r="R49" s="129"/>
      <c r="S49" s="129"/>
      <c r="T49" s="129"/>
      <c r="U49" s="129"/>
      <c r="V49" s="50"/>
      <c r="W49" s="129">
        <v>450</v>
      </c>
      <c r="X49" s="129"/>
      <c r="Y49" s="129"/>
      <c r="Z49" s="129"/>
      <c r="AA49" s="129"/>
      <c r="AB49" s="129"/>
      <c r="AC49" s="32"/>
      <c r="AD49" s="37">
        <v>600</v>
      </c>
      <c r="AE49" s="37"/>
      <c r="AF49" s="37"/>
      <c r="AG49" s="37"/>
      <c r="AH49" s="158"/>
      <c r="AI49" s="160"/>
      <c r="AJ49" s="37"/>
      <c r="AK49" s="46"/>
      <c r="AL49" s="47"/>
      <c r="AM49" s="162"/>
      <c r="AN49" s="39"/>
      <c r="AO49" s="45"/>
      <c r="AP49" s="45"/>
      <c r="AQ49" s="160"/>
      <c r="AR49" s="37"/>
      <c r="AS49" s="46"/>
      <c r="AT49" s="37"/>
      <c r="AU49" s="48"/>
      <c r="AV49" s="49"/>
      <c r="AW49" s="48"/>
      <c r="AY49" s="45">
        <v>0</v>
      </c>
      <c r="AZ49" s="46">
        <v>0</v>
      </c>
      <c r="BA49" s="37">
        <f>AY49*AZ49</f>
        <v>0</v>
      </c>
      <c r="BB49" s="39"/>
      <c r="BC49" s="50"/>
      <c r="BE49" s="45">
        <v>0</v>
      </c>
      <c r="BF49" s="46">
        <v>0</v>
      </c>
      <c r="BG49" s="37">
        <f>BE49*BF49</f>
        <v>0</v>
      </c>
      <c r="BH49" s="37"/>
      <c r="BI49" s="39"/>
      <c r="BJ49" s="39"/>
      <c r="BK49" s="50"/>
      <c r="BM49" s="37">
        <v>600</v>
      </c>
      <c r="BN49" s="46">
        <v>0.5</v>
      </c>
      <c r="BO49" s="100">
        <f>BM49*BN49</f>
        <v>300</v>
      </c>
      <c r="BP49" s="37">
        <v>300</v>
      </c>
      <c r="BQ49" s="92">
        <f t="shared" si="36"/>
        <v>300</v>
      </c>
      <c r="BR49" s="34" t="s">
        <v>178</v>
      </c>
      <c r="BS49" s="50" t="s">
        <v>179</v>
      </c>
      <c r="BU49" s="37">
        <v>600</v>
      </c>
      <c r="BV49" s="46">
        <v>0.5</v>
      </c>
      <c r="BW49" s="118">
        <f t="shared" si="37"/>
        <v>300</v>
      </c>
      <c r="BX49" s="118">
        <f t="shared" si="38"/>
        <v>0</v>
      </c>
      <c r="BY49" s="50"/>
      <c r="CA49" s="37">
        <v>600</v>
      </c>
      <c r="CB49" s="46">
        <v>0.5</v>
      </c>
      <c r="CC49" s="118">
        <f t="shared" si="28"/>
        <v>300</v>
      </c>
      <c r="CD49" s="118"/>
      <c r="CE49" s="92">
        <f t="shared" si="29"/>
        <v>0</v>
      </c>
      <c r="CF49" s="92">
        <f t="shared" si="30"/>
        <v>0</v>
      </c>
      <c r="CG49" s="50"/>
      <c r="CI49" s="163">
        <v>600</v>
      </c>
      <c r="CJ49" s="164">
        <v>0.5</v>
      </c>
      <c r="CK49" s="165">
        <f t="shared" si="31"/>
        <v>300</v>
      </c>
      <c r="CL49" s="92">
        <f t="shared" si="32"/>
        <v>0</v>
      </c>
      <c r="CM49" s="50"/>
      <c r="CO49" s="163">
        <v>600</v>
      </c>
      <c r="CP49" s="164">
        <v>0.5</v>
      </c>
      <c r="CQ49" s="165">
        <f t="shared" si="33"/>
        <v>300</v>
      </c>
      <c r="CR49" s="168">
        <f t="shared" si="34"/>
        <v>0</v>
      </c>
      <c r="CS49" s="91" t="s">
        <v>342</v>
      </c>
      <c r="CU49" s="163">
        <v>600</v>
      </c>
      <c r="CV49" s="164">
        <v>0.5</v>
      </c>
      <c r="CW49" s="165">
        <f t="shared" si="35"/>
        <v>300</v>
      </c>
      <c r="CX49" s="163">
        <v>500</v>
      </c>
      <c r="CY49" s="164">
        <v>0.9</v>
      </c>
      <c r="CZ49" s="165">
        <f t="shared" si="41"/>
        <v>450</v>
      </c>
      <c r="DA49" s="168">
        <f t="shared" si="39"/>
        <v>150</v>
      </c>
      <c r="DB49" s="168">
        <f t="shared" si="40"/>
        <v>150</v>
      </c>
      <c r="DC49" s="168"/>
      <c r="DF49" s="163">
        <v>0</v>
      </c>
      <c r="DG49" s="164">
        <v>0.9</v>
      </c>
      <c r="DH49" s="165">
        <f t="shared" si="26"/>
        <v>0</v>
      </c>
      <c r="DI49" s="168">
        <f t="shared" si="11"/>
        <v>-450</v>
      </c>
      <c r="DJ49" s="168">
        <f t="shared" si="12"/>
        <v>-300</v>
      </c>
      <c r="DK49" s="168" t="s">
        <v>343</v>
      </c>
      <c r="DL49" s="168"/>
      <c r="DM49" s="168"/>
      <c r="DN49" s="168">
        <f t="shared" si="27"/>
        <v>420</v>
      </c>
      <c r="DO49" s="165">
        <v>0</v>
      </c>
      <c r="DP49" s="165">
        <v>0</v>
      </c>
      <c r="DQ49" s="165">
        <v>0</v>
      </c>
      <c r="DR49" s="165">
        <v>0</v>
      </c>
      <c r="DS49" s="165">
        <v>0</v>
      </c>
      <c r="DT49" s="165">
        <v>0</v>
      </c>
      <c r="DU49" s="165">
        <v>0</v>
      </c>
      <c r="DV49" s="165">
        <v>0</v>
      </c>
      <c r="DW49" s="165">
        <v>0</v>
      </c>
      <c r="DX49" s="165">
        <v>0</v>
      </c>
      <c r="DY49" s="165">
        <v>0</v>
      </c>
      <c r="DZ49" s="165">
        <v>420</v>
      </c>
      <c r="EA49" s="168"/>
    </row>
    <row r="50" spans="1:131" s="91" customFormat="1" ht="16.25" hidden="1" customHeight="1" x14ac:dyDescent="0.4">
      <c r="A50" s="32" t="s">
        <v>97</v>
      </c>
      <c r="B50" s="32" t="s">
        <v>29</v>
      </c>
      <c r="C50" s="32" t="s">
        <v>20</v>
      </c>
      <c r="D50" s="16" t="s">
        <v>344</v>
      </c>
      <c r="E50" s="87" t="s">
        <v>345</v>
      </c>
      <c r="F50" s="87" t="s">
        <v>110</v>
      </c>
      <c r="G50" s="32" t="s">
        <v>101</v>
      </c>
      <c r="H50" s="32" t="s">
        <v>182</v>
      </c>
      <c r="I50" s="51"/>
      <c r="J50" s="35" t="s">
        <v>346</v>
      </c>
      <c r="K50" s="36"/>
      <c r="L50" s="36"/>
      <c r="M50" s="36" t="s">
        <v>184</v>
      </c>
      <c r="N50" s="36"/>
      <c r="O50" s="33" t="s">
        <v>347</v>
      </c>
      <c r="P50" s="32" t="s">
        <v>193</v>
      </c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32"/>
      <c r="AD50" s="37">
        <v>400</v>
      </c>
      <c r="AE50" s="37"/>
      <c r="AF50" s="37"/>
      <c r="AG50" s="37"/>
      <c r="AH50" s="158"/>
      <c r="AI50" s="160"/>
      <c r="AJ50" s="37"/>
      <c r="AK50" s="46"/>
      <c r="AL50" s="47"/>
      <c r="AM50" s="162"/>
      <c r="AN50" s="39"/>
      <c r="AO50" s="97"/>
      <c r="AP50" s="39"/>
      <c r="AQ50" s="160"/>
      <c r="AR50" s="71"/>
      <c r="AS50" s="72"/>
      <c r="AT50" s="71"/>
      <c r="AU50" s="48"/>
      <c r="AV50" s="49"/>
      <c r="AW50" s="48"/>
      <c r="AY50" s="71"/>
      <c r="AZ50" s="72"/>
      <c r="BA50" s="71"/>
      <c r="BB50" s="39"/>
      <c r="BC50" s="50"/>
      <c r="BE50" s="37"/>
      <c r="BF50" s="46"/>
      <c r="BG50" s="37"/>
      <c r="BH50" s="37"/>
      <c r="BI50" s="39"/>
      <c r="BJ50" s="39"/>
      <c r="BK50" s="50"/>
      <c r="BM50" s="37">
        <v>400</v>
      </c>
      <c r="BN50" s="46">
        <v>0.5</v>
      </c>
      <c r="BO50" s="37">
        <f>BM50*BN50</f>
        <v>200</v>
      </c>
      <c r="BP50" s="37">
        <v>200</v>
      </c>
      <c r="BQ50" s="92">
        <f t="shared" si="36"/>
        <v>200</v>
      </c>
      <c r="BR50" s="34" t="s">
        <v>178</v>
      </c>
      <c r="BS50" s="50" t="s">
        <v>179</v>
      </c>
      <c r="BU50" s="37">
        <v>400</v>
      </c>
      <c r="BV50" s="46">
        <v>0.5</v>
      </c>
      <c r="BW50" s="118">
        <f t="shared" si="37"/>
        <v>200</v>
      </c>
      <c r="BX50" s="118">
        <f t="shared" si="38"/>
        <v>0</v>
      </c>
      <c r="BY50" s="50"/>
      <c r="CA50" s="37">
        <v>400</v>
      </c>
      <c r="CB50" s="46">
        <v>0.5</v>
      </c>
      <c r="CC50" s="118">
        <f t="shared" si="28"/>
        <v>200</v>
      </c>
      <c r="CD50" s="118"/>
      <c r="CE50" s="92">
        <f t="shared" si="29"/>
        <v>0</v>
      </c>
      <c r="CF50" s="92">
        <f t="shared" si="30"/>
        <v>0</v>
      </c>
      <c r="CG50" s="50"/>
      <c r="CI50" s="163">
        <v>400</v>
      </c>
      <c r="CJ50" s="164">
        <v>0.5</v>
      </c>
      <c r="CK50" s="165">
        <f t="shared" si="31"/>
        <v>200</v>
      </c>
      <c r="CL50" s="92">
        <f t="shared" si="32"/>
        <v>0</v>
      </c>
      <c r="CM50" s="50"/>
      <c r="CO50" s="163">
        <v>400</v>
      </c>
      <c r="CP50" s="164">
        <v>0.5</v>
      </c>
      <c r="CQ50" s="165">
        <f t="shared" si="33"/>
        <v>200</v>
      </c>
      <c r="CR50" s="168">
        <f t="shared" si="34"/>
        <v>0</v>
      </c>
      <c r="CU50" s="163">
        <v>400</v>
      </c>
      <c r="CV50" s="164">
        <v>0.5</v>
      </c>
      <c r="CW50" s="165">
        <f t="shared" si="35"/>
        <v>200</v>
      </c>
      <c r="CX50" s="163">
        <v>0</v>
      </c>
      <c r="CY50" s="164">
        <v>0.5</v>
      </c>
      <c r="CZ50" s="165">
        <f t="shared" si="41"/>
        <v>0</v>
      </c>
      <c r="DA50" s="168">
        <f t="shared" si="39"/>
        <v>-200</v>
      </c>
      <c r="DB50" s="168">
        <f t="shared" si="40"/>
        <v>-200</v>
      </c>
      <c r="DC50" s="168"/>
      <c r="DD50" s="91" t="s">
        <v>348</v>
      </c>
      <c r="DF50" s="163">
        <v>0</v>
      </c>
      <c r="DG50" s="164">
        <v>0.5</v>
      </c>
      <c r="DH50" s="165">
        <f t="shared" si="26"/>
        <v>0</v>
      </c>
      <c r="DI50" s="168">
        <f t="shared" si="11"/>
        <v>0</v>
      </c>
      <c r="DJ50" s="168">
        <f t="shared" si="12"/>
        <v>-200</v>
      </c>
      <c r="DK50" s="168"/>
      <c r="DL50" s="168"/>
      <c r="DM50" s="168"/>
      <c r="DN50" s="168">
        <f t="shared" si="27"/>
        <v>0</v>
      </c>
      <c r="DO50" s="165">
        <v>0</v>
      </c>
      <c r="DP50" s="165">
        <v>0</v>
      </c>
      <c r="DQ50" s="165">
        <v>0</v>
      </c>
      <c r="DR50" s="165">
        <v>0</v>
      </c>
      <c r="DS50" s="165">
        <v>0</v>
      </c>
      <c r="DT50" s="165">
        <v>0</v>
      </c>
      <c r="DU50" s="165">
        <v>0</v>
      </c>
      <c r="DV50" s="165">
        <v>0</v>
      </c>
      <c r="DW50" s="165">
        <v>0</v>
      </c>
      <c r="DX50" s="165">
        <v>0</v>
      </c>
      <c r="DY50" s="165">
        <v>0</v>
      </c>
      <c r="DZ50" s="165">
        <v>0</v>
      </c>
      <c r="EA50" s="168"/>
    </row>
    <row r="51" spans="1:131" s="91" customFormat="1" ht="16.25" hidden="1" customHeight="1" x14ac:dyDescent="0.4">
      <c r="A51" s="32" t="s">
        <v>97</v>
      </c>
      <c r="B51" s="32" t="s">
        <v>29</v>
      </c>
      <c r="C51" s="32" t="s">
        <v>172</v>
      </c>
      <c r="D51" s="16" t="s">
        <v>349</v>
      </c>
      <c r="E51" s="87" t="s">
        <v>350</v>
      </c>
      <c r="F51" s="87" t="s">
        <v>175</v>
      </c>
      <c r="G51" s="32" t="s">
        <v>101</v>
      </c>
      <c r="H51" s="36" t="s">
        <v>182</v>
      </c>
      <c r="I51" s="51"/>
      <c r="J51" s="35"/>
      <c r="K51" s="36"/>
      <c r="L51" s="36"/>
      <c r="M51" s="36"/>
      <c r="N51" s="36"/>
      <c r="O51" s="33"/>
      <c r="P51" s="32" t="s">
        <v>193</v>
      </c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32"/>
      <c r="AD51" s="37"/>
      <c r="AE51" s="37"/>
      <c r="AF51" s="37"/>
      <c r="AG51" s="37"/>
      <c r="AH51" s="158"/>
      <c r="AI51" s="160"/>
      <c r="AJ51" s="37"/>
      <c r="AK51" s="46"/>
      <c r="AL51" s="47"/>
      <c r="AM51" s="162"/>
      <c r="AN51" s="39"/>
      <c r="AO51" s="97"/>
      <c r="AP51" s="39"/>
      <c r="AQ51" s="160"/>
      <c r="AR51" s="71"/>
      <c r="AS51" s="72"/>
      <c r="AT51" s="71"/>
      <c r="AU51" s="48"/>
      <c r="AV51" s="49"/>
      <c r="AW51" s="48"/>
      <c r="AY51" s="71"/>
      <c r="AZ51" s="72"/>
      <c r="BA51" s="71"/>
      <c r="BB51" s="39"/>
      <c r="BC51" s="50"/>
      <c r="BE51" s="37"/>
      <c r="BF51" s="46"/>
      <c r="BG51" s="37"/>
      <c r="BH51" s="37"/>
      <c r="BI51" s="39"/>
      <c r="BJ51" s="39"/>
      <c r="BK51" s="50"/>
      <c r="BM51" s="37">
        <v>0</v>
      </c>
      <c r="BN51" s="46">
        <v>0</v>
      </c>
      <c r="BO51" s="37">
        <f>BM51*BN51</f>
        <v>0</v>
      </c>
      <c r="BP51" s="37"/>
      <c r="BQ51" s="92">
        <f t="shared" si="36"/>
        <v>0</v>
      </c>
      <c r="BR51" s="34"/>
      <c r="BS51" s="50"/>
      <c r="BU51" s="37">
        <v>2800</v>
      </c>
      <c r="BV51" s="46">
        <v>0.5</v>
      </c>
      <c r="BW51" s="118">
        <f t="shared" si="37"/>
        <v>1400</v>
      </c>
      <c r="BX51" s="118">
        <f t="shared" si="38"/>
        <v>1400</v>
      </c>
      <c r="BY51" s="50" t="s">
        <v>351</v>
      </c>
      <c r="CA51" s="37">
        <v>2800</v>
      </c>
      <c r="CB51" s="46">
        <v>0.5</v>
      </c>
      <c r="CC51" s="118">
        <f t="shared" si="28"/>
        <v>1400</v>
      </c>
      <c r="CD51" s="118"/>
      <c r="CE51" s="92">
        <f t="shared" si="29"/>
        <v>0</v>
      </c>
      <c r="CF51" s="92">
        <f t="shared" si="30"/>
        <v>1400</v>
      </c>
      <c r="CG51" s="50"/>
      <c r="CI51" s="163">
        <v>2800</v>
      </c>
      <c r="CJ51" s="164">
        <v>0</v>
      </c>
      <c r="CK51" s="165">
        <f t="shared" si="31"/>
        <v>0</v>
      </c>
      <c r="CL51" s="92">
        <f t="shared" si="32"/>
        <v>-1400</v>
      </c>
      <c r="CM51" s="50"/>
      <c r="CO51" s="163">
        <v>2800</v>
      </c>
      <c r="CP51" s="164">
        <v>0</v>
      </c>
      <c r="CQ51" s="165">
        <f t="shared" si="33"/>
        <v>0</v>
      </c>
      <c r="CR51" s="168">
        <f t="shared" si="34"/>
        <v>0</v>
      </c>
      <c r="CU51" s="163">
        <v>2800</v>
      </c>
      <c r="CV51" s="164">
        <v>0</v>
      </c>
      <c r="CW51" s="165">
        <f t="shared" si="35"/>
        <v>0</v>
      </c>
      <c r="CX51" s="163">
        <v>2800</v>
      </c>
      <c r="CY51" s="164">
        <v>0</v>
      </c>
      <c r="CZ51" s="165">
        <f t="shared" si="41"/>
        <v>0</v>
      </c>
      <c r="DA51" s="168">
        <f t="shared" si="39"/>
        <v>0</v>
      </c>
      <c r="DB51" s="168">
        <f t="shared" si="40"/>
        <v>0</v>
      </c>
      <c r="DC51" s="168"/>
      <c r="DF51" s="163">
        <v>2800</v>
      </c>
      <c r="DG51" s="164">
        <v>0</v>
      </c>
      <c r="DH51" s="165">
        <f t="shared" si="26"/>
        <v>0</v>
      </c>
      <c r="DI51" s="168">
        <f t="shared" si="11"/>
        <v>0</v>
      </c>
      <c r="DJ51" s="168">
        <f t="shared" si="12"/>
        <v>0</v>
      </c>
      <c r="DK51" s="168"/>
      <c r="DL51" s="168"/>
      <c r="DM51" s="168"/>
      <c r="DN51" s="168">
        <f t="shared" si="27"/>
        <v>0</v>
      </c>
      <c r="DO51" s="165">
        <v>0</v>
      </c>
      <c r="DP51" s="165">
        <v>0</v>
      </c>
      <c r="DQ51" s="165">
        <v>0</v>
      </c>
      <c r="DR51" s="165">
        <v>0</v>
      </c>
      <c r="DS51" s="165">
        <v>0</v>
      </c>
      <c r="DT51" s="165">
        <v>0</v>
      </c>
      <c r="DU51" s="165">
        <v>0</v>
      </c>
      <c r="DV51" s="165">
        <v>0</v>
      </c>
      <c r="DW51" s="165">
        <v>0</v>
      </c>
      <c r="DX51" s="165">
        <v>0</v>
      </c>
      <c r="DY51" s="165">
        <v>0</v>
      </c>
      <c r="DZ51" s="165">
        <v>0</v>
      </c>
    </row>
    <row r="52" spans="1:131" s="91" customFormat="1" ht="16.25" hidden="1" customHeight="1" x14ac:dyDescent="0.4">
      <c r="A52" s="32" t="s">
        <v>97</v>
      </c>
      <c r="B52" s="32" t="s">
        <v>29</v>
      </c>
      <c r="C52" s="32" t="s">
        <v>27</v>
      </c>
      <c r="D52" s="32" t="s">
        <v>1011</v>
      </c>
      <c r="E52" s="87" t="s">
        <v>353</v>
      </c>
      <c r="F52" s="87" t="s">
        <v>110</v>
      </c>
      <c r="G52" s="32" t="s">
        <v>101</v>
      </c>
      <c r="H52" s="32"/>
      <c r="I52" s="51"/>
      <c r="J52" s="38"/>
      <c r="K52" s="38" t="s">
        <v>354</v>
      </c>
      <c r="L52" s="38"/>
      <c r="M52" s="38"/>
      <c r="N52" s="36" t="s">
        <v>309</v>
      </c>
      <c r="O52" s="38"/>
      <c r="P52" s="32" t="s">
        <v>361</v>
      </c>
      <c r="Q52" s="129"/>
      <c r="R52" s="129"/>
      <c r="S52" s="129"/>
      <c r="T52" s="129"/>
      <c r="U52" s="129"/>
      <c r="V52" s="129"/>
      <c r="W52" s="129">
        <v>250</v>
      </c>
      <c r="X52" s="129"/>
      <c r="Y52" s="129"/>
      <c r="Z52" s="129"/>
      <c r="AA52" s="129"/>
      <c r="AB52" s="129"/>
      <c r="AC52" s="32"/>
      <c r="AD52" s="39">
        <v>500</v>
      </c>
      <c r="AE52" s="39"/>
      <c r="AF52" s="39"/>
      <c r="AG52" s="39"/>
      <c r="AH52" s="87"/>
      <c r="AI52" s="159"/>
      <c r="AJ52" s="37"/>
      <c r="AK52" s="46"/>
      <c r="AL52" s="47"/>
      <c r="AM52" s="162"/>
      <c r="AN52" s="39"/>
      <c r="AO52" s="97"/>
      <c r="AP52" s="39"/>
      <c r="AQ52" s="159"/>
      <c r="AR52" s="39"/>
      <c r="AS52" s="40"/>
      <c r="AT52" s="39"/>
      <c r="AU52" s="48"/>
      <c r="AV52" s="49"/>
      <c r="AW52" s="48"/>
      <c r="AY52" s="39"/>
      <c r="AZ52" s="40"/>
      <c r="BA52" s="39"/>
      <c r="BB52" s="39"/>
      <c r="BC52" s="50"/>
      <c r="BE52" s="39"/>
      <c r="BF52" s="40"/>
      <c r="BG52" s="39"/>
      <c r="BH52" s="39"/>
      <c r="BI52" s="39"/>
      <c r="BJ52" s="39"/>
      <c r="BK52" s="50"/>
      <c r="BM52" s="39"/>
      <c r="BN52" s="40"/>
      <c r="BO52" s="39"/>
      <c r="BP52" s="37"/>
      <c r="BQ52" s="92"/>
      <c r="BR52" s="59"/>
      <c r="BS52" s="50"/>
      <c r="BU52" s="39"/>
      <c r="BV52" s="40"/>
      <c r="BW52" s="118"/>
      <c r="BX52" s="118"/>
      <c r="BY52" s="50"/>
      <c r="CA52" s="39"/>
      <c r="CB52" s="40"/>
      <c r="CC52" s="118"/>
      <c r="CD52" s="118"/>
      <c r="CE52" s="92"/>
      <c r="CF52" s="92"/>
      <c r="CG52" s="50"/>
      <c r="CI52" s="159"/>
      <c r="CJ52" s="166"/>
      <c r="CK52" s="165"/>
      <c r="CL52" s="92"/>
      <c r="CM52" s="50"/>
      <c r="CO52" s="159">
        <v>0</v>
      </c>
      <c r="CP52" s="166">
        <v>0</v>
      </c>
      <c r="CQ52" s="165">
        <f t="shared" si="33"/>
        <v>0</v>
      </c>
      <c r="CR52" s="168"/>
      <c r="CX52" s="159">
        <v>500</v>
      </c>
      <c r="CY52" s="166">
        <v>0.5</v>
      </c>
      <c r="CZ52" s="165">
        <f t="shared" si="41"/>
        <v>250</v>
      </c>
      <c r="DA52" s="168">
        <f t="shared" si="39"/>
        <v>250</v>
      </c>
      <c r="DB52" s="168">
        <f t="shared" si="40"/>
        <v>250</v>
      </c>
      <c r="DC52" s="168"/>
      <c r="DD52" s="91" t="s">
        <v>290</v>
      </c>
      <c r="DF52" s="159">
        <v>420</v>
      </c>
      <c r="DG52" s="166">
        <v>0.9</v>
      </c>
      <c r="DH52" s="165">
        <f t="shared" si="26"/>
        <v>378</v>
      </c>
      <c r="DI52" s="168">
        <f t="shared" si="11"/>
        <v>128</v>
      </c>
      <c r="DJ52" s="168">
        <f t="shared" si="12"/>
        <v>378</v>
      </c>
      <c r="DK52" s="165" t="s">
        <v>355</v>
      </c>
      <c r="DL52" s="165"/>
      <c r="DM52" s="165"/>
      <c r="DN52" s="168">
        <f t="shared" si="27"/>
        <v>378</v>
      </c>
      <c r="DO52" s="165">
        <v>0</v>
      </c>
      <c r="DP52" s="165">
        <v>0</v>
      </c>
      <c r="DQ52" s="165">
        <v>0</v>
      </c>
      <c r="DR52" s="165">
        <v>0</v>
      </c>
      <c r="DS52" s="165">
        <v>0</v>
      </c>
      <c r="DT52" s="165">
        <v>0</v>
      </c>
      <c r="DU52" s="165">
        <v>0</v>
      </c>
      <c r="DV52" s="165">
        <v>0</v>
      </c>
      <c r="DW52" s="165">
        <v>0</v>
      </c>
      <c r="DX52" s="165">
        <v>378</v>
      </c>
      <c r="DY52" s="165">
        <v>0</v>
      </c>
      <c r="DZ52" s="165">
        <v>0</v>
      </c>
    </row>
    <row r="53" spans="1:131" s="50" customFormat="1" ht="16.25" hidden="1" customHeight="1" x14ac:dyDescent="0.4">
      <c r="A53" s="36" t="s">
        <v>97</v>
      </c>
      <c r="B53" s="36" t="s">
        <v>29</v>
      </c>
      <c r="C53" s="36" t="s">
        <v>27</v>
      </c>
      <c r="D53" s="36" t="s">
        <v>363</v>
      </c>
      <c r="E53" s="38" t="s">
        <v>364</v>
      </c>
      <c r="F53" s="33" t="s">
        <v>114</v>
      </c>
      <c r="G53" s="36" t="s">
        <v>263</v>
      </c>
      <c r="H53" s="36"/>
      <c r="I53" s="51"/>
      <c r="J53" s="33"/>
      <c r="K53" s="36"/>
      <c r="L53" s="36"/>
      <c r="M53" s="36" t="s">
        <v>249</v>
      </c>
      <c r="N53" s="36"/>
      <c r="O53" s="33" t="s">
        <v>365</v>
      </c>
      <c r="P53" s="36" t="s">
        <v>361</v>
      </c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36"/>
      <c r="AD53" s="39" t="s">
        <v>366</v>
      </c>
      <c r="AE53" s="39"/>
      <c r="AF53" s="37"/>
      <c r="AG53" s="37"/>
      <c r="AH53" s="34"/>
      <c r="AI53" s="45"/>
      <c r="AJ53" s="37"/>
      <c r="AK53" s="46"/>
      <c r="AL53" s="47"/>
      <c r="AM53" s="47"/>
      <c r="AN53" s="39"/>
      <c r="AO53" s="97"/>
      <c r="AP53" s="39"/>
      <c r="AQ53" s="45"/>
      <c r="AR53" s="39"/>
      <c r="AS53" s="40"/>
      <c r="AT53" s="39"/>
      <c r="AU53" s="48"/>
      <c r="AV53" s="49"/>
      <c r="AW53" s="48"/>
      <c r="AY53" s="39"/>
      <c r="AZ53" s="46">
        <v>0</v>
      </c>
      <c r="BA53" s="39"/>
      <c r="BB53" s="39"/>
      <c r="BE53" s="39"/>
      <c r="BF53" s="40"/>
      <c r="BG53" s="39"/>
      <c r="BH53" s="39"/>
      <c r="BI53" s="39"/>
      <c r="BJ53" s="39"/>
      <c r="BM53" s="39">
        <v>2000</v>
      </c>
      <c r="BN53" s="120">
        <v>1</v>
      </c>
      <c r="BO53" s="39">
        <f>BM53*BN53</f>
        <v>2000</v>
      </c>
      <c r="BP53" s="39"/>
      <c r="BQ53" s="92">
        <f>BO53-BA53</f>
        <v>2000</v>
      </c>
      <c r="BR53" s="59" t="s">
        <v>367</v>
      </c>
      <c r="BU53" s="39">
        <v>2000</v>
      </c>
      <c r="BV53" s="120">
        <v>1</v>
      </c>
      <c r="BW53" s="118">
        <f>BU53*BV53</f>
        <v>2000</v>
      </c>
      <c r="BX53" s="118">
        <f>BW53-BO53</f>
        <v>0</v>
      </c>
      <c r="CA53" s="39">
        <v>1000</v>
      </c>
      <c r="CB53" s="136">
        <v>1</v>
      </c>
      <c r="CC53" s="118">
        <f>CA53*CB53</f>
        <v>1000</v>
      </c>
      <c r="CD53" s="118"/>
      <c r="CE53" s="92">
        <f>CC53-BW53</f>
        <v>-1000</v>
      </c>
      <c r="CF53" s="92">
        <f>CC53-BO53</f>
        <v>-1000</v>
      </c>
      <c r="CI53" s="39">
        <v>0</v>
      </c>
      <c r="CJ53" s="136">
        <v>1</v>
      </c>
      <c r="CK53" s="118">
        <f>CI53*CJ53</f>
        <v>0</v>
      </c>
      <c r="CL53" s="92">
        <f>CK53-CC53</f>
        <v>-1000</v>
      </c>
      <c r="CO53" s="39">
        <v>0</v>
      </c>
      <c r="CP53" s="136">
        <v>1</v>
      </c>
      <c r="CQ53" s="118">
        <f t="shared" si="33"/>
        <v>0</v>
      </c>
      <c r="CR53" s="92">
        <f>CQ53-CK53</f>
        <v>0</v>
      </c>
      <c r="CU53" s="39">
        <v>0</v>
      </c>
      <c r="CV53" s="136">
        <v>1</v>
      </c>
      <c r="CW53" s="118">
        <f t="shared" ref="CW53:CW84" si="42">CU53*CV53</f>
        <v>0</v>
      </c>
      <c r="CX53" s="39">
        <v>0</v>
      </c>
      <c r="CY53" s="136">
        <v>1</v>
      </c>
      <c r="CZ53" s="118">
        <f t="shared" si="41"/>
        <v>0</v>
      </c>
      <c r="DA53" s="92">
        <f>CW53-CQ53</f>
        <v>0</v>
      </c>
      <c r="DB53" s="92"/>
      <c r="DC53" s="92"/>
      <c r="DF53" s="39">
        <v>0</v>
      </c>
      <c r="DG53" s="136">
        <v>1</v>
      </c>
      <c r="DH53" s="118">
        <f t="shared" si="26"/>
        <v>0</v>
      </c>
      <c r="DI53" s="168">
        <f t="shared" si="11"/>
        <v>0</v>
      </c>
      <c r="DJ53" s="168">
        <f t="shared" si="12"/>
        <v>0</v>
      </c>
      <c r="DN53" s="168">
        <f t="shared" si="27"/>
        <v>0</v>
      </c>
      <c r="DO53" s="165">
        <v>0</v>
      </c>
      <c r="DP53" s="165">
        <v>0</v>
      </c>
      <c r="DQ53" s="165">
        <v>0</v>
      </c>
      <c r="DR53" s="165">
        <v>0</v>
      </c>
      <c r="DS53" s="165">
        <v>0</v>
      </c>
      <c r="DT53" s="165">
        <v>0</v>
      </c>
      <c r="DU53" s="165">
        <v>0</v>
      </c>
      <c r="DV53" s="165">
        <v>0</v>
      </c>
      <c r="DW53" s="165">
        <v>0</v>
      </c>
      <c r="DX53" s="165">
        <v>0</v>
      </c>
      <c r="DY53" s="165">
        <v>0</v>
      </c>
      <c r="DZ53" s="165">
        <v>0</v>
      </c>
    </row>
    <row r="54" spans="1:131" s="91" customFormat="1" ht="16.25" hidden="1" customHeight="1" x14ac:dyDescent="0.35">
      <c r="A54" s="36" t="s">
        <v>97</v>
      </c>
      <c r="B54" s="36" t="s">
        <v>29</v>
      </c>
      <c r="C54" s="36" t="s">
        <v>20</v>
      </c>
      <c r="D54" s="36" t="s">
        <v>1012</v>
      </c>
      <c r="E54" s="38" t="s">
        <v>376</v>
      </c>
      <c r="F54" s="38" t="s">
        <v>110</v>
      </c>
      <c r="G54" s="53" t="s">
        <v>101</v>
      </c>
      <c r="H54" s="53"/>
      <c r="I54" s="36"/>
      <c r="J54" s="33" t="s">
        <v>356</v>
      </c>
      <c r="K54" s="36"/>
      <c r="L54" s="36"/>
      <c r="M54" s="36"/>
      <c r="N54" s="36"/>
      <c r="O54" s="33"/>
      <c r="P54" s="32" t="s">
        <v>230</v>
      </c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36"/>
      <c r="AD54" s="37"/>
      <c r="AE54" s="37"/>
      <c r="AF54" s="37"/>
      <c r="AG54" s="37"/>
      <c r="AH54" s="34"/>
      <c r="AI54" s="45"/>
      <c r="AJ54" s="37"/>
      <c r="AK54" s="46"/>
      <c r="AL54" s="37"/>
      <c r="AM54" s="37"/>
      <c r="AN54" s="39"/>
      <c r="AO54" s="97"/>
      <c r="AP54" s="39"/>
      <c r="AQ54" s="45"/>
      <c r="AR54" s="45"/>
      <c r="AS54" s="46"/>
      <c r="AT54" s="37"/>
      <c r="AU54" s="48"/>
      <c r="AV54" s="49"/>
      <c r="AW54" s="48"/>
      <c r="AX54" s="34"/>
      <c r="AY54" s="45"/>
      <c r="AZ54" s="46"/>
      <c r="BA54" s="39"/>
      <c r="BB54" s="39"/>
      <c r="BC54" s="50"/>
      <c r="BD54" s="34"/>
      <c r="BE54" s="45"/>
      <c r="BF54" s="46"/>
      <c r="BG54" s="39"/>
      <c r="BH54" s="37"/>
      <c r="BI54" s="39"/>
      <c r="BJ54" s="39"/>
      <c r="BK54" s="50"/>
      <c r="BL54" s="34"/>
      <c r="BM54" s="45"/>
      <c r="BN54" s="120"/>
      <c r="BO54" s="39"/>
      <c r="BP54" s="39"/>
      <c r="BQ54" s="92"/>
      <c r="BR54" s="59"/>
      <c r="BS54" s="50"/>
      <c r="BT54" s="34"/>
      <c r="BU54" s="45"/>
      <c r="BV54" s="120"/>
      <c r="BW54" s="118"/>
      <c r="BX54" s="118"/>
      <c r="BY54" s="50"/>
      <c r="BZ54" s="34"/>
      <c r="CA54" s="45"/>
      <c r="CB54" s="136"/>
      <c r="CC54" s="118"/>
      <c r="CD54" s="118"/>
      <c r="CE54" s="92"/>
      <c r="CF54" s="92"/>
      <c r="CG54" s="50"/>
      <c r="CH54" s="34"/>
      <c r="CI54" s="45"/>
      <c r="CJ54" s="136"/>
      <c r="CK54" s="118"/>
      <c r="CL54" s="118"/>
      <c r="CM54" s="34"/>
      <c r="CN54" s="17"/>
      <c r="CO54" s="45"/>
      <c r="CP54" s="136"/>
      <c r="CQ54" s="118"/>
      <c r="CR54" s="92"/>
      <c r="CS54" s="17"/>
      <c r="CT54" s="17"/>
      <c r="CU54" s="160">
        <v>50</v>
      </c>
      <c r="CV54" s="169">
        <v>1</v>
      </c>
      <c r="CW54" s="165">
        <f t="shared" si="42"/>
        <v>50</v>
      </c>
      <c r="CX54" s="160">
        <v>111</v>
      </c>
      <c r="CY54" s="169">
        <v>0.9</v>
      </c>
      <c r="CZ54" s="165">
        <f t="shared" si="41"/>
        <v>99.9</v>
      </c>
      <c r="DA54" s="168">
        <f>CZ54-CQ54</f>
        <v>99.9</v>
      </c>
      <c r="DB54" s="168">
        <f>CZ54-CW54</f>
        <v>49.900000000000006</v>
      </c>
      <c r="DC54" s="168"/>
      <c r="DD54" s="139" t="s">
        <v>358</v>
      </c>
      <c r="DE54" s="139"/>
      <c r="DF54" s="160">
        <v>111</v>
      </c>
      <c r="DG54" s="169">
        <v>0.9</v>
      </c>
      <c r="DH54" s="165">
        <f t="shared" si="26"/>
        <v>99.9</v>
      </c>
      <c r="DI54" s="168">
        <f t="shared" si="11"/>
        <v>0</v>
      </c>
      <c r="DJ54" s="168">
        <f t="shared" si="12"/>
        <v>49.900000000000006</v>
      </c>
      <c r="DK54" s="168"/>
      <c r="DL54" s="168"/>
      <c r="DM54" s="168"/>
      <c r="DN54" s="168">
        <f t="shared" si="27"/>
        <v>100</v>
      </c>
      <c r="DO54" s="165">
        <v>0</v>
      </c>
      <c r="DP54" s="165">
        <v>0</v>
      </c>
      <c r="DQ54" s="165">
        <v>0</v>
      </c>
      <c r="DR54" s="165">
        <v>0</v>
      </c>
      <c r="DS54" s="165">
        <v>0</v>
      </c>
      <c r="DT54" s="165">
        <v>0</v>
      </c>
      <c r="DU54" s="165">
        <v>0</v>
      </c>
      <c r="DV54" s="165">
        <v>0</v>
      </c>
      <c r="DW54" s="165">
        <v>0</v>
      </c>
      <c r="DX54" s="165">
        <v>100</v>
      </c>
      <c r="DY54" s="165">
        <v>0</v>
      </c>
      <c r="DZ54" s="165">
        <v>0</v>
      </c>
      <c r="EA54" s="50"/>
    </row>
    <row r="55" spans="1:131" s="50" customFormat="1" ht="16.25" hidden="1" customHeight="1" x14ac:dyDescent="0.35">
      <c r="A55" s="36" t="s">
        <v>97</v>
      </c>
      <c r="B55" s="36" t="s">
        <v>29</v>
      </c>
      <c r="C55" s="36" t="s">
        <v>20</v>
      </c>
      <c r="D55" s="51" t="s">
        <v>363</v>
      </c>
      <c r="E55" s="38" t="s">
        <v>368</v>
      </c>
      <c r="F55" s="38" t="s">
        <v>110</v>
      </c>
      <c r="G55" s="51" t="s">
        <v>263</v>
      </c>
      <c r="H55" s="51"/>
      <c r="I55" s="51"/>
      <c r="J55" s="35"/>
      <c r="K55" s="36"/>
      <c r="L55" s="36"/>
      <c r="M55" s="36"/>
      <c r="N55" s="36"/>
      <c r="O55" s="33"/>
      <c r="P55" s="36" t="s">
        <v>361</v>
      </c>
      <c r="Q55" s="129"/>
      <c r="R55" s="129"/>
      <c r="S55" s="129">
        <f>CC55</f>
        <v>315</v>
      </c>
      <c r="T55" s="129"/>
      <c r="U55" s="129"/>
      <c r="V55" s="129"/>
      <c r="W55" s="129"/>
      <c r="X55" s="129"/>
      <c r="Y55" s="129"/>
      <c r="Z55" s="129"/>
      <c r="AA55" s="129"/>
      <c r="AB55" s="129"/>
      <c r="AC55" s="36"/>
      <c r="AD55" s="37">
        <v>350</v>
      </c>
      <c r="AE55" s="37"/>
      <c r="AF55" s="37"/>
      <c r="AG55" s="37"/>
      <c r="AH55" s="34"/>
      <c r="AI55" s="45"/>
      <c r="AJ55" s="37"/>
      <c r="AK55" s="46"/>
      <c r="AL55" s="47"/>
      <c r="AM55" s="47"/>
      <c r="AN55" s="39"/>
      <c r="AO55" s="97"/>
      <c r="AP55" s="39"/>
      <c r="AQ55" s="45"/>
      <c r="AR55" s="71"/>
      <c r="AS55" s="72"/>
      <c r="AT55" s="71"/>
      <c r="AU55" s="48"/>
      <c r="AV55" s="49"/>
      <c r="AW55" s="48"/>
      <c r="AY55" s="71"/>
      <c r="AZ55" s="72"/>
      <c r="BA55" s="71"/>
      <c r="BB55" s="39"/>
      <c r="BE55" s="37"/>
      <c r="BF55" s="46"/>
      <c r="BG55" s="37"/>
      <c r="BH55" s="37"/>
      <c r="BI55" s="39"/>
      <c r="BJ55" s="39"/>
      <c r="BM55" s="37"/>
      <c r="BN55" s="46"/>
      <c r="BO55" s="37"/>
      <c r="BP55" s="37"/>
      <c r="BQ55" s="92"/>
      <c r="BR55" s="34"/>
      <c r="BU55" s="37">
        <v>350</v>
      </c>
      <c r="BV55" s="46">
        <v>0.9</v>
      </c>
      <c r="BW55" s="118">
        <f t="shared" ref="BW55:BW61" si="43">BU55*BV55</f>
        <v>315</v>
      </c>
      <c r="BX55" s="118"/>
      <c r="CA55" s="37">
        <v>350</v>
      </c>
      <c r="CB55" s="46">
        <v>0.9</v>
      </c>
      <c r="CC55" s="118">
        <f t="shared" ref="CC55:CC61" si="44">CA55*CB55</f>
        <v>315</v>
      </c>
      <c r="CD55" s="118"/>
      <c r="CE55" s="92">
        <f t="shared" ref="CE55:CE61" si="45">CC55-BW55</f>
        <v>0</v>
      </c>
      <c r="CF55" s="92">
        <f t="shared" ref="CF55:CF61" si="46">CC55-BO55</f>
        <v>315</v>
      </c>
      <c r="CG55" s="50" t="s">
        <v>369</v>
      </c>
      <c r="CI55" s="37">
        <v>0</v>
      </c>
      <c r="CJ55" s="46">
        <v>1</v>
      </c>
      <c r="CK55" s="118">
        <f t="shared" ref="CK55:CK86" si="47">CI55*CJ55</f>
        <v>0</v>
      </c>
      <c r="CL55" s="92">
        <f t="shared" ref="CL55:CL61" si="48">CK55-CC55</f>
        <v>-315</v>
      </c>
      <c r="CN55" s="17"/>
      <c r="CO55" s="37">
        <v>0</v>
      </c>
      <c r="CP55" s="46">
        <v>1</v>
      </c>
      <c r="CQ55" s="118">
        <f t="shared" ref="CQ55:CQ86" si="49">CO55*CP55</f>
        <v>0</v>
      </c>
      <c r="CR55" s="92">
        <f t="shared" ref="CR55:CR86" si="50">CQ55-CK55</f>
        <v>0</v>
      </c>
      <c r="CS55" s="17"/>
      <c r="CT55" s="17"/>
      <c r="CU55" s="37">
        <v>0</v>
      </c>
      <c r="CV55" s="46">
        <v>1</v>
      </c>
      <c r="CW55" s="118">
        <f t="shared" si="42"/>
        <v>0</v>
      </c>
      <c r="CX55" s="37">
        <v>0</v>
      </c>
      <c r="CY55" s="46">
        <v>1</v>
      </c>
      <c r="CZ55" s="118">
        <f t="shared" si="41"/>
        <v>0</v>
      </c>
      <c r="DA55" s="92">
        <f>CW55-CQ55</f>
        <v>0</v>
      </c>
      <c r="DB55" s="92"/>
      <c r="DC55" s="92"/>
      <c r="DD55" s="17"/>
      <c r="DE55" s="17"/>
      <c r="DF55" s="37">
        <v>0</v>
      </c>
      <c r="DG55" s="46">
        <v>1</v>
      </c>
      <c r="DH55" s="118">
        <f t="shared" si="26"/>
        <v>0</v>
      </c>
      <c r="DI55" s="168">
        <f t="shared" si="11"/>
        <v>0</v>
      </c>
      <c r="DJ55" s="168">
        <f t="shared" si="12"/>
        <v>0</v>
      </c>
      <c r="DK55" s="17"/>
      <c r="DL55" s="17"/>
      <c r="DM55" s="17"/>
      <c r="DN55" s="168">
        <f t="shared" si="27"/>
        <v>0</v>
      </c>
      <c r="DO55" s="165">
        <v>0</v>
      </c>
      <c r="DP55" s="165">
        <v>0</v>
      </c>
      <c r="DQ55" s="165">
        <v>0</v>
      </c>
      <c r="DR55" s="165">
        <v>0</v>
      </c>
      <c r="DS55" s="165">
        <v>0</v>
      </c>
      <c r="DT55" s="165">
        <v>0</v>
      </c>
      <c r="DU55" s="165">
        <v>0</v>
      </c>
      <c r="DV55" s="165">
        <v>0</v>
      </c>
      <c r="DW55" s="165">
        <v>0</v>
      </c>
      <c r="DX55" s="165">
        <v>0</v>
      </c>
      <c r="DY55" s="165">
        <v>0</v>
      </c>
      <c r="DZ55" s="165">
        <v>0</v>
      </c>
    </row>
    <row r="56" spans="1:131" s="91" customFormat="1" ht="16.25" hidden="1" customHeight="1" x14ac:dyDescent="0.4">
      <c r="A56" s="32" t="s">
        <v>97</v>
      </c>
      <c r="B56" s="32" t="s">
        <v>29</v>
      </c>
      <c r="C56" s="32" t="s">
        <v>20</v>
      </c>
      <c r="D56" s="16" t="s">
        <v>193</v>
      </c>
      <c r="E56" s="87" t="s">
        <v>379</v>
      </c>
      <c r="F56" s="87" t="s">
        <v>110</v>
      </c>
      <c r="G56" s="32" t="s">
        <v>101</v>
      </c>
      <c r="H56" s="32"/>
      <c r="I56" s="32" t="s">
        <v>292</v>
      </c>
      <c r="J56" s="35" t="s">
        <v>380</v>
      </c>
      <c r="K56" s="36" t="s">
        <v>381</v>
      </c>
      <c r="L56" s="36"/>
      <c r="M56" s="36"/>
      <c r="N56" s="36" t="s">
        <v>382</v>
      </c>
      <c r="O56" s="33" t="s">
        <v>383</v>
      </c>
      <c r="P56" s="32" t="s">
        <v>193</v>
      </c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32"/>
      <c r="AD56" s="37">
        <v>600</v>
      </c>
      <c r="AE56" s="37"/>
      <c r="AF56" s="37"/>
      <c r="AG56" s="37"/>
      <c r="AH56" s="158"/>
      <c r="AI56" s="160"/>
      <c r="AJ56" s="37">
        <v>0</v>
      </c>
      <c r="AK56" s="46">
        <v>0</v>
      </c>
      <c r="AL56" s="47">
        <f>AJ56*AK56</f>
        <v>0</v>
      </c>
      <c r="AM56" s="162"/>
      <c r="AN56" s="39">
        <v>0</v>
      </c>
      <c r="AO56" s="45"/>
      <c r="AP56" s="45"/>
      <c r="AQ56" s="160"/>
      <c r="AR56" s="37">
        <v>600</v>
      </c>
      <c r="AS56" s="46">
        <v>0.5</v>
      </c>
      <c r="AT56" s="37">
        <f>AR56*AS56</f>
        <v>300</v>
      </c>
      <c r="AU56" s="48"/>
      <c r="AV56" s="49">
        <f>AU56*AS56</f>
        <v>0</v>
      </c>
      <c r="AW56" s="48"/>
      <c r="AY56" s="37">
        <v>600</v>
      </c>
      <c r="AZ56" s="46">
        <v>0.5</v>
      </c>
      <c r="BA56" s="37">
        <f>AY56*AZ56</f>
        <v>300</v>
      </c>
      <c r="BB56" s="39">
        <f>BA56-AT56</f>
        <v>0</v>
      </c>
      <c r="BC56" s="50"/>
      <c r="BE56" s="37">
        <v>600</v>
      </c>
      <c r="BF56" s="46">
        <v>0.5</v>
      </c>
      <c r="BG56" s="37">
        <f>BE56*BF56</f>
        <v>300</v>
      </c>
      <c r="BH56" s="37"/>
      <c r="BI56" s="39">
        <f>BG56-BA56</f>
        <v>0</v>
      </c>
      <c r="BJ56" s="39"/>
      <c r="BK56" s="50"/>
      <c r="BM56" s="37">
        <v>0</v>
      </c>
      <c r="BN56" s="46">
        <v>0.5</v>
      </c>
      <c r="BO56" s="100">
        <f>BM56*BN56</f>
        <v>0</v>
      </c>
      <c r="BP56" s="37" t="e">
        <f>VLOOKUP(D56,'May FF'!B$3:C$38,2,0)/1000</f>
        <v>#N/A</v>
      </c>
      <c r="BQ56" s="92">
        <f>BO56-BA56</f>
        <v>-300</v>
      </c>
      <c r="BR56" s="34" t="s">
        <v>178</v>
      </c>
      <c r="BS56" s="50" t="s">
        <v>384</v>
      </c>
      <c r="BU56" s="37">
        <v>0</v>
      </c>
      <c r="BV56" s="46">
        <v>0.5</v>
      </c>
      <c r="BW56" s="118">
        <f t="shared" si="43"/>
        <v>0</v>
      </c>
      <c r="BX56" s="118">
        <f>BW56-BO56</f>
        <v>0</v>
      </c>
      <c r="BY56" s="50"/>
      <c r="CA56" s="37">
        <v>0</v>
      </c>
      <c r="CB56" s="46">
        <v>0.5</v>
      </c>
      <c r="CC56" s="118">
        <f t="shared" si="44"/>
        <v>0</v>
      </c>
      <c r="CD56" s="118"/>
      <c r="CE56" s="92">
        <f t="shared" si="45"/>
        <v>0</v>
      </c>
      <c r="CF56" s="92">
        <f t="shared" si="46"/>
        <v>0</v>
      </c>
      <c r="CG56" s="50"/>
      <c r="CI56" s="163">
        <v>0</v>
      </c>
      <c r="CJ56" s="164">
        <v>0.5</v>
      </c>
      <c r="CK56" s="165">
        <f t="shared" si="47"/>
        <v>0</v>
      </c>
      <c r="CL56" s="92">
        <f t="shared" si="48"/>
        <v>0</v>
      </c>
      <c r="CM56" s="50"/>
      <c r="CO56" s="163">
        <v>0</v>
      </c>
      <c r="CP56" s="164">
        <v>0.5</v>
      </c>
      <c r="CQ56" s="165">
        <f t="shared" si="49"/>
        <v>0</v>
      </c>
      <c r="CR56" s="168">
        <f t="shared" si="50"/>
        <v>0</v>
      </c>
      <c r="CU56" s="163">
        <v>0</v>
      </c>
      <c r="CV56" s="164">
        <v>0.5</v>
      </c>
      <c r="CW56" s="165">
        <f t="shared" si="42"/>
        <v>0</v>
      </c>
      <c r="CX56" s="163">
        <v>0</v>
      </c>
      <c r="CY56" s="164">
        <v>0.5</v>
      </c>
      <c r="CZ56" s="165">
        <f t="shared" si="41"/>
        <v>0</v>
      </c>
      <c r="DA56" s="168">
        <f>CZ56-CQ56</f>
        <v>0</v>
      </c>
      <c r="DB56" s="168">
        <f>CZ56-CW56</f>
        <v>0</v>
      </c>
      <c r="DC56" s="168"/>
      <c r="DF56" s="163">
        <v>0</v>
      </c>
      <c r="DG56" s="164">
        <v>0.5</v>
      </c>
      <c r="DH56" s="165">
        <f t="shared" si="26"/>
        <v>0</v>
      </c>
      <c r="DI56" s="168">
        <f t="shared" si="11"/>
        <v>0</v>
      </c>
      <c r="DJ56" s="168">
        <f t="shared" si="12"/>
        <v>0</v>
      </c>
      <c r="DK56" s="168"/>
      <c r="DL56" s="168"/>
      <c r="DM56" s="168"/>
      <c r="DN56" s="168">
        <f t="shared" si="27"/>
        <v>0</v>
      </c>
      <c r="DO56" s="165">
        <v>0</v>
      </c>
      <c r="DP56" s="165">
        <v>0</v>
      </c>
      <c r="DQ56" s="165">
        <v>0</v>
      </c>
      <c r="DR56" s="165">
        <v>0</v>
      </c>
      <c r="DS56" s="165">
        <v>0</v>
      </c>
      <c r="DT56" s="165">
        <v>0</v>
      </c>
      <c r="DU56" s="165">
        <v>0</v>
      </c>
      <c r="DV56" s="165">
        <v>0</v>
      </c>
      <c r="DW56" s="165">
        <v>0</v>
      </c>
      <c r="DX56" s="165">
        <v>0</v>
      </c>
      <c r="DY56" s="165">
        <v>0</v>
      </c>
      <c r="DZ56" s="165">
        <v>0</v>
      </c>
    </row>
    <row r="57" spans="1:131" s="50" customFormat="1" ht="16.25" hidden="1" customHeight="1" x14ac:dyDescent="0.35">
      <c r="A57" s="36" t="s">
        <v>97</v>
      </c>
      <c r="B57" s="36" t="s">
        <v>29</v>
      </c>
      <c r="C57" s="36" t="s">
        <v>20</v>
      </c>
      <c r="D57" s="36" t="s">
        <v>193</v>
      </c>
      <c r="E57" s="38" t="s">
        <v>370</v>
      </c>
      <c r="F57" s="33" t="s">
        <v>114</v>
      </c>
      <c r="G57" s="53" t="s">
        <v>263</v>
      </c>
      <c r="H57" s="53"/>
      <c r="I57" s="51"/>
      <c r="J57" s="33"/>
      <c r="K57" s="36"/>
      <c r="L57" s="36"/>
      <c r="M57" s="36" t="s">
        <v>255</v>
      </c>
      <c r="N57" s="36"/>
      <c r="O57" s="33" t="s">
        <v>371</v>
      </c>
      <c r="P57" s="36" t="s">
        <v>361</v>
      </c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36"/>
      <c r="AD57" s="37"/>
      <c r="AE57" s="37"/>
      <c r="AF57" s="39"/>
      <c r="AG57" s="39"/>
      <c r="AH57" s="38"/>
      <c r="AI57" s="41"/>
      <c r="AJ57" s="37"/>
      <c r="AK57" s="46"/>
      <c r="AL57" s="47"/>
      <c r="AM57" s="47"/>
      <c r="AN57" s="39" t="e">
        <f>VLOOKUP(D57,'May FF'!B$2:E$201,2,0)</f>
        <v>#N/A</v>
      </c>
      <c r="AO57" s="97" t="e">
        <f>VLOOKUP(D57,'May FF'!B95:E294,3,0)</f>
        <v>#N/A</v>
      </c>
      <c r="AP57" s="39" t="e">
        <f>VLOOKUP($D57,'May FF'!$B$2:$E$201,4,0)</f>
        <v>#N/A</v>
      </c>
      <c r="AQ57" s="39"/>
      <c r="AR57" s="45">
        <v>4000</v>
      </c>
      <c r="AS57" s="46">
        <v>0.5</v>
      </c>
      <c r="AT57" s="39">
        <f>AR57*AS57</f>
        <v>2000</v>
      </c>
      <c r="AU57" s="48"/>
      <c r="AV57" s="49"/>
      <c r="AW57" s="48"/>
      <c r="AX57" s="34"/>
      <c r="AY57" s="45">
        <v>4000</v>
      </c>
      <c r="AZ57" s="46">
        <v>1</v>
      </c>
      <c r="BA57" s="39">
        <f>AY57*AZ57</f>
        <v>4000</v>
      </c>
      <c r="BB57" s="39"/>
      <c r="BD57" s="34"/>
      <c r="BE57" s="45">
        <v>4000</v>
      </c>
      <c r="BF57" s="46">
        <v>0.5</v>
      </c>
      <c r="BG57" s="39">
        <f>BE57*BF57</f>
        <v>2000</v>
      </c>
      <c r="BH57" s="39"/>
      <c r="BI57" s="39">
        <f>BG57-BA57</f>
        <v>-2000</v>
      </c>
      <c r="BJ57" s="39"/>
      <c r="BL57" s="34"/>
      <c r="BM57" s="45">
        <v>500</v>
      </c>
      <c r="BN57" s="136">
        <v>1</v>
      </c>
      <c r="BO57" s="39">
        <f>BM57*BN57</f>
        <v>500</v>
      </c>
      <c r="BP57" s="44">
        <v>360</v>
      </c>
      <c r="BQ57" s="92">
        <f>BO57-BA57</f>
        <v>-3500</v>
      </c>
      <c r="BR57" s="59"/>
      <c r="BT57" s="34"/>
      <c r="BU57" s="45">
        <v>500</v>
      </c>
      <c r="BV57" s="136">
        <v>1</v>
      </c>
      <c r="BW57" s="118">
        <f t="shared" si="43"/>
        <v>500</v>
      </c>
      <c r="BX57" s="118">
        <f>BW57-BO57</f>
        <v>0</v>
      </c>
      <c r="BZ57" s="34"/>
      <c r="CA57" s="45">
        <v>500</v>
      </c>
      <c r="CB57" s="136">
        <v>1</v>
      </c>
      <c r="CC57" s="118">
        <f t="shared" si="44"/>
        <v>500</v>
      </c>
      <c r="CD57" s="118"/>
      <c r="CE57" s="92">
        <f t="shared" si="45"/>
        <v>0</v>
      </c>
      <c r="CF57" s="92">
        <f t="shared" si="46"/>
        <v>0</v>
      </c>
      <c r="CH57" s="34"/>
      <c r="CI57" s="45">
        <v>500</v>
      </c>
      <c r="CJ57" s="136">
        <v>0</v>
      </c>
      <c r="CK57" s="118">
        <f t="shared" si="47"/>
        <v>0</v>
      </c>
      <c r="CL57" s="118">
        <f t="shared" si="48"/>
        <v>-500</v>
      </c>
      <c r="CM57" s="34"/>
      <c r="CN57" s="17"/>
      <c r="CO57" s="37">
        <v>0</v>
      </c>
      <c r="CP57" s="136">
        <v>0</v>
      </c>
      <c r="CQ57" s="118">
        <f t="shared" si="49"/>
        <v>0</v>
      </c>
      <c r="CR57" s="92">
        <f t="shared" si="50"/>
        <v>0</v>
      </c>
      <c r="CS57" s="17"/>
      <c r="CT57" s="17"/>
      <c r="CU57" s="37">
        <v>0</v>
      </c>
      <c r="CV57" s="136">
        <v>0</v>
      </c>
      <c r="CW57" s="118">
        <f t="shared" si="42"/>
        <v>0</v>
      </c>
      <c r="CX57" s="37">
        <v>0</v>
      </c>
      <c r="CY57" s="136">
        <v>0</v>
      </c>
      <c r="CZ57" s="118">
        <f t="shared" si="41"/>
        <v>0</v>
      </c>
      <c r="DA57" s="92">
        <f>CW57-CQ57</f>
        <v>0</v>
      </c>
      <c r="DB57" s="92"/>
      <c r="DC57" s="92"/>
      <c r="DD57" s="17"/>
      <c r="DE57" s="17"/>
      <c r="DF57" s="37">
        <v>0</v>
      </c>
      <c r="DG57" s="136">
        <v>0</v>
      </c>
      <c r="DH57" s="118">
        <f t="shared" si="26"/>
        <v>0</v>
      </c>
      <c r="DI57" s="168">
        <f t="shared" si="11"/>
        <v>0</v>
      </c>
      <c r="DJ57" s="168">
        <f t="shared" si="12"/>
        <v>0</v>
      </c>
      <c r="DK57" s="17"/>
      <c r="DL57" s="17"/>
      <c r="DM57" s="17"/>
      <c r="DN57" s="168">
        <f t="shared" si="27"/>
        <v>0</v>
      </c>
      <c r="DR57" s="165">
        <v>0</v>
      </c>
      <c r="DS57" s="165">
        <v>0</v>
      </c>
      <c r="DT57" s="165">
        <v>0</v>
      </c>
      <c r="DU57" s="165">
        <v>0</v>
      </c>
      <c r="DV57" s="165">
        <v>0</v>
      </c>
      <c r="DW57" s="165">
        <v>0</v>
      </c>
      <c r="DX57" s="165">
        <v>0</v>
      </c>
      <c r="DY57" s="165">
        <v>0</v>
      </c>
      <c r="DZ57" s="165">
        <v>0</v>
      </c>
    </row>
    <row r="58" spans="1:131" s="50" customFormat="1" ht="16.25" hidden="1" customHeight="1" x14ac:dyDescent="0.35">
      <c r="A58" s="36" t="s">
        <v>97</v>
      </c>
      <c r="B58" s="36" t="s">
        <v>29</v>
      </c>
      <c r="C58" s="36" t="s">
        <v>20</v>
      </c>
      <c r="D58" s="36" t="s">
        <v>193</v>
      </c>
      <c r="E58" s="38" t="s">
        <v>372</v>
      </c>
      <c r="F58" s="33" t="s">
        <v>114</v>
      </c>
      <c r="G58" s="53" t="s">
        <v>263</v>
      </c>
      <c r="H58" s="53"/>
      <c r="I58" s="36"/>
      <c r="J58" s="33"/>
      <c r="K58" s="36"/>
      <c r="L58" s="36"/>
      <c r="M58" s="36"/>
      <c r="N58" s="36"/>
      <c r="O58" s="33"/>
      <c r="P58" s="36" t="s">
        <v>361</v>
      </c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36"/>
      <c r="AD58" s="37"/>
      <c r="AE58" s="37"/>
      <c r="AF58" s="37"/>
      <c r="AG58" s="37"/>
      <c r="AH58" s="34"/>
      <c r="AI58" s="45"/>
      <c r="AJ58" s="37"/>
      <c r="AK58" s="46"/>
      <c r="AL58" s="37"/>
      <c r="AM58" s="37"/>
      <c r="AN58" s="39" t="e">
        <f>VLOOKUP(D58,'May FF'!B$2:E$201,2,0)</f>
        <v>#N/A</v>
      </c>
      <c r="AO58" s="97" t="e">
        <f>VLOOKUP(D58,'May FF'!B122:E321,3,0)</f>
        <v>#N/A</v>
      </c>
      <c r="AP58" s="39" t="e">
        <f>VLOOKUP($D58,'May FF'!$B$2:$E$201,4,0)</f>
        <v>#N/A</v>
      </c>
      <c r="AQ58" s="45"/>
      <c r="AR58" s="45"/>
      <c r="AS58" s="46"/>
      <c r="AT58" s="37"/>
      <c r="AU58" s="48"/>
      <c r="AV58" s="49"/>
      <c r="AW58" s="48"/>
      <c r="AX58" s="34"/>
      <c r="AY58" s="45">
        <v>0</v>
      </c>
      <c r="AZ58" s="46">
        <v>0</v>
      </c>
      <c r="BA58" s="39">
        <f>AY58*AZ58</f>
        <v>0</v>
      </c>
      <c r="BB58" s="39"/>
      <c r="BD58" s="34"/>
      <c r="BE58" s="45">
        <v>0</v>
      </c>
      <c r="BF58" s="46">
        <v>0</v>
      </c>
      <c r="BG58" s="39">
        <f>BE58*BF58</f>
        <v>0</v>
      </c>
      <c r="BH58" s="37"/>
      <c r="BI58" s="39"/>
      <c r="BJ58" s="39"/>
      <c r="BL58" s="34"/>
      <c r="BM58" s="45">
        <v>2000</v>
      </c>
      <c r="BN58" s="120">
        <v>1</v>
      </c>
      <c r="BO58" s="39">
        <f>BM58*BN58</f>
        <v>2000</v>
      </c>
      <c r="BP58" s="39"/>
      <c r="BQ58" s="92">
        <f>BO58-BA58</f>
        <v>2000</v>
      </c>
      <c r="BR58" s="59" t="s">
        <v>373</v>
      </c>
      <c r="BS58" s="50" t="s">
        <v>374</v>
      </c>
      <c r="BT58" s="34"/>
      <c r="BU58" s="45">
        <v>2000</v>
      </c>
      <c r="BV58" s="120">
        <v>1</v>
      </c>
      <c r="BW58" s="118">
        <f t="shared" si="43"/>
        <v>2000</v>
      </c>
      <c r="BX58" s="118">
        <f>BW58-BO58</f>
        <v>0</v>
      </c>
      <c r="BZ58" s="34"/>
      <c r="CA58" s="45">
        <v>2000</v>
      </c>
      <c r="CB58" s="136">
        <v>1</v>
      </c>
      <c r="CC58" s="118">
        <f t="shared" si="44"/>
        <v>2000</v>
      </c>
      <c r="CD58" s="118"/>
      <c r="CE58" s="92">
        <f t="shared" si="45"/>
        <v>0</v>
      </c>
      <c r="CF58" s="92">
        <f t="shared" si="46"/>
        <v>0</v>
      </c>
      <c r="CH58" s="34"/>
      <c r="CI58" s="45">
        <v>2000</v>
      </c>
      <c r="CJ58" s="136">
        <v>0</v>
      </c>
      <c r="CK58" s="118">
        <f t="shared" si="47"/>
        <v>0</v>
      </c>
      <c r="CL58" s="118">
        <f t="shared" si="48"/>
        <v>-2000</v>
      </c>
      <c r="CM58" s="34" t="s">
        <v>375</v>
      </c>
      <c r="CN58" s="17"/>
      <c r="CO58" s="37">
        <v>0</v>
      </c>
      <c r="CP58" s="136">
        <v>0</v>
      </c>
      <c r="CQ58" s="118">
        <f t="shared" si="49"/>
        <v>0</v>
      </c>
      <c r="CR58" s="92">
        <f t="shared" si="50"/>
        <v>0</v>
      </c>
      <c r="CS58" s="17"/>
      <c r="CT58" s="17"/>
      <c r="CU58" s="37">
        <v>0</v>
      </c>
      <c r="CV58" s="136">
        <v>0</v>
      </c>
      <c r="CW58" s="118">
        <f t="shared" si="42"/>
        <v>0</v>
      </c>
      <c r="CX58" s="37">
        <v>0</v>
      </c>
      <c r="CY58" s="136">
        <v>0</v>
      </c>
      <c r="CZ58" s="118">
        <f t="shared" si="41"/>
        <v>0</v>
      </c>
      <c r="DA58" s="92">
        <f>CW58-CQ58</f>
        <v>0</v>
      </c>
      <c r="DB58" s="92"/>
      <c r="DC58" s="92"/>
      <c r="DD58" s="17"/>
      <c r="DE58" s="17"/>
      <c r="DF58" s="37">
        <v>0</v>
      </c>
      <c r="DG58" s="136">
        <v>0</v>
      </c>
      <c r="DH58" s="118">
        <f t="shared" si="26"/>
        <v>0</v>
      </c>
      <c r="DI58" s="168">
        <f t="shared" si="11"/>
        <v>0</v>
      </c>
      <c r="DJ58" s="168">
        <f t="shared" si="12"/>
        <v>0</v>
      </c>
      <c r="DK58" s="17"/>
      <c r="DL58" s="17"/>
      <c r="DM58" s="17"/>
      <c r="DN58" s="168">
        <f t="shared" si="27"/>
        <v>0</v>
      </c>
      <c r="DR58" s="165">
        <v>0</v>
      </c>
      <c r="DS58" s="165">
        <v>0</v>
      </c>
      <c r="DT58" s="165">
        <v>0</v>
      </c>
      <c r="DU58" s="165">
        <v>0</v>
      </c>
      <c r="DV58" s="165">
        <v>0</v>
      </c>
      <c r="DW58" s="165">
        <v>0</v>
      </c>
      <c r="DX58" s="165">
        <v>0</v>
      </c>
      <c r="DY58" s="165">
        <v>0</v>
      </c>
      <c r="DZ58" s="165">
        <v>0</v>
      </c>
    </row>
    <row r="59" spans="1:131" s="50" customFormat="1" ht="16.25" hidden="1" customHeight="1" x14ac:dyDescent="0.35">
      <c r="A59" s="36" t="s">
        <v>97</v>
      </c>
      <c r="B59" s="36" t="s">
        <v>29</v>
      </c>
      <c r="C59" s="36" t="s">
        <v>20</v>
      </c>
      <c r="D59" s="36" t="s">
        <v>193</v>
      </c>
      <c r="E59" s="38" t="s">
        <v>376</v>
      </c>
      <c r="F59" s="38" t="s">
        <v>110</v>
      </c>
      <c r="G59" s="53" t="s">
        <v>263</v>
      </c>
      <c r="H59" s="53"/>
      <c r="I59" s="36"/>
      <c r="J59" s="33"/>
      <c r="K59" s="36"/>
      <c r="L59" s="36"/>
      <c r="M59" s="36"/>
      <c r="N59" s="36"/>
      <c r="O59" s="33"/>
      <c r="P59" s="36" t="s">
        <v>361</v>
      </c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36"/>
      <c r="AD59" s="37"/>
      <c r="AE59" s="37"/>
      <c r="AF59" s="37"/>
      <c r="AG59" s="37"/>
      <c r="AH59" s="34"/>
      <c r="AI59" s="45"/>
      <c r="AJ59" s="37"/>
      <c r="AK59" s="46"/>
      <c r="AL59" s="37"/>
      <c r="AM59" s="37"/>
      <c r="AN59" s="39"/>
      <c r="AO59" s="97"/>
      <c r="AP59" s="39"/>
      <c r="AQ59" s="45"/>
      <c r="AR59" s="45"/>
      <c r="AS59" s="46"/>
      <c r="AT59" s="37"/>
      <c r="AU59" s="48"/>
      <c r="AV59" s="49"/>
      <c r="AW59" s="48"/>
      <c r="AX59" s="34"/>
      <c r="AY59" s="45"/>
      <c r="AZ59" s="46"/>
      <c r="BA59" s="39"/>
      <c r="BB59" s="39"/>
      <c r="BD59" s="34"/>
      <c r="BE59" s="45"/>
      <c r="BF59" s="46"/>
      <c r="BG59" s="39"/>
      <c r="BH59" s="37"/>
      <c r="BI59" s="39"/>
      <c r="BJ59" s="39"/>
      <c r="BL59" s="34"/>
      <c r="BM59" s="45"/>
      <c r="BN59" s="120"/>
      <c r="BO59" s="39"/>
      <c r="BP59" s="39"/>
      <c r="BQ59" s="92"/>
      <c r="BR59" s="59"/>
      <c r="BT59" s="34"/>
      <c r="BU59" s="45">
        <v>0</v>
      </c>
      <c r="BV59" s="120">
        <v>1</v>
      </c>
      <c r="BW59" s="118">
        <f t="shared" si="43"/>
        <v>0</v>
      </c>
      <c r="BX59" s="118"/>
      <c r="BZ59" s="34"/>
      <c r="CA59" s="45">
        <v>100</v>
      </c>
      <c r="CB59" s="136">
        <v>1</v>
      </c>
      <c r="CC59" s="118">
        <f t="shared" si="44"/>
        <v>100</v>
      </c>
      <c r="CD59" s="118"/>
      <c r="CE59" s="92">
        <f t="shared" si="45"/>
        <v>100</v>
      </c>
      <c r="CF59" s="92">
        <f t="shared" si="46"/>
        <v>100</v>
      </c>
      <c r="CH59" s="34"/>
      <c r="CI59" s="45">
        <v>100</v>
      </c>
      <c r="CJ59" s="136">
        <v>1</v>
      </c>
      <c r="CK59" s="118">
        <f t="shared" si="47"/>
        <v>100</v>
      </c>
      <c r="CL59" s="118">
        <f t="shared" si="48"/>
        <v>0</v>
      </c>
      <c r="CM59" s="34" t="s">
        <v>377</v>
      </c>
      <c r="CN59" s="17"/>
      <c r="CO59" s="45">
        <v>100</v>
      </c>
      <c r="CP59" s="136">
        <v>1</v>
      </c>
      <c r="CQ59" s="118">
        <f t="shared" si="49"/>
        <v>100</v>
      </c>
      <c r="CR59" s="92">
        <f t="shared" si="50"/>
        <v>0</v>
      </c>
      <c r="CS59" s="17"/>
      <c r="CT59" s="17"/>
      <c r="CU59" s="45">
        <v>0</v>
      </c>
      <c r="CV59" s="136">
        <v>1</v>
      </c>
      <c r="CW59" s="118">
        <f t="shared" si="42"/>
        <v>0</v>
      </c>
      <c r="CX59" s="45">
        <v>0</v>
      </c>
      <c r="CY59" s="136">
        <v>1</v>
      </c>
      <c r="CZ59" s="118">
        <f t="shared" si="41"/>
        <v>0</v>
      </c>
      <c r="DA59" s="92">
        <f>CW59-CQ59</f>
        <v>-100</v>
      </c>
      <c r="DB59" s="92"/>
      <c r="DC59" s="92"/>
      <c r="DD59" s="17"/>
      <c r="DE59" s="17"/>
      <c r="DF59" s="45">
        <v>0</v>
      </c>
      <c r="DG59" s="136">
        <v>1</v>
      </c>
      <c r="DH59" s="118">
        <f t="shared" si="26"/>
        <v>0</v>
      </c>
      <c r="DI59" s="168">
        <f t="shared" si="11"/>
        <v>0</v>
      </c>
      <c r="DJ59" s="168">
        <f t="shared" si="12"/>
        <v>0</v>
      </c>
      <c r="DK59" s="17"/>
      <c r="DL59" s="17"/>
      <c r="DM59" s="17"/>
      <c r="DN59" s="168">
        <f t="shared" si="27"/>
        <v>0</v>
      </c>
      <c r="DR59" s="165">
        <v>0</v>
      </c>
      <c r="DS59" s="165">
        <v>0</v>
      </c>
      <c r="DT59" s="165">
        <v>0</v>
      </c>
      <c r="DU59" s="165">
        <v>0</v>
      </c>
      <c r="DV59" s="165">
        <v>0</v>
      </c>
      <c r="DW59" s="165">
        <v>0</v>
      </c>
      <c r="DX59" s="165">
        <v>0</v>
      </c>
      <c r="DY59" s="165">
        <v>0</v>
      </c>
      <c r="DZ59" s="165">
        <v>0</v>
      </c>
    </row>
    <row r="60" spans="1:131" s="91" customFormat="1" ht="16.25" hidden="1" customHeight="1" x14ac:dyDescent="0.4">
      <c r="A60" s="32" t="s">
        <v>97</v>
      </c>
      <c r="B60" s="32" t="s">
        <v>29</v>
      </c>
      <c r="C60" s="32" t="s">
        <v>20</v>
      </c>
      <c r="D60" s="16" t="s">
        <v>193</v>
      </c>
      <c r="E60" s="87" t="s">
        <v>385</v>
      </c>
      <c r="F60" s="87" t="s">
        <v>110</v>
      </c>
      <c r="G60" s="32" t="s">
        <v>101</v>
      </c>
      <c r="H60" s="32"/>
      <c r="I60" s="32" t="s">
        <v>386</v>
      </c>
      <c r="J60" s="43" t="s">
        <v>387</v>
      </c>
      <c r="K60" s="36" t="s">
        <v>331</v>
      </c>
      <c r="L60" s="36"/>
      <c r="M60" s="36" t="s">
        <v>388</v>
      </c>
      <c r="N60" s="36" t="s">
        <v>389</v>
      </c>
      <c r="O60" s="43" t="s">
        <v>390</v>
      </c>
      <c r="P60" s="32" t="s">
        <v>193</v>
      </c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32"/>
      <c r="AD60" s="37">
        <v>200</v>
      </c>
      <c r="AE60" s="37"/>
      <c r="AF60" s="37"/>
      <c r="AG60" s="37"/>
      <c r="AH60" s="158"/>
      <c r="AI60" s="160"/>
      <c r="AJ60" s="37">
        <v>0</v>
      </c>
      <c r="AK60" s="46">
        <v>0</v>
      </c>
      <c r="AL60" s="47">
        <f>AJ60*AK60</f>
        <v>0</v>
      </c>
      <c r="AM60" s="162"/>
      <c r="AN60" s="39" t="e">
        <f>VLOOKUP(D60,'May FF'!B$2:E$201,2,0)</f>
        <v>#N/A</v>
      </c>
      <c r="AO60" s="45"/>
      <c r="AP60" s="45"/>
      <c r="AQ60" s="160"/>
      <c r="AR60" s="45">
        <v>0</v>
      </c>
      <c r="AS60" s="46">
        <v>0</v>
      </c>
      <c r="AT60" s="37">
        <f>AR60*AS60</f>
        <v>0</v>
      </c>
      <c r="AU60" s="48"/>
      <c r="AV60" s="49">
        <f>AU60*AS60</f>
        <v>0</v>
      </c>
      <c r="AW60" s="48"/>
      <c r="AY60" s="45">
        <v>0</v>
      </c>
      <c r="AZ60" s="46">
        <v>0</v>
      </c>
      <c r="BA60" s="37">
        <f>AY60*AZ60</f>
        <v>0</v>
      </c>
      <c r="BB60" s="39">
        <f>BA60-AT60</f>
        <v>0</v>
      </c>
      <c r="BC60" s="50"/>
      <c r="BE60" s="45">
        <v>0</v>
      </c>
      <c r="BF60" s="46">
        <v>0</v>
      </c>
      <c r="BG60" s="37">
        <f>BE60*BF60</f>
        <v>0</v>
      </c>
      <c r="BH60" s="37"/>
      <c r="BI60" s="39">
        <f>BG60-BA60</f>
        <v>0</v>
      </c>
      <c r="BJ60" s="39"/>
      <c r="BK60" s="50"/>
      <c r="BM60" s="45">
        <v>0</v>
      </c>
      <c r="BN60" s="46">
        <v>0</v>
      </c>
      <c r="BO60" s="37">
        <f>BM60*BN60</f>
        <v>0</v>
      </c>
      <c r="BP60" s="37" t="e">
        <f>VLOOKUP(D60,'May FF'!B$3:C$38,2,0)/1000</f>
        <v>#N/A</v>
      </c>
      <c r="BQ60" s="92">
        <f>BO60-BA60</f>
        <v>0</v>
      </c>
      <c r="BR60" s="59"/>
      <c r="BS60" s="50"/>
      <c r="BU60" s="45">
        <v>0</v>
      </c>
      <c r="BV60" s="46">
        <v>0</v>
      </c>
      <c r="BW60" s="118">
        <f t="shared" si="43"/>
        <v>0</v>
      </c>
      <c r="BX60" s="118">
        <f>BW60-BO60</f>
        <v>0</v>
      </c>
      <c r="BY60" s="50"/>
      <c r="CA60" s="45">
        <v>0</v>
      </c>
      <c r="CB60" s="46">
        <v>0</v>
      </c>
      <c r="CC60" s="118">
        <f t="shared" si="44"/>
        <v>0</v>
      </c>
      <c r="CD60" s="118"/>
      <c r="CE60" s="92">
        <f t="shared" si="45"/>
        <v>0</v>
      </c>
      <c r="CF60" s="92">
        <f t="shared" si="46"/>
        <v>0</v>
      </c>
      <c r="CG60" s="50"/>
      <c r="CI60" s="160">
        <v>0</v>
      </c>
      <c r="CJ60" s="164">
        <v>0</v>
      </c>
      <c r="CK60" s="165">
        <f t="shared" si="47"/>
        <v>0</v>
      </c>
      <c r="CL60" s="92">
        <f t="shared" si="48"/>
        <v>0</v>
      </c>
      <c r="CM60" s="50"/>
      <c r="CN60" s="139"/>
      <c r="CO60" s="160">
        <v>0</v>
      </c>
      <c r="CP60" s="164">
        <v>0</v>
      </c>
      <c r="CQ60" s="165">
        <f t="shared" si="49"/>
        <v>0</v>
      </c>
      <c r="CR60" s="168">
        <f t="shared" si="50"/>
        <v>0</v>
      </c>
      <c r="CS60" s="139"/>
      <c r="CT60" s="139"/>
      <c r="CU60" s="160">
        <v>0</v>
      </c>
      <c r="CV60" s="164">
        <v>0</v>
      </c>
      <c r="CW60" s="165">
        <f t="shared" si="42"/>
        <v>0</v>
      </c>
      <c r="CX60" s="160">
        <v>0</v>
      </c>
      <c r="CY60" s="164">
        <v>0</v>
      </c>
      <c r="CZ60" s="165">
        <f t="shared" si="41"/>
        <v>0</v>
      </c>
      <c r="DA60" s="168">
        <f>CZ60-CQ60</f>
        <v>0</v>
      </c>
      <c r="DB60" s="168">
        <f>CZ60-CW60</f>
        <v>0</v>
      </c>
      <c r="DC60" s="168"/>
      <c r="DD60" s="139"/>
      <c r="DE60" s="139"/>
      <c r="DF60" s="160">
        <v>0</v>
      </c>
      <c r="DG60" s="164">
        <v>0</v>
      </c>
      <c r="DH60" s="165">
        <f t="shared" si="26"/>
        <v>0</v>
      </c>
      <c r="DI60" s="168">
        <f t="shared" si="11"/>
        <v>0</v>
      </c>
      <c r="DJ60" s="168">
        <f t="shared" si="12"/>
        <v>0</v>
      </c>
      <c r="DK60" s="168"/>
      <c r="DL60" s="168"/>
      <c r="DM60" s="168"/>
      <c r="DN60" s="168">
        <f t="shared" si="27"/>
        <v>0</v>
      </c>
      <c r="DO60" s="165">
        <v>0</v>
      </c>
      <c r="DP60" s="165">
        <v>0</v>
      </c>
      <c r="DQ60" s="165">
        <v>0</v>
      </c>
      <c r="DR60" s="165">
        <v>0</v>
      </c>
      <c r="DS60" s="165">
        <v>0</v>
      </c>
      <c r="DT60" s="165">
        <v>0</v>
      </c>
      <c r="DU60" s="165">
        <v>0</v>
      </c>
      <c r="DV60" s="165">
        <v>0</v>
      </c>
      <c r="DW60" s="165">
        <v>0</v>
      </c>
      <c r="DX60" s="165">
        <v>0</v>
      </c>
      <c r="DY60" s="165">
        <v>0</v>
      </c>
      <c r="DZ60" s="165">
        <v>0</v>
      </c>
    </row>
    <row r="61" spans="1:131" s="50" customFormat="1" ht="16.25" hidden="1" customHeight="1" x14ac:dyDescent="0.35">
      <c r="A61" s="36" t="s">
        <v>97</v>
      </c>
      <c r="B61" s="36" t="s">
        <v>29</v>
      </c>
      <c r="C61" s="36" t="s">
        <v>20</v>
      </c>
      <c r="D61" s="36" t="s">
        <v>193</v>
      </c>
      <c r="E61" s="38" t="s">
        <v>378</v>
      </c>
      <c r="F61" s="34" t="s">
        <v>114</v>
      </c>
      <c r="G61" s="32" t="s">
        <v>263</v>
      </c>
      <c r="H61" s="32"/>
      <c r="I61" s="36"/>
      <c r="J61" s="38"/>
      <c r="K61" s="38"/>
      <c r="L61" s="38"/>
      <c r="M61" s="68"/>
      <c r="N61" s="36"/>
      <c r="O61" s="33" t="s">
        <v>275</v>
      </c>
      <c r="P61" s="36" t="s">
        <v>361</v>
      </c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36"/>
      <c r="AD61" s="39"/>
      <c r="AE61" s="39"/>
      <c r="AF61" s="37"/>
      <c r="AG61" s="37"/>
      <c r="AH61" s="34"/>
      <c r="AI61" s="45"/>
      <c r="AJ61" s="37"/>
      <c r="AK61" s="46"/>
      <c r="AL61" s="47"/>
      <c r="AM61" s="47"/>
      <c r="AN61" s="39">
        <v>0</v>
      </c>
      <c r="AO61" s="97">
        <v>0</v>
      </c>
      <c r="AP61" s="39">
        <v>0</v>
      </c>
      <c r="AQ61" s="45"/>
      <c r="AR61" s="39"/>
      <c r="AS61" s="40"/>
      <c r="AT61" s="39"/>
      <c r="AU61" s="48"/>
      <c r="AV61" s="49"/>
      <c r="AW61" s="48"/>
      <c r="AX61" s="34"/>
      <c r="AY61" s="45">
        <v>0</v>
      </c>
      <c r="AZ61" s="46">
        <v>0</v>
      </c>
      <c r="BA61" s="37">
        <f>AY61*AZ61</f>
        <v>0</v>
      </c>
      <c r="BB61" s="39"/>
      <c r="BD61" s="34"/>
      <c r="BE61" s="82">
        <v>1000</v>
      </c>
      <c r="BF61" s="85">
        <v>0.5</v>
      </c>
      <c r="BG61" s="82">
        <f>BE61*BF61</f>
        <v>500</v>
      </c>
      <c r="BH61" s="82"/>
      <c r="BI61" s="39">
        <f>BG61-BA61</f>
        <v>500</v>
      </c>
      <c r="BJ61" s="39"/>
      <c r="BL61" s="34"/>
      <c r="BM61" s="82">
        <v>500</v>
      </c>
      <c r="BN61" s="120">
        <v>1</v>
      </c>
      <c r="BO61" s="82">
        <f>BM61*BN61</f>
        <v>500</v>
      </c>
      <c r="BP61" s="82"/>
      <c r="BQ61" s="92">
        <f>BO61-BA61</f>
        <v>500</v>
      </c>
      <c r="BR61" s="59"/>
      <c r="BT61" s="34"/>
      <c r="BU61" s="39">
        <v>500</v>
      </c>
      <c r="BV61" s="120">
        <v>1</v>
      </c>
      <c r="BW61" s="118">
        <f t="shared" si="43"/>
        <v>500</v>
      </c>
      <c r="BX61" s="118">
        <f>BW61-BO61</f>
        <v>0</v>
      </c>
      <c r="BZ61" s="34"/>
      <c r="CA61" s="39">
        <v>500</v>
      </c>
      <c r="CB61" s="136">
        <v>1</v>
      </c>
      <c r="CC61" s="118">
        <f t="shared" si="44"/>
        <v>500</v>
      </c>
      <c r="CD61" s="118"/>
      <c r="CE61" s="92">
        <f t="shared" si="45"/>
        <v>0</v>
      </c>
      <c r="CF61" s="92">
        <f t="shared" si="46"/>
        <v>0</v>
      </c>
      <c r="CH61" s="34"/>
      <c r="CI61" s="39">
        <v>500</v>
      </c>
      <c r="CJ61" s="136">
        <v>1</v>
      </c>
      <c r="CK61" s="118">
        <f t="shared" si="47"/>
        <v>500</v>
      </c>
      <c r="CL61" s="118">
        <f t="shared" si="48"/>
        <v>0</v>
      </c>
      <c r="CM61" s="34"/>
      <c r="CN61" s="17"/>
      <c r="CO61" s="39">
        <v>500</v>
      </c>
      <c r="CP61" s="136">
        <v>1</v>
      </c>
      <c r="CQ61" s="118">
        <f t="shared" si="49"/>
        <v>500</v>
      </c>
      <c r="CR61" s="92">
        <f t="shared" si="50"/>
        <v>0</v>
      </c>
      <c r="CS61" s="17"/>
      <c r="CT61" s="17"/>
      <c r="CU61" s="39">
        <v>500</v>
      </c>
      <c r="CV61" s="136">
        <v>1</v>
      </c>
      <c r="CW61" s="118">
        <f t="shared" si="42"/>
        <v>500</v>
      </c>
      <c r="CX61" s="39">
        <v>500</v>
      </c>
      <c r="CY61" s="136">
        <v>1</v>
      </c>
      <c r="CZ61" s="118">
        <f t="shared" si="41"/>
        <v>500</v>
      </c>
      <c r="DA61" s="92">
        <f>CW61-CQ61</f>
        <v>0</v>
      </c>
      <c r="DB61" s="92"/>
      <c r="DC61" s="92"/>
      <c r="DD61" s="17"/>
      <c r="DE61" s="17"/>
      <c r="DF61" s="39">
        <v>500</v>
      </c>
      <c r="DG61" s="136">
        <v>1</v>
      </c>
      <c r="DH61" s="118">
        <f t="shared" si="26"/>
        <v>500</v>
      </c>
      <c r="DI61" s="168">
        <f t="shared" si="11"/>
        <v>0</v>
      </c>
      <c r="DJ61" s="168">
        <f t="shared" si="12"/>
        <v>0</v>
      </c>
      <c r="DN61" s="168">
        <f t="shared" si="27"/>
        <v>0</v>
      </c>
      <c r="DR61" s="165">
        <v>0</v>
      </c>
      <c r="DS61" s="165">
        <v>0</v>
      </c>
      <c r="DT61" s="165">
        <v>0</v>
      </c>
      <c r="DU61" s="165">
        <v>0</v>
      </c>
      <c r="DV61" s="165">
        <v>0</v>
      </c>
      <c r="DW61" s="165">
        <v>0</v>
      </c>
      <c r="DX61" s="165">
        <v>0</v>
      </c>
      <c r="DY61" s="165">
        <v>0</v>
      </c>
      <c r="DZ61" s="165">
        <v>0</v>
      </c>
    </row>
    <row r="62" spans="1:131" s="91" customFormat="1" ht="16.25" hidden="1" customHeight="1" x14ac:dyDescent="0.4">
      <c r="A62" s="32" t="s">
        <v>97</v>
      </c>
      <c r="B62" s="32" t="s">
        <v>391</v>
      </c>
      <c r="C62" s="32" t="s">
        <v>15</v>
      </c>
      <c r="D62" s="16" t="s">
        <v>392</v>
      </c>
      <c r="E62" s="87" t="s">
        <v>393</v>
      </c>
      <c r="F62" s="87" t="s">
        <v>110</v>
      </c>
      <c r="G62" s="32" t="s">
        <v>101</v>
      </c>
      <c r="H62" s="32"/>
      <c r="I62" s="51"/>
      <c r="J62" s="43"/>
      <c r="K62" s="36"/>
      <c r="L62" s="36"/>
      <c r="M62" s="36"/>
      <c r="N62" s="36"/>
      <c r="O62" s="43" t="s">
        <v>103</v>
      </c>
      <c r="P62" s="32" t="s">
        <v>111</v>
      </c>
      <c r="Q62" s="129">
        <f t="shared" ref="Q62:Q67" si="51">CZ62</f>
        <v>-0.33700000000000002</v>
      </c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32"/>
      <c r="AD62" s="37"/>
      <c r="AE62" s="37"/>
      <c r="AF62" s="37"/>
      <c r="AG62" s="37"/>
      <c r="AH62" s="158"/>
      <c r="AI62" s="160"/>
      <c r="AJ62" s="37"/>
      <c r="AK62" s="46"/>
      <c r="AL62" s="47"/>
      <c r="AM62" s="162"/>
      <c r="AN62" s="39"/>
      <c r="AO62" s="97"/>
      <c r="AP62" s="39"/>
      <c r="AQ62" s="160"/>
      <c r="AR62" s="45"/>
      <c r="AS62" s="46"/>
      <c r="AT62" s="37"/>
      <c r="AU62" s="48"/>
      <c r="AV62" s="49"/>
      <c r="AW62" s="48"/>
      <c r="AY62" s="45"/>
      <c r="AZ62" s="46"/>
      <c r="BA62" s="37"/>
      <c r="BB62" s="39"/>
      <c r="BC62" s="50"/>
      <c r="BE62" s="45"/>
      <c r="BF62" s="46"/>
      <c r="BG62" s="37"/>
      <c r="BH62" s="70"/>
      <c r="BI62" s="39"/>
      <c r="BJ62" s="39"/>
      <c r="BK62" s="50"/>
      <c r="BM62" s="45"/>
      <c r="BN62" s="46"/>
      <c r="BO62" s="37"/>
      <c r="BP62" s="37"/>
      <c r="BQ62" s="92"/>
      <c r="BR62" s="34"/>
      <c r="BS62" s="59"/>
      <c r="BU62" s="45"/>
      <c r="BV62" s="46"/>
      <c r="BW62" s="118"/>
      <c r="BX62" s="118"/>
      <c r="BY62" s="50"/>
      <c r="CA62" s="45"/>
      <c r="CB62" s="46"/>
      <c r="CC62" s="118"/>
      <c r="CD62" s="118"/>
      <c r="CE62" s="92"/>
      <c r="CF62" s="92"/>
      <c r="CG62" s="50"/>
      <c r="CI62" s="160">
        <v>0</v>
      </c>
      <c r="CJ62" s="212">
        <v>0</v>
      </c>
      <c r="CK62" s="165">
        <f t="shared" si="47"/>
        <v>0</v>
      </c>
      <c r="CL62" s="92"/>
      <c r="CM62" s="50"/>
      <c r="CN62" s="139"/>
      <c r="CO62" s="160">
        <v>-0.33700000000000002</v>
      </c>
      <c r="CP62" s="164">
        <v>1</v>
      </c>
      <c r="CQ62" s="165">
        <f t="shared" si="49"/>
        <v>-0.33700000000000002</v>
      </c>
      <c r="CR62" s="168">
        <f t="shared" si="50"/>
        <v>-0.33700000000000002</v>
      </c>
      <c r="CS62" s="139"/>
      <c r="CT62" s="139"/>
      <c r="CU62" s="160">
        <v>-0.33700000000000002</v>
      </c>
      <c r="CV62" s="164">
        <v>1</v>
      </c>
      <c r="CW62" s="165">
        <f t="shared" si="42"/>
        <v>-0.33700000000000002</v>
      </c>
      <c r="CX62" s="160">
        <v>-0.33700000000000002</v>
      </c>
      <c r="CY62" s="164">
        <v>1</v>
      </c>
      <c r="CZ62" s="165">
        <f t="shared" si="41"/>
        <v>-0.33700000000000002</v>
      </c>
      <c r="DA62" s="168">
        <f t="shared" ref="DA62:DA94" si="52">CZ62-CQ62</f>
        <v>0</v>
      </c>
      <c r="DB62" s="168">
        <f t="shared" ref="DB62:DB94" si="53">CZ62-CW62</f>
        <v>0</v>
      </c>
      <c r="DC62" s="168"/>
      <c r="DD62" s="139"/>
      <c r="DE62" s="139"/>
      <c r="DF62" s="160">
        <v>-0.33700000000000002</v>
      </c>
      <c r="DG62" s="164">
        <v>1</v>
      </c>
      <c r="DH62" s="165">
        <f t="shared" si="26"/>
        <v>-0.33700000000000002</v>
      </c>
      <c r="DI62" s="168">
        <f t="shared" si="11"/>
        <v>0</v>
      </c>
      <c r="DJ62" s="168">
        <f t="shared" si="12"/>
        <v>0</v>
      </c>
      <c r="DK62" s="168"/>
      <c r="DL62" s="168"/>
      <c r="DM62" s="168"/>
      <c r="DN62" s="168">
        <f t="shared" si="27"/>
        <v>-0.33700000000000002</v>
      </c>
      <c r="DO62" s="165">
        <v>0</v>
      </c>
      <c r="DP62" s="165">
        <v>-0.33700000000000002</v>
      </c>
      <c r="DQ62" s="165">
        <v>0</v>
      </c>
      <c r="DR62" s="165">
        <v>0</v>
      </c>
      <c r="DS62" s="165">
        <v>0</v>
      </c>
      <c r="DT62" s="165">
        <v>0</v>
      </c>
      <c r="DU62" s="165">
        <v>0</v>
      </c>
      <c r="DV62" s="165">
        <v>0</v>
      </c>
      <c r="DW62" s="165">
        <v>0</v>
      </c>
      <c r="DX62" s="165">
        <v>0</v>
      </c>
      <c r="DY62" s="165">
        <v>0</v>
      </c>
      <c r="DZ62" s="165">
        <v>0</v>
      </c>
      <c r="EA62" s="168"/>
    </row>
    <row r="63" spans="1:131" s="91" customFormat="1" ht="16.25" hidden="1" customHeight="1" x14ac:dyDescent="0.4">
      <c r="A63" s="32" t="s">
        <v>97</v>
      </c>
      <c r="B63" s="32" t="s">
        <v>391</v>
      </c>
      <c r="C63" s="32" t="s">
        <v>15</v>
      </c>
      <c r="D63" s="16" t="s">
        <v>394</v>
      </c>
      <c r="E63" s="87" t="s">
        <v>395</v>
      </c>
      <c r="F63" s="87" t="s">
        <v>110</v>
      </c>
      <c r="G63" s="32" t="s">
        <v>101</v>
      </c>
      <c r="H63" s="32" t="s">
        <v>102</v>
      </c>
      <c r="I63" s="51" t="s">
        <v>103</v>
      </c>
      <c r="J63" s="43"/>
      <c r="K63" s="36"/>
      <c r="L63" s="36"/>
      <c r="M63" s="36"/>
      <c r="N63" s="36"/>
      <c r="O63" s="43" t="s">
        <v>103</v>
      </c>
      <c r="P63" s="32" t="s">
        <v>111</v>
      </c>
      <c r="Q63" s="129">
        <f t="shared" si="51"/>
        <v>260.226</v>
      </c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32"/>
      <c r="AD63" s="37">
        <v>1530</v>
      </c>
      <c r="AE63" s="37">
        <v>1400</v>
      </c>
      <c r="AF63" s="37"/>
      <c r="AG63" s="37"/>
      <c r="AH63" s="158"/>
      <c r="AI63" s="160"/>
      <c r="AJ63" s="37">
        <v>334</v>
      </c>
      <c r="AK63" s="46">
        <v>1</v>
      </c>
      <c r="AL63" s="47">
        <f>AJ63*AK63</f>
        <v>334</v>
      </c>
      <c r="AM63" s="162"/>
      <c r="AN63" s="39">
        <v>172</v>
      </c>
      <c r="AO63" s="97" t="e">
        <f>VLOOKUP(D63,'May FF'!B33:E232,3,0)</f>
        <v>#N/A</v>
      </c>
      <c r="AP63" s="39">
        <v>172</v>
      </c>
      <c r="AQ63" s="160"/>
      <c r="AR63" s="45">
        <v>50</v>
      </c>
      <c r="AS63" s="46">
        <v>1</v>
      </c>
      <c r="AT63" s="37">
        <f>AR63*AS63</f>
        <v>50</v>
      </c>
      <c r="AU63" s="48"/>
      <c r="AV63" s="49"/>
      <c r="AW63" s="48"/>
      <c r="AY63" s="45">
        <v>150</v>
      </c>
      <c r="AZ63" s="46">
        <v>1</v>
      </c>
      <c r="BA63" s="37">
        <f>AY63*AZ63</f>
        <v>150</v>
      </c>
      <c r="BB63" s="39">
        <f>BA63-AT63</f>
        <v>100</v>
      </c>
      <c r="BC63" s="50"/>
      <c r="BE63" s="45">
        <v>264</v>
      </c>
      <c r="BF63" s="46">
        <v>1</v>
      </c>
      <c r="BG63" s="37">
        <f>BE63*BF63</f>
        <v>264</v>
      </c>
      <c r="BH63" s="70">
        <v>49.768000000000001</v>
      </c>
      <c r="BI63" s="39">
        <f>BG63-BA63</f>
        <v>114</v>
      </c>
      <c r="BJ63" s="39" t="s">
        <v>396</v>
      </c>
      <c r="BK63" s="50"/>
      <c r="BM63" s="45">
        <v>238</v>
      </c>
      <c r="BN63" s="46">
        <v>1</v>
      </c>
      <c r="BO63" s="37">
        <f>BM63*BN63</f>
        <v>238</v>
      </c>
      <c r="BP63" s="37">
        <v>238</v>
      </c>
      <c r="BQ63" s="92">
        <f>BO63-BA63</f>
        <v>88</v>
      </c>
      <c r="BR63" s="34" t="s">
        <v>106</v>
      </c>
      <c r="BS63" s="59" t="s">
        <v>397</v>
      </c>
      <c r="BU63" s="45">
        <v>238</v>
      </c>
      <c r="BV63" s="46">
        <v>1</v>
      </c>
      <c r="BW63" s="118">
        <f>BU63*BV63</f>
        <v>238</v>
      </c>
      <c r="BX63" s="118">
        <f>BW63-BO63</f>
        <v>0</v>
      </c>
      <c r="BY63" s="50"/>
      <c r="CA63" s="45">
        <v>249.93600000000001</v>
      </c>
      <c r="CB63" s="46">
        <v>1</v>
      </c>
      <c r="CC63" s="118">
        <f>CA63*CB63</f>
        <v>249.93600000000001</v>
      </c>
      <c r="CD63" s="118"/>
      <c r="CE63" s="92">
        <f>CC63-BW63</f>
        <v>11.936000000000007</v>
      </c>
      <c r="CF63" s="92">
        <f>CC63-BO63</f>
        <v>11.936000000000007</v>
      </c>
      <c r="CG63" s="50"/>
      <c r="CI63" s="160">
        <v>249.93600000000001</v>
      </c>
      <c r="CJ63" s="164">
        <v>1</v>
      </c>
      <c r="CK63" s="165">
        <f t="shared" si="47"/>
        <v>249.93600000000001</v>
      </c>
      <c r="CL63" s="92">
        <f>CK63-CC63</f>
        <v>0</v>
      </c>
      <c r="CM63" s="50"/>
      <c r="CN63" s="139"/>
      <c r="CO63" s="160">
        <v>251.423</v>
      </c>
      <c r="CP63" s="164">
        <v>1</v>
      </c>
      <c r="CQ63" s="165">
        <f t="shared" si="49"/>
        <v>251.423</v>
      </c>
      <c r="CR63" s="168">
        <f t="shared" si="50"/>
        <v>1.4869999999999948</v>
      </c>
      <c r="CS63" s="139"/>
      <c r="CT63" s="139"/>
      <c r="CU63" s="160">
        <v>251.423</v>
      </c>
      <c r="CV63" s="164">
        <v>1</v>
      </c>
      <c r="CW63" s="165">
        <f t="shared" si="42"/>
        <v>251.423</v>
      </c>
      <c r="CX63" s="160">
        <v>260.226</v>
      </c>
      <c r="CY63" s="164">
        <v>1</v>
      </c>
      <c r="CZ63" s="165">
        <f t="shared" si="41"/>
        <v>260.226</v>
      </c>
      <c r="DA63" s="168">
        <f t="shared" si="52"/>
        <v>8.8029999999999973</v>
      </c>
      <c r="DB63" s="168">
        <f t="shared" si="53"/>
        <v>8.8029999999999973</v>
      </c>
      <c r="DC63" s="168"/>
      <c r="DD63" s="139"/>
      <c r="DE63" s="139"/>
      <c r="DF63" s="160">
        <v>135</v>
      </c>
      <c r="DG63" s="164">
        <v>1</v>
      </c>
      <c r="DH63" s="165">
        <f t="shared" si="26"/>
        <v>135</v>
      </c>
      <c r="DI63" s="168">
        <f t="shared" si="11"/>
        <v>-125.226</v>
      </c>
      <c r="DJ63" s="168">
        <f t="shared" si="12"/>
        <v>-116.423</v>
      </c>
      <c r="DK63" s="168"/>
      <c r="DL63" s="168"/>
      <c r="DM63" s="168"/>
      <c r="DN63" s="168">
        <f t="shared" si="27"/>
        <v>260.226</v>
      </c>
      <c r="DO63" s="165">
        <v>6.6040000000000001</v>
      </c>
      <c r="DP63" s="165">
        <v>5.5780000000000003</v>
      </c>
      <c r="DQ63" s="165">
        <v>22.241</v>
      </c>
      <c r="DR63" s="165">
        <v>8.8000000000000007</v>
      </c>
      <c r="DS63" s="165">
        <v>217.00299999999999</v>
      </c>
      <c r="DT63" s="165">
        <v>0</v>
      </c>
      <c r="DU63" s="165">
        <v>0</v>
      </c>
      <c r="DV63" s="165">
        <v>0</v>
      </c>
      <c r="DW63" s="165">
        <v>0</v>
      </c>
      <c r="DX63" s="165">
        <v>0</v>
      </c>
      <c r="DY63" s="165">
        <v>0</v>
      </c>
      <c r="DZ63" s="165">
        <v>0</v>
      </c>
      <c r="EA63" s="168"/>
    </row>
    <row r="64" spans="1:131" s="91" customFormat="1" ht="16.25" hidden="1" customHeight="1" x14ac:dyDescent="0.4">
      <c r="A64" s="32" t="s">
        <v>97</v>
      </c>
      <c r="B64" s="32" t="s">
        <v>391</v>
      </c>
      <c r="C64" s="32" t="s">
        <v>20</v>
      </c>
      <c r="D64" s="16" t="s">
        <v>398</v>
      </c>
      <c r="E64" s="87" t="s">
        <v>399</v>
      </c>
      <c r="F64" s="87" t="s">
        <v>110</v>
      </c>
      <c r="G64" s="32" t="s">
        <v>101</v>
      </c>
      <c r="H64" s="33"/>
      <c r="I64" s="43" t="s">
        <v>103</v>
      </c>
      <c r="J64" s="32" t="s">
        <v>111</v>
      </c>
      <c r="K64" s="36"/>
      <c r="L64" s="36"/>
      <c r="M64" s="36"/>
      <c r="N64" s="36"/>
      <c r="O64" s="43" t="s">
        <v>103</v>
      </c>
      <c r="P64" s="32" t="s">
        <v>111</v>
      </c>
      <c r="Q64" s="129">
        <f t="shared" si="51"/>
        <v>-1.9E-2</v>
      </c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32"/>
      <c r="AD64" s="37"/>
      <c r="AE64" s="37"/>
      <c r="AF64" s="37"/>
      <c r="AG64" s="37"/>
      <c r="AH64" s="158"/>
      <c r="AI64" s="160"/>
      <c r="AJ64" s="37"/>
      <c r="AK64" s="46"/>
      <c r="AL64" s="47"/>
      <c r="AM64" s="162"/>
      <c r="AN64" s="39"/>
      <c r="AO64" s="97"/>
      <c r="AP64" s="39"/>
      <c r="AQ64" s="160"/>
      <c r="AR64" s="45"/>
      <c r="AS64" s="46"/>
      <c r="AT64" s="37"/>
      <c r="AU64" s="48"/>
      <c r="AV64" s="49"/>
      <c r="AW64" s="48"/>
      <c r="AY64" s="45"/>
      <c r="AZ64" s="46"/>
      <c r="BA64" s="37"/>
      <c r="BB64" s="39"/>
      <c r="BC64" s="50"/>
      <c r="BE64" s="45"/>
      <c r="BF64" s="46"/>
      <c r="BG64" s="37"/>
      <c r="BH64" s="70"/>
      <c r="BI64" s="39"/>
      <c r="BJ64" s="39"/>
      <c r="BK64" s="50"/>
      <c r="BM64" s="45"/>
      <c r="BN64" s="46"/>
      <c r="BO64" s="37"/>
      <c r="BP64" s="37"/>
      <c r="BQ64" s="92"/>
      <c r="BR64" s="34"/>
      <c r="BS64" s="59"/>
      <c r="BU64" s="45"/>
      <c r="BV64" s="46"/>
      <c r="BW64" s="118"/>
      <c r="BX64" s="118"/>
      <c r="BY64" s="50"/>
      <c r="CA64" s="45"/>
      <c r="CB64" s="46"/>
      <c r="CC64" s="118"/>
      <c r="CD64" s="118"/>
      <c r="CE64" s="92"/>
      <c r="CF64" s="92"/>
      <c r="CG64" s="50"/>
      <c r="CI64" s="160">
        <v>0</v>
      </c>
      <c r="CJ64" s="212">
        <v>0</v>
      </c>
      <c r="CK64" s="165">
        <f t="shared" si="47"/>
        <v>0</v>
      </c>
      <c r="CL64" s="92"/>
      <c r="CM64" s="50"/>
      <c r="CN64" s="139"/>
      <c r="CO64" s="160">
        <v>-1.9E-2</v>
      </c>
      <c r="CP64" s="164">
        <v>1</v>
      </c>
      <c r="CQ64" s="165">
        <f t="shared" si="49"/>
        <v>-1.9E-2</v>
      </c>
      <c r="CR64" s="168">
        <f t="shared" si="50"/>
        <v>-1.9E-2</v>
      </c>
      <c r="CS64" s="139"/>
      <c r="CT64" s="139"/>
      <c r="CU64" s="160">
        <v>-1.9E-2</v>
      </c>
      <c r="CV64" s="164">
        <v>1</v>
      </c>
      <c r="CW64" s="165">
        <f t="shared" si="42"/>
        <v>-1.9E-2</v>
      </c>
      <c r="CX64" s="160">
        <v>-1.9E-2</v>
      </c>
      <c r="CY64" s="164">
        <v>1</v>
      </c>
      <c r="CZ64" s="165">
        <f t="shared" si="41"/>
        <v>-1.9E-2</v>
      </c>
      <c r="DA64" s="168">
        <f t="shared" si="52"/>
        <v>0</v>
      </c>
      <c r="DB64" s="168">
        <f t="shared" si="53"/>
        <v>0</v>
      </c>
      <c r="DC64" s="168"/>
      <c r="DD64" s="139"/>
      <c r="DE64" s="139"/>
      <c r="DF64" s="160">
        <v>-1.9E-2</v>
      </c>
      <c r="DG64" s="164">
        <v>1</v>
      </c>
      <c r="DH64" s="165">
        <f t="shared" si="26"/>
        <v>-1.9E-2</v>
      </c>
      <c r="DI64" s="168">
        <f t="shared" si="11"/>
        <v>0</v>
      </c>
      <c r="DJ64" s="168">
        <f t="shared" si="12"/>
        <v>0</v>
      </c>
      <c r="DK64" s="168"/>
      <c r="DL64" s="168"/>
      <c r="DM64" s="168"/>
      <c r="DN64" s="168">
        <f t="shared" si="27"/>
        <v>-1.9E-2</v>
      </c>
      <c r="DO64" s="165">
        <v>0</v>
      </c>
      <c r="DP64" s="165">
        <v>-1.9E-2</v>
      </c>
      <c r="DQ64" s="165">
        <v>0</v>
      </c>
      <c r="DR64" s="165">
        <v>0</v>
      </c>
      <c r="DS64" s="165">
        <v>0</v>
      </c>
      <c r="DT64" s="165">
        <v>0</v>
      </c>
      <c r="DU64" s="165">
        <v>0</v>
      </c>
      <c r="DV64" s="165">
        <v>0</v>
      </c>
      <c r="DW64" s="165">
        <v>0</v>
      </c>
      <c r="DX64" s="165">
        <v>0</v>
      </c>
      <c r="DY64" s="165">
        <v>0</v>
      </c>
      <c r="DZ64" s="165">
        <v>0</v>
      </c>
      <c r="EA64" s="168"/>
    </row>
    <row r="65" spans="1:131" s="91" customFormat="1" ht="16.25" hidden="1" customHeight="1" x14ac:dyDescent="0.4">
      <c r="A65" s="32" t="s">
        <v>97</v>
      </c>
      <c r="B65" s="32" t="s">
        <v>391</v>
      </c>
      <c r="C65" s="32" t="s">
        <v>20</v>
      </c>
      <c r="D65" s="16" t="s">
        <v>400</v>
      </c>
      <c r="E65" s="87" t="s">
        <v>401</v>
      </c>
      <c r="F65" s="87" t="s">
        <v>114</v>
      </c>
      <c r="G65" s="32" t="s">
        <v>101</v>
      </c>
      <c r="H65" s="32" t="s">
        <v>102</v>
      </c>
      <c r="I65" s="16" t="s">
        <v>103</v>
      </c>
      <c r="J65" s="38"/>
      <c r="K65" s="36"/>
      <c r="L65" s="36"/>
      <c r="M65" s="36"/>
      <c r="N65" s="36"/>
      <c r="O65" s="33" t="s">
        <v>103</v>
      </c>
      <c r="P65" s="32" t="s">
        <v>111</v>
      </c>
      <c r="Q65" s="129">
        <f t="shared" si="51"/>
        <v>146.70000000000002</v>
      </c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32"/>
      <c r="AD65" s="37">
        <v>560</v>
      </c>
      <c r="AE65" s="37">
        <v>480</v>
      </c>
      <c r="AF65" s="39"/>
      <c r="AG65" s="39"/>
      <c r="AH65" s="87"/>
      <c r="AI65" s="161"/>
      <c r="AJ65" s="45">
        <v>348.78199999999998</v>
      </c>
      <c r="AK65" s="46">
        <v>1</v>
      </c>
      <c r="AL65" s="47">
        <f t="shared" ref="AL65:AL71" si="54">AJ65*AK65</f>
        <v>348.78199999999998</v>
      </c>
      <c r="AM65" s="162"/>
      <c r="AN65" s="39" t="e">
        <f>VLOOKUP(D65,'May FF'!B$2:E$201,2,0)</f>
        <v>#N/A</v>
      </c>
      <c r="AO65" s="97" t="e">
        <f>VLOOKUP(D65,'May FF'!B34:E233,3,0)</f>
        <v>#N/A</v>
      </c>
      <c r="AP65" s="39" t="e">
        <f>VLOOKUP($D65,'May FF'!$B$2:$E$201,4,0)</f>
        <v>#N/A</v>
      </c>
      <c r="AQ65" s="159"/>
      <c r="AR65" s="45">
        <v>89</v>
      </c>
      <c r="AS65" s="46">
        <v>0.9</v>
      </c>
      <c r="AT65" s="37">
        <f t="shared" ref="AT65:AT71" si="55">AR65*AS65</f>
        <v>80.100000000000009</v>
      </c>
      <c r="AU65" s="48"/>
      <c r="AV65" s="49"/>
      <c r="AW65" s="48"/>
      <c r="AY65" s="45">
        <f>89+113</f>
        <v>202</v>
      </c>
      <c r="AZ65" s="46">
        <v>0.9</v>
      </c>
      <c r="BA65" s="37">
        <f t="shared" ref="BA65:BA71" si="56">AY65*AZ65</f>
        <v>181.8</v>
      </c>
      <c r="BB65" s="39">
        <f t="shared" ref="BB65:BB71" si="57">BA65-AT65</f>
        <v>101.7</v>
      </c>
      <c r="BC65" s="50"/>
      <c r="BE65" s="45">
        <f>560-AJ65</f>
        <v>211.21800000000002</v>
      </c>
      <c r="BF65" s="46">
        <v>0.9</v>
      </c>
      <c r="BG65" s="37">
        <f t="shared" ref="BG65:BG71" si="58">BE65*BF65</f>
        <v>190.09620000000001</v>
      </c>
      <c r="BH65" s="70">
        <v>80</v>
      </c>
      <c r="BI65" s="39">
        <f t="shared" ref="BI65:BI71" si="59">BG65-BA65</f>
        <v>8.2961999999999989</v>
      </c>
      <c r="BJ65" s="39" t="s">
        <v>396</v>
      </c>
      <c r="BK65" s="50" t="s">
        <v>402</v>
      </c>
      <c r="BM65" s="45">
        <v>129</v>
      </c>
      <c r="BN65" s="46">
        <v>1</v>
      </c>
      <c r="BO65" s="37">
        <f t="shared" ref="BO65:BO71" si="60">BM65*BN65</f>
        <v>129</v>
      </c>
      <c r="BP65" s="37">
        <v>129</v>
      </c>
      <c r="BQ65" s="92">
        <f t="shared" ref="BQ65:BQ71" si="61">BO65-BA65</f>
        <v>-52.800000000000011</v>
      </c>
      <c r="BR65" s="34" t="s">
        <v>106</v>
      </c>
      <c r="BS65" s="59"/>
      <c r="BU65" s="45">
        <v>162.19999999999999</v>
      </c>
      <c r="BV65" s="46">
        <v>0.9</v>
      </c>
      <c r="BW65" s="118">
        <f t="shared" ref="BW65:BW71" si="62">BU65*BV65</f>
        <v>145.97999999999999</v>
      </c>
      <c r="BX65" s="118">
        <f t="shared" ref="BX65:BX71" si="63">BW65-BO65</f>
        <v>16.97999999999999</v>
      </c>
      <c r="BY65" s="50"/>
      <c r="CA65" s="45">
        <v>162.19999999999999</v>
      </c>
      <c r="CB65" s="46">
        <v>0.9</v>
      </c>
      <c r="CC65" s="118">
        <f t="shared" ref="CC65:CC71" si="64">CA65*CB65</f>
        <v>145.97999999999999</v>
      </c>
      <c r="CD65" s="118"/>
      <c r="CE65" s="92">
        <f t="shared" ref="CE65:CE71" si="65">CC65-BW65</f>
        <v>0</v>
      </c>
      <c r="CF65" s="92">
        <f t="shared" ref="CF65:CF71" si="66">CC65-BO65</f>
        <v>16.97999999999999</v>
      </c>
      <c r="CG65" s="50"/>
      <c r="CI65" s="160">
        <v>162.19999999999999</v>
      </c>
      <c r="CJ65" s="164">
        <v>0.9</v>
      </c>
      <c r="CK65" s="165">
        <f t="shared" si="47"/>
        <v>145.97999999999999</v>
      </c>
      <c r="CL65" s="92">
        <f t="shared" ref="CL65:CL71" si="67">CK65-CC65</f>
        <v>0</v>
      </c>
      <c r="CM65" s="50"/>
      <c r="CN65" s="139"/>
      <c r="CO65" s="160">
        <v>163</v>
      </c>
      <c r="CP65" s="164">
        <v>0.9</v>
      </c>
      <c r="CQ65" s="165">
        <f t="shared" si="49"/>
        <v>146.70000000000002</v>
      </c>
      <c r="CR65" s="168">
        <f t="shared" si="50"/>
        <v>0.72000000000002728</v>
      </c>
      <c r="CS65" s="139"/>
      <c r="CT65" s="139"/>
      <c r="CU65" s="160">
        <v>163</v>
      </c>
      <c r="CV65" s="164">
        <v>0.9</v>
      </c>
      <c r="CW65" s="165">
        <f t="shared" si="42"/>
        <v>146.70000000000002</v>
      </c>
      <c r="CX65" s="160">
        <v>163</v>
      </c>
      <c r="CY65" s="164">
        <v>0.9</v>
      </c>
      <c r="CZ65" s="165">
        <f t="shared" si="41"/>
        <v>146.70000000000002</v>
      </c>
      <c r="DA65" s="168">
        <f t="shared" si="52"/>
        <v>0</v>
      </c>
      <c r="DB65" s="168">
        <f t="shared" si="53"/>
        <v>0</v>
      </c>
      <c r="DC65" s="168"/>
      <c r="DD65" s="139"/>
      <c r="DE65" s="139"/>
      <c r="DF65" s="160">
        <v>163</v>
      </c>
      <c r="DG65" s="164">
        <v>0.9</v>
      </c>
      <c r="DH65" s="165">
        <f t="shared" si="26"/>
        <v>146.70000000000002</v>
      </c>
      <c r="DI65" s="168">
        <f t="shared" si="11"/>
        <v>0</v>
      </c>
      <c r="DJ65" s="168">
        <f t="shared" si="12"/>
        <v>0</v>
      </c>
      <c r="DK65" s="168"/>
      <c r="DL65" s="168"/>
      <c r="DM65" s="168"/>
      <c r="DN65" s="168">
        <f t="shared" si="27"/>
        <v>147.012</v>
      </c>
      <c r="DO65" s="165">
        <v>26.600999999999999</v>
      </c>
      <c r="DP65" s="165">
        <v>1.5389999999999999</v>
      </c>
      <c r="DQ65" s="165">
        <v>-26.234000000000002</v>
      </c>
      <c r="DR65" s="165">
        <v>29.106000000000002</v>
      </c>
      <c r="DS65" s="165">
        <v>0</v>
      </c>
      <c r="DT65" s="165">
        <v>35</v>
      </c>
      <c r="DU65" s="165">
        <v>19</v>
      </c>
      <c r="DV65" s="165">
        <v>37</v>
      </c>
      <c r="DW65" s="165">
        <v>0</v>
      </c>
      <c r="DX65" s="165">
        <v>25</v>
      </c>
      <c r="DY65" s="165">
        <v>0</v>
      </c>
      <c r="DZ65" s="165">
        <v>0</v>
      </c>
      <c r="EA65" s="168"/>
    </row>
    <row r="66" spans="1:131" s="91" customFormat="1" ht="16.25" hidden="1" customHeight="1" x14ac:dyDescent="0.4">
      <c r="A66" s="32" t="s">
        <v>97</v>
      </c>
      <c r="B66" s="32" t="s">
        <v>391</v>
      </c>
      <c r="C66" s="32" t="s">
        <v>20</v>
      </c>
      <c r="D66" s="16" t="s">
        <v>403</v>
      </c>
      <c r="E66" s="87" t="s">
        <v>404</v>
      </c>
      <c r="F66" s="87" t="s">
        <v>110</v>
      </c>
      <c r="G66" s="32" t="s">
        <v>101</v>
      </c>
      <c r="H66" s="32" t="s">
        <v>102</v>
      </c>
      <c r="I66" s="51" t="s">
        <v>103</v>
      </c>
      <c r="J66" s="35" t="s">
        <v>405</v>
      </c>
      <c r="K66" s="36"/>
      <c r="L66" s="36"/>
      <c r="M66" s="36"/>
      <c r="N66" s="36" t="s">
        <v>389</v>
      </c>
      <c r="O66" s="43" t="s">
        <v>103</v>
      </c>
      <c r="P66" s="32" t="s">
        <v>111</v>
      </c>
      <c r="Q66" s="129">
        <f t="shared" si="51"/>
        <v>435.73700000000002</v>
      </c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32"/>
      <c r="AD66" s="37">
        <v>890</v>
      </c>
      <c r="AE66" s="37">
        <v>830</v>
      </c>
      <c r="AF66" s="39"/>
      <c r="AG66" s="39"/>
      <c r="AH66" s="87"/>
      <c r="AI66" s="161"/>
      <c r="AJ66" s="37">
        <v>374</v>
      </c>
      <c r="AK66" s="46">
        <v>1</v>
      </c>
      <c r="AL66" s="47">
        <f t="shared" si="54"/>
        <v>374</v>
      </c>
      <c r="AM66" s="162"/>
      <c r="AN66" s="39" t="e">
        <f>VLOOKUP(D66,'May FF'!B$2:E$201,2,0)</f>
        <v>#N/A</v>
      </c>
      <c r="AO66" s="97" t="e">
        <f>VLOOKUP(D66,'May FF'!B35:E234,3,0)</f>
        <v>#N/A</v>
      </c>
      <c r="AP66" s="39" t="e">
        <f>VLOOKUP($D66,'May FF'!$B$2:$E$201,4,0)</f>
        <v>#N/A</v>
      </c>
      <c r="AQ66" s="159"/>
      <c r="AR66" s="45">
        <v>350</v>
      </c>
      <c r="AS66" s="46">
        <v>0.9</v>
      </c>
      <c r="AT66" s="37">
        <f t="shared" si="55"/>
        <v>315</v>
      </c>
      <c r="AU66" s="48"/>
      <c r="AV66" s="49">
        <f>AU66*AS66</f>
        <v>0</v>
      </c>
      <c r="AW66" s="48"/>
      <c r="AY66" s="45">
        <f>350+44</f>
        <v>394</v>
      </c>
      <c r="AZ66" s="46">
        <v>0.9</v>
      </c>
      <c r="BA66" s="37">
        <f t="shared" si="56"/>
        <v>354.6</v>
      </c>
      <c r="BB66" s="39">
        <f t="shared" si="57"/>
        <v>39.600000000000023</v>
      </c>
      <c r="BC66" s="50"/>
      <c r="BE66" s="45">
        <f>890-AJ66</f>
        <v>516</v>
      </c>
      <c r="BF66" s="46">
        <v>0.9</v>
      </c>
      <c r="BG66" s="37">
        <f t="shared" si="58"/>
        <v>464.40000000000003</v>
      </c>
      <c r="BH66" s="70">
        <v>315</v>
      </c>
      <c r="BI66" s="39">
        <f t="shared" si="59"/>
        <v>109.80000000000001</v>
      </c>
      <c r="BJ66" s="39" t="s">
        <v>396</v>
      </c>
      <c r="BK66" s="50"/>
      <c r="BM66" s="45">
        <f>890-375</f>
        <v>515</v>
      </c>
      <c r="BN66" s="46">
        <v>0.9</v>
      </c>
      <c r="BO66" s="37">
        <f t="shared" si="60"/>
        <v>463.5</v>
      </c>
      <c r="BP66" s="37">
        <v>463</v>
      </c>
      <c r="BQ66" s="92">
        <f t="shared" si="61"/>
        <v>108.89999999999998</v>
      </c>
      <c r="BR66" s="34" t="s">
        <v>106</v>
      </c>
      <c r="BS66" s="59" t="s">
        <v>397</v>
      </c>
      <c r="BU66" s="45">
        <v>504.774</v>
      </c>
      <c r="BV66" s="46">
        <v>0.9</v>
      </c>
      <c r="BW66" s="118">
        <f t="shared" si="62"/>
        <v>454.29660000000001</v>
      </c>
      <c r="BX66" s="118">
        <f t="shared" si="63"/>
        <v>-9.2033999999999878</v>
      </c>
      <c r="BY66" s="50"/>
      <c r="CA66" s="45">
        <v>504.774</v>
      </c>
      <c r="CB66" s="46">
        <v>0.9</v>
      </c>
      <c r="CC66" s="118">
        <f t="shared" si="64"/>
        <v>454.29660000000001</v>
      </c>
      <c r="CD66" s="118"/>
      <c r="CE66" s="92">
        <f t="shared" si="65"/>
        <v>0</v>
      </c>
      <c r="CF66" s="92">
        <f t="shared" si="66"/>
        <v>-9.2033999999999878</v>
      </c>
      <c r="CG66" s="50"/>
      <c r="CI66" s="160">
        <v>504.774</v>
      </c>
      <c r="CJ66" s="164">
        <v>0.9</v>
      </c>
      <c r="CK66" s="165">
        <f t="shared" si="47"/>
        <v>454.29660000000001</v>
      </c>
      <c r="CL66" s="92">
        <f t="shared" si="67"/>
        <v>0</v>
      </c>
      <c r="CM66" s="50"/>
      <c r="CN66" s="139"/>
      <c r="CO66" s="160">
        <v>435.73700000000002</v>
      </c>
      <c r="CP66" s="164">
        <v>1</v>
      </c>
      <c r="CQ66" s="165">
        <f t="shared" si="49"/>
        <v>435.73700000000002</v>
      </c>
      <c r="CR66" s="168">
        <f t="shared" si="50"/>
        <v>-18.559599999999989</v>
      </c>
      <c r="CS66" s="139"/>
      <c r="CT66" s="139"/>
      <c r="CU66" s="160">
        <v>435.73700000000002</v>
      </c>
      <c r="CV66" s="164">
        <v>1</v>
      </c>
      <c r="CW66" s="165">
        <f t="shared" si="42"/>
        <v>435.73700000000002</v>
      </c>
      <c r="CX66" s="160">
        <v>435.73700000000002</v>
      </c>
      <c r="CY66" s="164">
        <v>1</v>
      </c>
      <c r="CZ66" s="165">
        <f t="shared" si="41"/>
        <v>435.73700000000002</v>
      </c>
      <c r="DA66" s="168">
        <f t="shared" si="52"/>
        <v>0</v>
      </c>
      <c r="DB66" s="168">
        <f t="shared" si="53"/>
        <v>0</v>
      </c>
      <c r="DC66" s="168"/>
      <c r="DD66" s="139"/>
      <c r="DE66" s="139"/>
      <c r="DF66" s="160">
        <v>467</v>
      </c>
      <c r="DG66" s="164">
        <v>1</v>
      </c>
      <c r="DH66" s="165">
        <f t="shared" si="26"/>
        <v>467</v>
      </c>
      <c r="DI66" s="168">
        <f t="shared" si="11"/>
        <v>31.262999999999977</v>
      </c>
      <c r="DJ66" s="168">
        <f t="shared" si="12"/>
        <v>31.262999999999977</v>
      </c>
      <c r="DK66" s="168"/>
      <c r="DL66" s="168"/>
      <c r="DM66" s="168"/>
      <c r="DN66" s="168">
        <f t="shared" si="27"/>
        <v>277.09299999999996</v>
      </c>
      <c r="DO66" s="165">
        <v>3.8450000000000002</v>
      </c>
      <c r="DP66" s="165">
        <v>80.988</v>
      </c>
      <c r="DQ66" s="165">
        <v>23.904</v>
      </c>
      <c r="DR66" s="165">
        <v>-54.643999999999998</v>
      </c>
      <c r="DS66" s="165">
        <v>0</v>
      </c>
      <c r="DT66" s="165">
        <v>112</v>
      </c>
      <c r="DU66" s="165">
        <v>30</v>
      </c>
      <c r="DV66" s="165">
        <v>40</v>
      </c>
      <c r="DW66" s="165">
        <v>41</v>
      </c>
      <c r="DX66" s="165">
        <v>0</v>
      </c>
      <c r="DY66" s="165">
        <v>0</v>
      </c>
      <c r="DZ66" s="165">
        <v>0</v>
      </c>
      <c r="EA66" s="168"/>
    </row>
    <row r="67" spans="1:131" ht="16.25" hidden="1" customHeight="1" x14ac:dyDescent="0.4">
      <c r="A67" s="32" t="s">
        <v>97</v>
      </c>
      <c r="B67" s="32" t="s">
        <v>391</v>
      </c>
      <c r="C67" s="32" t="s">
        <v>15</v>
      </c>
      <c r="D67" s="16" t="s">
        <v>406</v>
      </c>
      <c r="E67" s="87" t="s">
        <v>1013</v>
      </c>
      <c r="F67" s="87" t="s">
        <v>114</v>
      </c>
      <c r="G67" s="32" t="s">
        <v>101</v>
      </c>
      <c r="H67" s="32" t="s">
        <v>102</v>
      </c>
      <c r="I67" s="51" t="s">
        <v>103</v>
      </c>
      <c r="J67" s="38"/>
      <c r="K67" s="36"/>
      <c r="L67" s="36"/>
      <c r="M67" s="36"/>
      <c r="N67" s="36"/>
      <c r="O67" s="38"/>
      <c r="P67" s="32" t="s">
        <v>111</v>
      </c>
      <c r="Q67" s="129">
        <f t="shared" si="51"/>
        <v>508.053</v>
      </c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32"/>
      <c r="AD67" s="37">
        <v>730</v>
      </c>
      <c r="AE67" s="37">
        <v>680</v>
      </c>
      <c r="AF67" s="39"/>
      <c r="AG67" s="39"/>
      <c r="AH67" s="87"/>
      <c r="AI67" s="159"/>
      <c r="AJ67" s="37">
        <v>194</v>
      </c>
      <c r="AK67" s="46">
        <v>1</v>
      </c>
      <c r="AL67" s="47">
        <f t="shared" si="54"/>
        <v>194</v>
      </c>
      <c r="AM67" s="162"/>
      <c r="AN67" s="39" t="e">
        <f>VLOOKUP(D67,'May FF'!B$2:E$201,2,0)</f>
        <v>#N/A</v>
      </c>
      <c r="AO67" s="97" t="e">
        <f>VLOOKUP(D67,'May FF'!B37:E236,3,0)</f>
        <v>#N/A</v>
      </c>
      <c r="AP67" s="39" t="e">
        <f>VLOOKUP($D67,'May FF'!$B$2:$E$201,4,0)</f>
        <v>#N/A</v>
      </c>
      <c r="AQ67" s="159"/>
      <c r="AR67" s="45">
        <f>AE67-AJ67</f>
        <v>486</v>
      </c>
      <c r="AS67" s="52">
        <v>0.9</v>
      </c>
      <c r="AT67" s="45">
        <f t="shared" si="55"/>
        <v>437.40000000000003</v>
      </c>
      <c r="AU67" s="48"/>
      <c r="AV67" s="49"/>
      <c r="AW67" s="48"/>
      <c r="AX67" s="91"/>
      <c r="AY67" s="45">
        <v>266</v>
      </c>
      <c r="AZ67" s="52">
        <v>0.9</v>
      </c>
      <c r="BA67" s="45">
        <f t="shared" si="56"/>
        <v>239.4</v>
      </c>
      <c r="BB67" s="39">
        <f t="shared" si="57"/>
        <v>-198.00000000000003</v>
      </c>
      <c r="BC67" s="50"/>
      <c r="BD67" s="91"/>
      <c r="BE67" s="45">
        <v>492</v>
      </c>
      <c r="BF67" s="52">
        <v>0.9</v>
      </c>
      <c r="BG67" s="45">
        <f t="shared" si="58"/>
        <v>442.8</v>
      </c>
      <c r="BH67" s="76">
        <v>150.30000000000001</v>
      </c>
      <c r="BI67" s="39">
        <f t="shared" si="59"/>
        <v>203.4</v>
      </c>
      <c r="BJ67" s="39" t="s">
        <v>396</v>
      </c>
      <c r="BK67" s="50" t="s">
        <v>407</v>
      </c>
      <c r="BL67" s="91"/>
      <c r="BM67" s="45">
        <f>730-172</f>
        <v>558</v>
      </c>
      <c r="BN67" s="52">
        <v>0.9</v>
      </c>
      <c r="BO67" s="45">
        <f t="shared" si="60"/>
        <v>502.2</v>
      </c>
      <c r="BP67" s="45">
        <v>510</v>
      </c>
      <c r="BQ67" s="92">
        <f t="shared" si="61"/>
        <v>262.79999999999995</v>
      </c>
      <c r="BR67" s="34" t="s">
        <v>106</v>
      </c>
      <c r="BS67" s="59" t="s">
        <v>397</v>
      </c>
      <c r="BT67" s="91"/>
      <c r="BU67" s="45">
        <v>566.11099999999999</v>
      </c>
      <c r="BV67" s="52">
        <v>0.9</v>
      </c>
      <c r="BW67" s="118">
        <f t="shared" si="62"/>
        <v>509.49990000000003</v>
      </c>
      <c r="BX67" s="118">
        <f t="shared" si="63"/>
        <v>7.2999000000000365</v>
      </c>
      <c r="BY67" s="50"/>
      <c r="BZ67" s="91"/>
      <c r="CA67" s="45">
        <v>566.11099999999999</v>
      </c>
      <c r="CB67" s="52">
        <v>0.9</v>
      </c>
      <c r="CC67" s="118">
        <f t="shared" si="64"/>
        <v>509.49990000000003</v>
      </c>
      <c r="CD67" s="118"/>
      <c r="CE67" s="92">
        <f t="shared" si="65"/>
        <v>0</v>
      </c>
      <c r="CF67" s="92">
        <f t="shared" si="66"/>
        <v>7.2999000000000365</v>
      </c>
      <c r="CG67" s="50"/>
      <c r="CH67" s="91"/>
      <c r="CI67" s="160">
        <v>566.11099999999999</v>
      </c>
      <c r="CJ67" s="167">
        <v>0.9</v>
      </c>
      <c r="CK67" s="165">
        <f t="shared" si="47"/>
        <v>509.49990000000003</v>
      </c>
      <c r="CL67" s="92">
        <f t="shared" si="67"/>
        <v>0</v>
      </c>
      <c r="CM67" s="50"/>
      <c r="CO67" s="160">
        <v>507.89100000000002</v>
      </c>
      <c r="CP67" s="164">
        <v>1</v>
      </c>
      <c r="CQ67" s="165">
        <f t="shared" si="49"/>
        <v>507.89100000000002</v>
      </c>
      <c r="CR67" s="168">
        <f t="shared" si="50"/>
        <v>-1.6089000000000055</v>
      </c>
      <c r="CU67" s="160">
        <v>507.89100000000002</v>
      </c>
      <c r="CV67" s="164">
        <v>1</v>
      </c>
      <c r="CW67" s="165">
        <f t="shared" si="42"/>
        <v>507.89100000000002</v>
      </c>
      <c r="CX67" s="160">
        <v>508.053</v>
      </c>
      <c r="CY67" s="164">
        <v>1</v>
      </c>
      <c r="CZ67" s="165">
        <f t="shared" si="41"/>
        <v>508.053</v>
      </c>
      <c r="DA67" s="168">
        <f t="shared" si="52"/>
        <v>0.16199999999997772</v>
      </c>
      <c r="DB67" s="168">
        <f t="shared" si="53"/>
        <v>0.16199999999997772</v>
      </c>
      <c r="DC67" s="168"/>
      <c r="DF67" s="160">
        <v>508.053</v>
      </c>
      <c r="DG67" s="164">
        <v>1</v>
      </c>
      <c r="DH67" s="165">
        <f t="shared" ref="DH67:DH98" si="68">DF67*DG67</f>
        <v>508.053</v>
      </c>
      <c r="DI67" s="168">
        <f t="shared" ref="DI67:DI130" si="69">DH67-CZ67</f>
        <v>0</v>
      </c>
      <c r="DJ67" s="168">
        <f t="shared" ref="DJ67:DJ130" si="70">DH67-CW67</f>
        <v>0.16199999999997772</v>
      </c>
      <c r="DK67" s="168"/>
      <c r="DL67" s="168"/>
      <c r="DM67" s="168"/>
      <c r="DN67" s="168">
        <f t="shared" ref="DN67:DN98" si="71">SUM(DO67:DZ67)</f>
        <v>508.053</v>
      </c>
      <c r="DO67" s="165">
        <v>0</v>
      </c>
      <c r="DP67" s="165">
        <v>53.314</v>
      </c>
      <c r="DQ67" s="165">
        <v>11.577</v>
      </c>
      <c r="DR67" s="165">
        <v>217.16200000000001</v>
      </c>
      <c r="DS67" s="165">
        <v>0</v>
      </c>
      <c r="DT67" s="165">
        <v>38</v>
      </c>
      <c r="DU67" s="165">
        <v>188</v>
      </c>
      <c r="DV67" s="165">
        <v>0</v>
      </c>
      <c r="DW67" s="165">
        <v>0</v>
      </c>
      <c r="DX67" s="165">
        <v>0</v>
      </c>
      <c r="DY67" s="165">
        <v>0</v>
      </c>
      <c r="DZ67" s="165">
        <v>0</v>
      </c>
      <c r="EA67" s="168"/>
    </row>
    <row r="68" spans="1:131" ht="16.25" hidden="1" customHeight="1" x14ac:dyDescent="0.4">
      <c r="A68" s="32" t="s">
        <v>97</v>
      </c>
      <c r="B68" s="32" t="s">
        <v>391</v>
      </c>
      <c r="C68" s="32" t="s">
        <v>15</v>
      </c>
      <c r="D68" s="16" t="s">
        <v>408</v>
      </c>
      <c r="E68" s="87" t="s">
        <v>409</v>
      </c>
      <c r="F68" s="87" t="s">
        <v>114</v>
      </c>
      <c r="G68" s="32" t="s">
        <v>101</v>
      </c>
      <c r="H68" s="32" t="s">
        <v>138</v>
      </c>
      <c r="I68" s="16" t="s">
        <v>410</v>
      </c>
      <c r="J68" s="38" t="s">
        <v>411</v>
      </c>
      <c r="K68" s="36"/>
      <c r="L68" s="36"/>
      <c r="M68" s="36" t="s">
        <v>450</v>
      </c>
      <c r="N68" s="50"/>
      <c r="O68" s="33" t="s">
        <v>412</v>
      </c>
      <c r="P68" s="32" t="s">
        <v>111</v>
      </c>
      <c r="Q68" s="129">
        <f>600-166</f>
        <v>434</v>
      </c>
      <c r="R68" s="129">
        <f>CZ68-Q68</f>
        <v>1471.8530000000001</v>
      </c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32"/>
      <c r="AD68" s="37">
        <v>2250</v>
      </c>
      <c r="AE68" s="37">
        <v>2070</v>
      </c>
      <c r="AF68" s="39"/>
      <c r="AG68" s="39"/>
      <c r="AH68" s="158"/>
      <c r="AI68" s="161"/>
      <c r="AJ68" s="37">
        <v>178</v>
      </c>
      <c r="AK68" s="46">
        <v>1</v>
      </c>
      <c r="AL68" s="47">
        <f t="shared" si="54"/>
        <v>178</v>
      </c>
      <c r="AM68" s="162"/>
      <c r="AN68" s="39" t="e">
        <f>VLOOKUP(D68,'May FF'!B$2:E$201,2,0)</f>
        <v>#N/A</v>
      </c>
      <c r="AO68" s="97" t="e">
        <f>VLOOKUP(D68,'May FF'!B38:E237,3,0)</f>
        <v>#N/A</v>
      </c>
      <c r="AP68" s="39" t="e">
        <f>VLOOKUP($D68,'May FF'!$B$2:$E$201,4,0)</f>
        <v>#N/A</v>
      </c>
      <c r="AQ68" s="159"/>
      <c r="AR68" s="45">
        <v>1800</v>
      </c>
      <c r="AS68" s="52">
        <v>0.9</v>
      </c>
      <c r="AT68" s="45">
        <f t="shared" si="55"/>
        <v>1620</v>
      </c>
      <c r="AU68" s="48"/>
      <c r="AV68" s="49">
        <f>AU68*AS68</f>
        <v>0</v>
      </c>
      <c r="AW68" s="48" t="s">
        <v>413</v>
      </c>
      <c r="AX68" s="91"/>
      <c r="AY68" s="45">
        <v>1910</v>
      </c>
      <c r="AZ68" s="52">
        <v>0.9</v>
      </c>
      <c r="BA68" s="45">
        <f t="shared" si="56"/>
        <v>1719</v>
      </c>
      <c r="BB68" s="39">
        <f t="shared" si="57"/>
        <v>99</v>
      </c>
      <c r="BC68" s="67" t="s">
        <v>414</v>
      </c>
      <c r="BE68" s="45">
        <v>2000</v>
      </c>
      <c r="BF68" s="52">
        <v>0.9</v>
      </c>
      <c r="BG68" s="45">
        <f t="shared" si="58"/>
        <v>1800</v>
      </c>
      <c r="BH68" s="45"/>
      <c r="BI68" s="39">
        <f t="shared" si="59"/>
        <v>81</v>
      </c>
      <c r="BJ68" s="39" t="s">
        <v>396</v>
      </c>
      <c r="BK68" s="67" t="s">
        <v>414</v>
      </c>
      <c r="BL68" s="91"/>
      <c r="BM68" s="45">
        <f>2200-93</f>
        <v>2107</v>
      </c>
      <c r="BN68" s="52">
        <v>0.9</v>
      </c>
      <c r="BO68" s="45">
        <f t="shared" si="60"/>
        <v>1896.3</v>
      </c>
      <c r="BP68" s="45">
        <v>1896</v>
      </c>
      <c r="BQ68" s="92">
        <f t="shared" si="61"/>
        <v>177.29999999999995</v>
      </c>
      <c r="BR68" s="34" t="s">
        <v>153</v>
      </c>
      <c r="BS68" s="50" t="s">
        <v>415</v>
      </c>
      <c r="BT68" s="91"/>
      <c r="BU68" s="45">
        <f>2200-93</f>
        <v>2107</v>
      </c>
      <c r="BV68" s="52">
        <v>0.9</v>
      </c>
      <c r="BW68" s="118">
        <f t="shared" si="62"/>
        <v>1896.3</v>
      </c>
      <c r="BX68" s="118">
        <f t="shared" si="63"/>
        <v>0</v>
      </c>
      <c r="BY68" s="50"/>
      <c r="CA68" s="45">
        <f>2200-93</f>
        <v>2107</v>
      </c>
      <c r="CB68" s="52">
        <v>0.9</v>
      </c>
      <c r="CC68" s="118">
        <f t="shared" si="64"/>
        <v>1896.3</v>
      </c>
      <c r="CD68" s="118"/>
      <c r="CE68" s="92">
        <f t="shared" si="65"/>
        <v>0</v>
      </c>
      <c r="CF68" s="92">
        <f t="shared" si="66"/>
        <v>0</v>
      </c>
      <c r="CG68" s="67"/>
      <c r="CH68" s="91"/>
      <c r="CI68" s="160">
        <f>2117</f>
        <v>2117</v>
      </c>
      <c r="CJ68" s="167">
        <v>0.9</v>
      </c>
      <c r="CK68" s="165">
        <f t="shared" si="47"/>
        <v>1905.3</v>
      </c>
      <c r="CL68" s="92">
        <f t="shared" si="67"/>
        <v>9</v>
      </c>
      <c r="CM68" s="67"/>
      <c r="CO68" s="160">
        <v>1905.934</v>
      </c>
      <c r="CP68" s="164">
        <v>1</v>
      </c>
      <c r="CQ68" s="165">
        <f t="shared" si="49"/>
        <v>1905.934</v>
      </c>
      <c r="CR68" s="168">
        <f t="shared" si="50"/>
        <v>0.63400000000001455</v>
      </c>
      <c r="CU68" s="160">
        <v>1905.934</v>
      </c>
      <c r="CV68" s="164">
        <v>1</v>
      </c>
      <c r="CW68" s="165">
        <f t="shared" si="42"/>
        <v>1905.934</v>
      </c>
      <c r="CX68" s="160">
        <v>1905.8530000000001</v>
      </c>
      <c r="CY68" s="164">
        <v>1</v>
      </c>
      <c r="CZ68" s="165">
        <f t="shared" si="41"/>
        <v>1905.8530000000001</v>
      </c>
      <c r="DA68" s="168">
        <f t="shared" si="52"/>
        <v>-8.0999999999903594E-2</v>
      </c>
      <c r="DB68" s="168">
        <f t="shared" si="53"/>
        <v>-8.0999999999903594E-2</v>
      </c>
      <c r="DC68" s="168"/>
      <c r="DF68" s="160">
        <v>1905.8530000000001</v>
      </c>
      <c r="DG68" s="164">
        <v>1</v>
      </c>
      <c r="DH68" s="165">
        <f t="shared" si="68"/>
        <v>1905.8530000000001</v>
      </c>
      <c r="DI68" s="168">
        <f t="shared" si="69"/>
        <v>0</v>
      </c>
      <c r="DJ68" s="168">
        <f t="shared" si="70"/>
        <v>-8.0999999999903594E-2</v>
      </c>
      <c r="DK68" s="168"/>
      <c r="DL68" s="168"/>
      <c r="DM68" s="168"/>
      <c r="DN68" s="168">
        <f t="shared" si="71"/>
        <v>1905.8530000000001</v>
      </c>
      <c r="DO68" s="165">
        <v>53.935000000000002</v>
      </c>
      <c r="DP68" s="165">
        <v>74.879000000000005</v>
      </c>
      <c r="DQ68" s="165">
        <v>78.12</v>
      </c>
      <c r="DR68" s="165">
        <v>83.918999999999997</v>
      </c>
      <c r="DS68" s="165">
        <v>251</v>
      </c>
      <c r="DT68" s="165">
        <v>275</v>
      </c>
      <c r="DU68" s="165">
        <v>422</v>
      </c>
      <c r="DV68" s="165">
        <v>0</v>
      </c>
      <c r="DW68" s="165">
        <v>185</v>
      </c>
      <c r="DX68" s="165">
        <v>482</v>
      </c>
      <c r="DY68" s="165">
        <v>0</v>
      </c>
      <c r="DZ68" s="165">
        <v>0</v>
      </c>
      <c r="EA68" s="168"/>
    </row>
    <row r="69" spans="1:131" s="91" customFormat="1" ht="16.25" hidden="1" customHeight="1" x14ac:dyDescent="0.4">
      <c r="A69" s="32" t="s">
        <v>97</v>
      </c>
      <c r="B69" s="32" t="s">
        <v>391</v>
      </c>
      <c r="C69" s="32" t="s">
        <v>20</v>
      </c>
      <c r="D69" s="16" t="s">
        <v>416</v>
      </c>
      <c r="E69" s="87" t="s">
        <v>420</v>
      </c>
      <c r="F69" s="87" t="s">
        <v>114</v>
      </c>
      <c r="G69" s="32" t="s">
        <v>101</v>
      </c>
      <c r="H69" s="32" t="s">
        <v>138</v>
      </c>
      <c r="I69" s="16" t="s">
        <v>259</v>
      </c>
      <c r="J69" s="33" t="s">
        <v>421</v>
      </c>
      <c r="K69" s="36"/>
      <c r="L69" s="36"/>
      <c r="M69" s="36" t="s">
        <v>149</v>
      </c>
      <c r="N69" s="36"/>
      <c r="O69" s="33" t="s">
        <v>422</v>
      </c>
      <c r="P69" s="32" t="s">
        <v>111</v>
      </c>
      <c r="Q69" s="129">
        <f>CZ69</f>
        <v>686.25</v>
      </c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32"/>
      <c r="AD69" s="37">
        <v>820</v>
      </c>
      <c r="AE69" s="37">
        <v>710</v>
      </c>
      <c r="AF69" s="39"/>
      <c r="AG69" s="39"/>
      <c r="AH69" s="87"/>
      <c r="AI69" s="159"/>
      <c r="AJ69" s="37">
        <v>0</v>
      </c>
      <c r="AK69" s="46">
        <v>0</v>
      </c>
      <c r="AL69" s="47">
        <f t="shared" si="54"/>
        <v>0</v>
      </c>
      <c r="AM69" s="162"/>
      <c r="AN69" s="39">
        <v>0</v>
      </c>
      <c r="AO69" s="97">
        <v>0</v>
      </c>
      <c r="AP69" s="39">
        <v>0</v>
      </c>
      <c r="AQ69" s="159"/>
      <c r="AR69" s="45">
        <v>150</v>
      </c>
      <c r="AS69" s="46">
        <v>0.9</v>
      </c>
      <c r="AT69" s="37">
        <f t="shared" si="55"/>
        <v>135</v>
      </c>
      <c r="AU69" s="48"/>
      <c r="AV69" s="49">
        <f>AU69*AS69</f>
        <v>0</v>
      </c>
      <c r="AW69" s="48"/>
      <c r="AY69" s="45">
        <v>150</v>
      </c>
      <c r="AZ69" s="46">
        <v>0.9</v>
      </c>
      <c r="BA69" s="37">
        <f t="shared" si="56"/>
        <v>135</v>
      </c>
      <c r="BB69" s="39">
        <f t="shared" si="57"/>
        <v>0</v>
      </c>
      <c r="BC69" s="50"/>
      <c r="BE69" s="45">
        <v>150</v>
      </c>
      <c r="BF69" s="46">
        <v>0.9</v>
      </c>
      <c r="BG69" s="37">
        <f t="shared" si="58"/>
        <v>135</v>
      </c>
      <c r="BH69" s="37"/>
      <c r="BI69" s="39">
        <f t="shared" si="59"/>
        <v>0</v>
      </c>
      <c r="BJ69" s="39"/>
      <c r="BK69" s="50"/>
      <c r="BM69" s="45">
        <f>(820-109)</f>
        <v>711</v>
      </c>
      <c r="BN69" s="46">
        <v>0.9</v>
      </c>
      <c r="BO69" s="37">
        <f t="shared" si="60"/>
        <v>639.9</v>
      </c>
      <c r="BP69" s="37">
        <v>639.9</v>
      </c>
      <c r="BQ69" s="92">
        <f t="shared" si="61"/>
        <v>504.9</v>
      </c>
      <c r="BR69" s="34" t="s">
        <v>153</v>
      </c>
      <c r="BS69" s="59" t="s">
        <v>397</v>
      </c>
      <c r="BU69" s="45">
        <v>686</v>
      </c>
      <c r="BV69" s="46">
        <v>1</v>
      </c>
      <c r="BW69" s="118">
        <f t="shared" si="62"/>
        <v>686</v>
      </c>
      <c r="BX69" s="118">
        <f t="shared" si="63"/>
        <v>46.100000000000023</v>
      </c>
      <c r="BY69" s="50"/>
      <c r="BZ69" s="139"/>
      <c r="CA69" s="45">
        <v>686</v>
      </c>
      <c r="CB69" s="46">
        <v>1</v>
      </c>
      <c r="CC69" s="118">
        <f t="shared" si="64"/>
        <v>686</v>
      </c>
      <c r="CD69" s="118"/>
      <c r="CE69" s="92">
        <f t="shared" si="65"/>
        <v>0</v>
      </c>
      <c r="CF69" s="92">
        <f t="shared" si="66"/>
        <v>46.100000000000023</v>
      </c>
      <c r="CG69" s="67"/>
      <c r="CI69" s="160">
        <v>686</v>
      </c>
      <c r="CJ69" s="164">
        <v>1</v>
      </c>
      <c r="CK69" s="165">
        <f t="shared" si="47"/>
        <v>686</v>
      </c>
      <c r="CL69" s="92">
        <f t="shared" si="67"/>
        <v>0</v>
      </c>
      <c r="CM69" s="67"/>
      <c r="CN69" s="139"/>
      <c r="CO69" s="160">
        <v>685.47</v>
      </c>
      <c r="CP69" s="164">
        <v>1</v>
      </c>
      <c r="CQ69" s="165">
        <f t="shared" si="49"/>
        <v>685.47</v>
      </c>
      <c r="CR69" s="168">
        <f t="shared" si="50"/>
        <v>-0.52999999999997272</v>
      </c>
      <c r="CS69" s="139"/>
      <c r="CT69" s="139"/>
      <c r="CU69" s="160">
        <v>685.47</v>
      </c>
      <c r="CV69" s="164">
        <v>1</v>
      </c>
      <c r="CW69" s="165">
        <f t="shared" si="42"/>
        <v>685.47</v>
      </c>
      <c r="CX69" s="160">
        <v>686.25</v>
      </c>
      <c r="CY69" s="164">
        <v>1</v>
      </c>
      <c r="CZ69" s="165">
        <f t="shared" si="41"/>
        <v>686.25</v>
      </c>
      <c r="DA69" s="168">
        <f t="shared" si="52"/>
        <v>0.77999999999997272</v>
      </c>
      <c r="DB69" s="168">
        <f t="shared" si="53"/>
        <v>0.77999999999997272</v>
      </c>
      <c r="DC69" s="168"/>
      <c r="DD69" s="139"/>
      <c r="DE69" s="139"/>
      <c r="DF69" s="160">
        <v>551</v>
      </c>
      <c r="DG69" s="164">
        <v>1</v>
      </c>
      <c r="DH69" s="165">
        <f t="shared" si="68"/>
        <v>551</v>
      </c>
      <c r="DI69" s="168">
        <f t="shared" si="69"/>
        <v>-135.25</v>
      </c>
      <c r="DJ69" s="168">
        <f t="shared" si="70"/>
        <v>-134.47000000000003</v>
      </c>
      <c r="DK69" s="168"/>
      <c r="DL69" s="168"/>
      <c r="DM69" s="168"/>
      <c r="DN69" s="168">
        <f t="shared" si="71"/>
        <v>686.25</v>
      </c>
      <c r="DO69" s="165">
        <v>0</v>
      </c>
      <c r="DP69" s="165">
        <v>0</v>
      </c>
      <c r="DQ69" s="165">
        <v>31.47</v>
      </c>
      <c r="DR69" s="165">
        <v>4.78</v>
      </c>
      <c r="DS69" s="165">
        <v>234</v>
      </c>
      <c r="DT69" s="165">
        <v>89</v>
      </c>
      <c r="DU69" s="165">
        <v>75</v>
      </c>
      <c r="DV69" s="165">
        <v>90</v>
      </c>
      <c r="DW69" s="165">
        <v>26</v>
      </c>
      <c r="DX69" s="165">
        <v>0</v>
      </c>
      <c r="DY69" s="165">
        <v>136</v>
      </c>
      <c r="DZ69" s="165">
        <v>0</v>
      </c>
      <c r="EA69" s="168"/>
    </row>
    <row r="70" spans="1:131" s="91" customFormat="1" ht="15" hidden="1" customHeight="1" x14ac:dyDescent="0.4">
      <c r="A70" s="32" t="s">
        <v>97</v>
      </c>
      <c r="B70" s="32" t="s">
        <v>391</v>
      </c>
      <c r="C70" s="32" t="s">
        <v>20</v>
      </c>
      <c r="D70" s="32" t="s">
        <v>416</v>
      </c>
      <c r="E70" s="87" t="s">
        <v>417</v>
      </c>
      <c r="F70" s="87" t="s">
        <v>114</v>
      </c>
      <c r="G70" s="32" t="s">
        <v>101</v>
      </c>
      <c r="H70" s="32"/>
      <c r="I70" s="51"/>
      <c r="J70" s="33" t="s">
        <v>418</v>
      </c>
      <c r="K70" s="36"/>
      <c r="L70" s="36"/>
      <c r="M70" s="36"/>
      <c r="N70" s="36"/>
      <c r="O70" s="33" t="s">
        <v>419</v>
      </c>
      <c r="P70" s="32" t="s">
        <v>193</v>
      </c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32"/>
      <c r="AD70" s="37"/>
      <c r="AE70" s="37"/>
      <c r="AF70" s="37"/>
      <c r="AG70" s="37"/>
      <c r="AH70" s="158"/>
      <c r="AI70" s="158"/>
      <c r="AJ70" s="37">
        <v>109</v>
      </c>
      <c r="AK70" s="46">
        <v>1</v>
      </c>
      <c r="AL70" s="47">
        <f t="shared" si="54"/>
        <v>109</v>
      </c>
      <c r="AM70" s="162"/>
      <c r="AN70" s="39" t="e">
        <f>VLOOKUP(D70,'May FF'!B$2:E$201,2,0)</f>
        <v>#N/A</v>
      </c>
      <c r="AO70" s="97" t="e">
        <f>VLOOKUP(D70,'May FF'!B53:E252,3,0)</f>
        <v>#N/A</v>
      </c>
      <c r="AP70" s="39" t="e">
        <f>VLOOKUP($D70,'May FF'!$B$2:$E$201,4,0)</f>
        <v>#N/A</v>
      </c>
      <c r="AQ70" s="160"/>
      <c r="AR70" s="45">
        <v>250</v>
      </c>
      <c r="AS70" s="46">
        <v>0.9</v>
      </c>
      <c r="AT70" s="45">
        <f t="shared" si="55"/>
        <v>225</v>
      </c>
      <c r="AU70" s="48"/>
      <c r="AV70" s="49">
        <f>AU70*AS70</f>
        <v>0</v>
      </c>
      <c r="AW70" s="48" t="s">
        <v>413</v>
      </c>
      <c r="AY70" s="45">
        <v>450</v>
      </c>
      <c r="AZ70" s="46">
        <v>0.9</v>
      </c>
      <c r="BA70" s="45">
        <f t="shared" si="56"/>
        <v>405</v>
      </c>
      <c r="BB70" s="39">
        <f t="shared" si="57"/>
        <v>180</v>
      </c>
      <c r="BC70" s="50"/>
      <c r="BE70" s="45">
        <f>770-109</f>
        <v>661</v>
      </c>
      <c r="BF70" s="52">
        <v>0.9</v>
      </c>
      <c r="BG70" s="45">
        <f t="shared" si="58"/>
        <v>594.9</v>
      </c>
      <c r="BH70" s="37"/>
      <c r="BI70" s="39">
        <f t="shared" si="59"/>
        <v>189.89999999999998</v>
      </c>
      <c r="BJ70" s="39" t="s">
        <v>396</v>
      </c>
      <c r="BK70" s="50"/>
      <c r="BL70" s="139"/>
      <c r="BM70" s="45">
        <v>0</v>
      </c>
      <c r="BN70" s="52">
        <v>0</v>
      </c>
      <c r="BO70" s="45">
        <f t="shared" si="60"/>
        <v>0</v>
      </c>
      <c r="BP70" s="45">
        <v>306</v>
      </c>
      <c r="BQ70" s="92">
        <f t="shared" si="61"/>
        <v>-405</v>
      </c>
      <c r="BR70" s="34" t="s">
        <v>153</v>
      </c>
      <c r="BS70" s="50"/>
      <c r="BU70" s="45">
        <v>0</v>
      </c>
      <c r="BV70" s="52">
        <v>0</v>
      </c>
      <c r="BW70" s="118">
        <f t="shared" si="62"/>
        <v>0</v>
      </c>
      <c r="BX70" s="118">
        <f t="shared" si="63"/>
        <v>0</v>
      </c>
      <c r="BY70" s="50"/>
      <c r="CA70" s="45">
        <v>0</v>
      </c>
      <c r="CB70" s="52">
        <v>0</v>
      </c>
      <c r="CC70" s="118">
        <f t="shared" si="64"/>
        <v>0</v>
      </c>
      <c r="CD70" s="118"/>
      <c r="CE70" s="92">
        <f t="shared" si="65"/>
        <v>0</v>
      </c>
      <c r="CF70" s="92">
        <f t="shared" si="66"/>
        <v>0</v>
      </c>
      <c r="CG70" s="50"/>
      <c r="CI70" s="160">
        <v>0</v>
      </c>
      <c r="CJ70" s="167">
        <v>0</v>
      </c>
      <c r="CK70" s="165">
        <f t="shared" si="47"/>
        <v>0</v>
      </c>
      <c r="CL70" s="92">
        <f t="shared" si="67"/>
        <v>0</v>
      </c>
      <c r="CM70" s="50"/>
      <c r="CN70" s="139"/>
      <c r="CO70" s="160">
        <v>0</v>
      </c>
      <c r="CP70" s="167">
        <v>0</v>
      </c>
      <c r="CQ70" s="165">
        <f t="shared" si="49"/>
        <v>0</v>
      </c>
      <c r="CR70" s="168">
        <f t="shared" si="50"/>
        <v>0</v>
      </c>
      <c r="CS70" s="139"/>
      <c r="CT70" s="139"/>
      <c r="CU70" s="160">
        <v>0</v>
      </c>
      <c r="CV70" s="167">
        <v>0</v>
      </c>
      <c r="CW70" s="165">
        <f t="shared" si="42"/>
        <v>0</v>
      </c>
      <c r="CX70" s="160">
        <v>0</v>
      </c>
      <c r="CY70" s="167">
        <v>0</v>
      </c>
      <c r="CZ70" s="165">
        <f t="shared" si="41"/>
        <v>0</v>
      </c>
      <c r="DA70" s="168">
        <f t="shared" si="52"/>
        <v>0</v>
      </c>
      <c r="DB70" s="168">
        <f t="shared" si="53"/>
        <v>0</v>
      </c>
      <c r="DC70" s="168"/>
      <c r="DD70" s="139"/>
      <c r="DE70" s="139"/>
      <c r="DF70" s="160">
        <v>0</v>
      </c>
      <c r="DG70" s="167">
        <v>0</v>
      </c>
      <c r="DH70" s="165">
        <f t="shared" si="68"/>
        <v>0</v>
      </c>
      <c r="DI70" s="168">
        <f t="shared" si="69"/>
        <v>0</v>
      </c>
      <c r="DJ70" s="168">
        <f t="shared" si="70"/>
        <v>0</v>
      </c>
      <c r="DK70" s="168"/>
      <c r="DL70" s="168"/>
      <c r="DM70" s="168"/>
      <c r="DN70" s="168">
        <f t="shared" si="71"/>
        <v>0</v>
      </c>
      <c r="DO70" s="165">
        <v>0</v>
      </c>
      <c r="DP70" s="165">
        <v>0</v>
      </c>
      <c r="DQ70" s="165">
        <v>0</v>
      </c>
      <c r="DR70" s="165">
        <v>0</v>
      </c>
      <c r="DS70" s="165">
        <v>0</v>
      </c>
      <c r="DT70" s="165">
        <v>0</v>
      </c>
      <c r="DU70" s="165">
        <v>0</v>
      </c>
      <c r="DV70" s="165">
        <v>0</v>
      </c>
      <c r="DW70" s="165">
        <v>0</v>
      </c>
      <c r="DX70" s="165">
        <v>0</v>
      </c>
      <c r="DY70" s="165">
        <v>0</v>
      </c>
      <c r="DZ70" s="165">
        <v>0</v>
      </c>
    </row>
    <row r="71" spans="1:131" s="91" customFormat="1" ht="13.5" hidden="1" customHeight="1" x14ac:dyDescent="0.4">
      <c r="A71" s="32" t="s">
        <v>97</v>
      </c>
      <c r="B71" s="32" t="s">
        <v>391</v>
      </c>
      <c r="C71" s="32" t="s">
        <v>20</v>
      </c>
      <c r="D71" s="16" t="s">
        <v>423</v>
      </c>
      <c r="E71" s="87" t="s">
        <v>424</v>
      </c>
      <c r="F71" s="87" t="s">
        <v>114</v>
      </c>
      <c r="G71" s="32" t="s">
        <v>101</v>
      </c>
      <c r="H71" s="32" t="s">
        <v>138</v>
      </c>
      <c r="I71" s="51" t="s">
        <v>147</v>
      </c>
      <c r="J71" s="33" t="s">
        <v>425</v>
      </c>
      <c r="K71" s="36"/>
      <c r="L71" s="36"/>
      <c r="M71" s="36" t="s">
        <v>184</v>
      </c>
      <c r="N71" s="36"/>
      <c r="O71" s="33" t="s">
        <v>426</v>
      </c>
      <c r="P71" s="32" t="s">
        <v>111</v>
      </c>
      <c r="Q71" s="129">
        <f t="shared" ref="Q71:Q80" si="72">CZ71</f>
        <v>1781.9850000000001</v>
      </c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32"/>
      <c r="AD71" s="37">
        <v>2000</v>
      </c>
      <c r="AE71" s="37">
        <v>1850</v>
      </c>
      <c r="AF71" s="39"/>
      <c r="AG71" s="39"/>
      <c r="AH71" s="87"/>
      <c r="AI71" s="161"/>
      <c r="AJ71" s="37">
        <v>0</v>
      </c>
      <c r="AK71" s="46">
        <v>0</v>
      </c>
      <c r="AL71" s="47">
        <f t="shared" si="54"/>
        <v>0</v>
      </c>
      <c r="AM71" s="162"/>
      <c r="AN71" s="39" t="e">
        <f>VLOOKUP(D71,'May FF'!B$2:E$201,2,0)</f>
        <v>#N/A</v>
      </c>
      <c r="AO71" s="97" t="e">
        <f>VLOOKUP(D71,'May FF'!B49:E248,3,0)</f>
        <v>#N/A</v>
      </c>
      <c r="AP71" s="39" t="e">
        <f>VLOOKUP($D71,'May FF'!$B$2:$E$201,4,0)</f>
        <v>#N/A</v>
      </c>
      <c r="AQ71" s="159"/>
      <c r="AR71" s="45">
        <f>2200-130</f>
        <v>2070</v>
      </c>
      <c r="AS71" s="46">
        <v>0.75</v>
      </c>
      <c r="AT71" s="37">
        <f t="shared" si="55"/>
        <v>1552.5</v>
      </c>
      <c r="AU71" s="48"/>
      <c r="AV71" s="49">
        <f>AU71*AS71</f>
        <v>0</v>
      </c>
      <c r="AW71" s="48" t="s">
        <v>427</v>
      </c>
      <c r="AY71" s="45">
        <v>2070</v>
      </c>
      <c r="AZ71" s="46">
        <v>0.75</v>
      </c>
      <c r="BA71" s="37">
        <f t="shared" si="56"/>
        <v>1552.5</v>
      </c>
      <c r="BB71" s="39">
        <f t="shared" si="57"/>
        <v>0</v>
      </c>
      <c r="BC71" s="50" t="s">
        <v>123</v>
      </c>
      <c r="BE71" s="45">
        <v>2070</v>
      </c>
      <c r="BF71" s="46">
        <v>0.75</v>
      </c>
      <c r="BG71" s="37">
        <f t="shared" si="58"/>
        <v>1552.5</v>
      </c>
      <c r="BH71" s="37"/>
      <c r="BI71" s="39">
        <f t="shared" si="59"/>
        <v>0</v>
      </c>
      <c r="BJ71" s="39"/>
      <c r="BK71" s="50" t="s">
        <v>123</v>
      </c>
      <c r="BM71" s="45">
        <f>2200-135</f>
        <v>2065</v>
      </c>
      <c r="BN71" s="46">
        <v>0.9</v>
      </c>
      <c r="BO71" s="37">
        <f t="shared" si="60"/>
        <v>1858.5</v>
      </c>
      <c r="BP71" s="37">
        <v>1858.5</v>
      </c>
      <c r="BQ71" s="92">
        <f t="shared" si="61"/>
        <v>306</v>
      </c>
      <c r="BR71" s="34" t="s">
        <v>153</v>
      </c>
      <c r="BS71" s="50" t="s">
        <v>428</v>
      </c>
      <c r="BU71" s="45">
        <f>2200-135</f>
        <v>2065</v>
      </c>
      <c r="BV71" s="46">
        <v>0.9</v>
      </c>
      <c r="BW71" s="118">
        <f t="shared" si="62"/>
        <v>1858.5</v>
      </c>
      <c r="BX71" s="118">
        <f t="shared" si="63"/>
        <v>0</v>
      </c>
      <c r="BY71" s="50"/>
      <c r="CA71" s="45">
        <f>2200-135</f>
        <v>2065</v>
      </c>
      <c r="CB71" s="46">
        <v>0.9</v>
      </c>
      <c r="CC71" s="118">
        <f t="shared" si="64"/>
        <v>1858.5</v>
      </c>
      <c r="CD71" s="118"/>
      <c r="CE71" s="92">
        <f t="shared" si="65"/>
        <v>0</v>
      </c>
      <c r="CF71" s="92">
        <f t="shared" si="66"/>
        <v>0</v>
      </c>
      <c r="CG71" s="50"/>
      <c r="CI71" s="160">
        <f>2200-135</f>
        <v>2065</v>
      </c>
      <c r="CJ71" s="164">
        <v>0.9</v>
      </c>
      <c r="CK71" s="165">
        <f t="shared" si="47"/>
        <v>1858.5</v>
      </c>
      <c r="CL71" s="92">
        <f t="shared" si="67"/>
        <v>0</v>
      </c>
      <c r="CM71" s="50"/>
      <c r="CN71" s="139"/>
      <c r="CO71" s="160">
        <f>2200-135</f>
        <v>2065</v>
      </c>
      <c r="CP71" s="164">
        <v>0.9</v>
      </c>
      <c r="CQ71" s="165">
        <f t="shared" si="49"/>
        <v>1858.5</v>
      </c>
      <c r="CR71" s="168">
        <f t="shared" si="50"/>
        <v>0</v>
      </c>
      <c r="CS71" s="139"/>
      <c r="CT71" s="139"/>
      <c r="CU71" s="160">
        <f>2200-135</f>
        <v>2065</v>
      </c>
      <c r="CV71" s="164">
        <v>0.9</v>
      </c>
      <c r="CW71" s="165">
        <f t="shared" si="42"/>
        <v>1858.5</v>
      </c>
      <c r="CX71" s="160">
        <v>1781.9850000000001</v>
      </c>
      <c r="CY71" s="164">
        <v>1</v>
      </c>
      <c r="CZ71" s="165">
        <f t="shared" si="41"/>
        <v>1781.9850000000001</v>
      </c>
      <c r="DA71" s="168">
        <f t="shared" si="52"/>
        <v>-76.514999999999873</v>
      </c>
      <c r="DB71" s="168">
        <f t="shared" si="53"/>
        <v>-76.514999999999873</v>
      </c>
      <c r="DC71" s="168"/>
      <c r="DD71" s="139" t="s">
        <v>123</v>
      </c>
      <c r="DE71" s="139"/>
      <c r="DF71" s="160">
        <v>1719</v>
      </c>
      <c r="DG71" s="164">
        <v>1</v>
      </c>
      <c r="DH71" s="165">
        <f t="shared" si="68"/>
        <v>1719</v>
      </c>
      <c r="DI71" s="168">
        <f t="shared" si="69"/>
        <v>-62.985000000000127</v>
      </c>
      <c r="DJ71" s="168">
        <f t="shared" si="70"/>
        <v>-139.5</v>
      </c>
      <c r="DK71" s="168"/>
      <c r="DL71" s="168"/>
      <c r="DM71" s="168"/>
      <c r="DN71" s="168">
        <f t="shared" si="71"/>
        <v>1781.9850000000001</v>
      </c>
      <c r="DO71" s="165">
        <v>1.7190000000000001</v>
      </c>
      <c r="DP71" s="165">
        <v>25.63</v>
      </c>
      <c r="DQ71" s="165">
        <v>0</v>
      </c>
      <c r="DR71" s="165">
        <v>107.636</v>
      </c>
      <c r="DS71" s="165">
        <v>367</v>
      </c>
      <c r="DT71" s="165">
        <v>0</v>
      </c>
      <c r="DU71" s="165">
        <v>280</v>
      </c>
      <c r="DV71" s="165">
        <v>300</v>
      </c>
      <c r="DW71" s="165">
        <v>350</v>
      </c>
      <c r="DX71" s="165">
        <v>250</v>
      </c>
      <c r="DY71" s="165">
        <v>100</v>
      </c>
      <c r="DZ71" s="165">
        <v>0</v>
      </c>
      <c r="EA71" s="168"/>
    </row>
    <row r="72" spans="1:131" s="91" customFormat="1" ht="16.25" hidden="1" customHeight="1" x14ac:dyDescent="0.4">
      <c r="A72" s="32" t="s">
        <v>97</v>
      </c>
      <c r="B72" s="32" t="s">
        <v>391</v>
      </c>
      <c r="C72" s="32" t="s">
        <v>172</v>
      </c>
      <c r="D72" s="16" t="s">
        <v>429</v>
      </c>
      <c r="E72" s="87" t="s">
        <v>430</v>
      </c>
      <c r="F72" s="87" t="s">
        <v>175</v>
      </c>
      <c r="G72" s="32" t="s">
        <v>101</v>
      </c>
      <c r="H72" s="32"/>
      <c r="I72" s="51"/>
      <c r="J72" s="33"/>
      <c r="K72" s="36"/>
      <c r="L72" s="36"/>
      <c r="M72" s="36"/>
      <c r="N72" s="36"/>
      <c r="O72" s="38" t="s">
        <v>103</v>
      </c>
      <c r="P72" s="32" t="s">
        <v>189</v>
      </c>
      <c r="Q72" s="129">
        <f t="shared" si="72"/>
        <v>1.9690000000000001</v>
      </c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32"/>
      <c r="AD72" s="37"/>
      <c r="AE72" s="37"/>
      <c r="AF72" s="39"/>
      <c r="AG72" s="39"/>
      <c r="AH72" s="87"/>
      <c r="AI72" s="161"/>
      <c r="AJ72" s="37"/>
      <c r="AK72" s="46"/>
      <c r="AL72" s="47"/>
      <c r="AM72" s="162"/>
      <c r="AN72" s="39"/>
      <c r="AO72" s="97"/>
      <c r="AP72" s="39"/>
      <c r="AQ72" s="159"/>
      <c r="AR72" s="45"/>
      <c r="AS72" s="46"/>
      <c r="AT72" s="37"/>
      <c r="AU72" s="48"/>
      <c r="AV72" s="49"/>
      <c r="AW72" s="48"/>
      <c r="AY72" s="45"/>
      <c r="AZ72" s="46"/>
      <c r="BA72" s="37"/>
      <c r="BB72" s="39"/>
      <c r="BC72" s="50"/>
      <c r="BE72" s="45"/>
      <c r="BF72" s="46"/>
      <c r="BG72" s="37"/>
      <c r="BH72" s="37"/>
      <c r="BI72" s="39"/>
      <c r="BJ72" s="39"/>
      <c r="BK72" s="50"/>
      <c r="BM72" s="45"/>
      <c r="BN72" s="46"/>
      <c r="BO72" s="37"/>
      <c r="BP72" s="37"/>
      <c r="BQ72" s="92"/>
      <c r="BR72" s="34"/>
      <c r="BS72" s="50"/>
      <c r="BU72" s="45"/>
      <c r="BV72" s="46"/>
      <c r="BW72" s="118"/>
      <c r="BX72" s="118"/>
      <c r="BY72" s="50"/>
      <c r="CA72" s="45"/>
      <c r="CB72" s="46"/>
      <c r="CC72" s="118"/>
      <c r="CD72" s="118"/>
      <c r="CE72" s="92"/>
      <c r="CF72" s="92"/>
      <c r="CG72" s="50"/>
      <c r="CI72" s="160">
        <v>0</v>
      </c>
      <c r="CJ72" s="212">
        <v>0</v>
      </c>
      <c r="CK72" s="165">
        <f t="shared" si="47"/>
        <v>0</v>
      </c>
      <c r="CL72" s="92"/>
      <c r="CM72" s="50"/>
      <c r="CN72" s="139"/>
      <c r="CO72" s="160">
        <v>1.9690000000000001</v>
      </c>
      <c r="CP72" s="164">
        <v>1</v>
      </c>
      <c r="CQ72" s="165">
        <f t="shared" si="49"/>
        <v>1.9690000000000001</v>
      </c>
      <c r="CR72" s="168">
        <f t="shared" si="50"/>
        <v>1.9690000000000001</v>
      </c>
      <c r="CS72" s="139"/>
      <c r="CT72" s="139"/>
      <c r="CU72" s="160">
        <v>1.9690000000000001</v>
      </c>
      <c r="CV72" s="164">
        <v>1</v>
      </c>
      <c r="CW72" s="165">
        <f t="shared" si="42"/>
        <v>1.9690000000000001</v>
      </c>
      <c r="CX72" s="160">
        <v>1.9690000000000001</v>
      </c>
      <c r="CY72" s="164">
        <v>1</v>
      </c>
      <c r="CZ72" s="165">
        <f t="shared" si="41"/>
        <v>1.9690000000000001</v>
      </c>
      <c r="DA72" s="168">
        <f t="shared" si="52"/>
        <v>0</v>
      </c>
      <c r="DB72" s="168">
        <f t="shared" si="53"/>
        <v>0</v>
      </c>
      <c r="DC72" s="168"/>
      <c r="DD72" s="139"/>
      <c r="DE72" s="139"/>
      <c r="DF72" s="160">
        <v>1.9690000000000001</v>
      </c>
      <c r="DG72" s="164">
        <v>1</v>
      </c>
      <c r="DH72" s="165">
        <f t="shared" si="68"/>
        <v>1.9690000000000001</v>
      </c>
      <c r="DI72" s="168">
        <f t="shared" si="69"/>
        <v>0</v>
      </c>
      <c r="DJ72" s="168">
        <f t="shared" si="70"/>
        <v>0</v>
      </c>
      <c r="DK72" s="168"/>
      <c r="DL72" s="168"/>
      <c r="DM72" s="168"/>
      <c r="DN72" s="168">
        <f t="shared" si="71"/>
        <v>1.9690000000000001</v>
      </c>
      <c r="DO72" s="165">
        <v>0</v>
      </c>
      <c r="DP72" s="165">
        <v>0</v>
      </c>
      <c r="DQ72" s="165">
        <v>1.9690000000000001</v>
      </c>
      <c r="DR72" s="165">
        <v>0</v>
      </c>
      <c r="DS72" s="165">
        <v>0</v>
      </c>
      <c r="DT72" s="165">
        <v>0</v>
      </c>
      <c r="DU72" s="165">
        <v>0</v>
      </c>
      <c r="DV72" s="165">
        <v>0</v>
      </c>
      <c r="DW72" s="165">
        <v>0</v>
      </c>
      <c r="DX72" s="165">
        <v>0</v>
      </c>
      <c r="DY72" s="165">
        <v>0</v>
      </c>
      <c r="DZ72" s="165">
        <v>0</v>
      </c>
      <c r="EA72" s="168"/>
    </row>
    <row r="73" spans="1:131" s="91" customFormat="1" ht="16.25" hidden="1" customHeight="1" x14ac:dyDescent="0.4">
      <c r="A73" s="32" t="s">
        <v>97</v>
      </c>
      <c r="B73" s="32" t="s">
        <v>391</v>
      </c>
      <c r="C73" s="32" t="s">
        <v>20</v>
      </c>
      <c r="D73" s="16" t="s">
        <v>431</v>
      </c>
      <c r="E73" s="87" t="s">
        <v>432</v>
      </c>
      <c r="F73" s="87" t="s">
        <v>110</v>
      </c>
      <c r="G73" s="32" t="s">
        <v>101</v>
      </c>
      <c r="H73" s="32"/>
      <c r="I73" s="51"/>
      <c r="J73" s="33"/>
      <c r="K73" s="36"/>
      <c r="L73" s="36"/>
      <c r="M73" s="36"/>
      <c r="N73" s="36"/>
      <c r="O73" s="38" t="s">
        <v>103</v>
      </c>
      <c r="P73" s="32" t="s">
        <v>189</v>
      </c>
      <c r="Q73" s="129">
        <f t="shared" si="72"/>
        <v>22.990000000000009</v>
      </c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32"/>
      <c r="AD73" s="37"/>
      <c r="AE73" s="37"/>
      <c r="AF73" s="39"/>
      <c r="AG73" s="39"/>
      <c r="AH73" s="87"/>
      <c r="AI73" s="161"/>
      <c r="AJ73" s="37"/>
      <c r="AK73" s="46"/>
      <c r="AL73" s="47"/>
      <c r="AM73" s="162"/>
      <c r="AN73" s="39"/>
      <c r="AO73" s="97"/>
      <c r="AP73" s="39"/>
      <c r="AQ73" s="159"/>
      <c r="AR73" s="45"/>
      <c r="AS73" s="46"/>
      <c r="AT73" s="37"/>
      <c r="AU73" s="48"/>
      <c r="AV73" s="49"/>
      <c r="AW73" s="48"/>
      <c r="AY73" s="45"/>
      <c r="AZ73" s="46"/>
      <c r="BA73" s="37"/>
      <c r="BB73" s="39"/>
      <c r="BC73" s="50"/>
      <c r="BE73" s="45"/>
      <c r="BF73" s="46"/>
      <c r="BG73" s="37"/>
      <c r="BH73" s="37"/>
      <c r="BI73" s="39"/>
      <c r="BJ73" s="39"/>
      <c r="BK73" s="50"/>
      <c r="BM73" s="45"/>
      <c r="BN73" s="46"/>
      <c r="BO73" s="37"/>
      <c r="BP73" s="37"/>
      <c r="BQ73" s="92"/>
      <c r="BR73" s="34"/>
      <c r="BS73" s="50"/>
      <c r="BU73" s="45"/>
      <c r="BV73" s="46"/>
      <c r="BW73" s="118"/>
      <c r="BX73" s="118"/>
      <c r="BY73" s="50"/>
      <c r="CA73" s="45">
        <v>0</v>
      </c>
      <c r="CB73" s="46">
        <v>0</v>
      </c>
      <c r="CC73" s="118">
        <f>CA73*CB73</f>
        <v>0</v>
      </c>
      <c r="CD73" s="118"/>
      <c r="CE73" s="92"/>
      <c r="CF73" s="92"/>
      <c r="CG73" s="50"/>
      <c r="CI73" s="160">
        <v>23</v>
      </c>
      <c r="CJ73" s="164">
        <v>1</v>
      </c>
      <c r="CK73" s="165">
        <f t="shared" si="47"/>
        <v>23</v>
      </c>
      <c r="CL73" s="92">
        <f>CK73-CC73</f>
        <v>23</v>
      </c>
      <c r="CM73" s="50"/>
      <c r="CN73" s="139"/>
      <c r="CO73" s="160">
        <v>23</v>
      </c>
      <c r="CP73" s="164">
        <v>1</v>
      </c>
      <c r="CQ73" s="165">
        <f t="shared" si="49"/>
        <v>23</v>
      </c>
      <c r="CR73" s="168">
        <f t="shared" si="50"/>
        <v>0</v>
      </c>
      <c r="CS73" s="139"/>
      <c r="CT73" s="139"/>
      <c r="CU73" s="160">
        <v>23</v>
      </c>
      <c r="CV73" s="164">
        <v>1</v>
      </c>
      <c r="CW73" s="165">
        <f t="shared" si="42"/>
        <v>23</v>
      </c>
      <c r="CX73" s="160">
        <v>22.990000000000009</v>
      </c>
      <c r="CY73" s="164">
        <v>1</v>
      </c>
      <c r="CZ73" s="165">
        <f t="shared" si="41"/>
        <v>22.990000000000009</v>
      </c>
      <c r="DA73" s="168">
        <f t="shared" si="52"/>
        <v>-9.9999999999909051E-3</v>
      </c>
      <c r="DB73" s="168">
        <f t="shared" si="53"/>
        <v>-9.9999999999909051E-3</v>
      </c>
      <c r="DC73" s="168"/>
      <c r="DD73" s="139"/>
      <c r="DE73" s="139"/>
      <c r="DF73" s="160">
        <v>22.990000000000009</v>
      </c>
      <c r="DG73" s="164">
        <v>1</v>
      </c>
      <c r="DH73" s="165">
        <f t="shared" si="68"/>
        <v>22.990000000000009</v>
      </c>
      <c r="DI73" s="168">
        <f t="shared" si="69"/>
        <v>0</v>
      </c>
      <c r="DJ73" s="168">
        <f t="shared" si="70"/>
        <v>-9.9999999999909051E-3</v>
      </c>
      <c r="DK73" s="168"/>
      <c r="DL73" s="168"/>
      <c r="DM73" s="168"/>
      <c r="DN73" s="168">
        <f t="shared" si="71"/>
        <v>22.990000000000009</v>
      </c>
      <c r="DO73" s="165">
        <v>0</v>
      </c>
      <c r="DP73" s="165">
        <v>1203.99</v>
      </c>
      <c r="DQ73" s="165">
        <v>0</v>
      </c>
      <c r="DR73" s="165">
        <v>0</v>
      </c>
      <c r="DS73" s="165">
        <v>-1181</v>
      </c>
      <c r="DT73" s="165">
        <v>0</v>
      </c>
      <c r="DU73" s="165">
        <v>0</v>
      </c>
      <c r="DV73" s="165">
        <v>0</v>
      </c>
      <c r="DW73" s="165">
        <v>0</v>
      </c>
      <c r="DX73" s="165">
        <v>0</v>
      </c>
      <c r="DY73" s="165">
        <v>0</v>
      </c>
      <c r="DZ73" s="165">
        <v>0</v>
      </c>
      <c r="EA73" s="168"/>
    </row>
    <row r="74" spans="1:131" s="91" customFormat="1" ht="16.25" hidden="1" customHeight="1" x14ac:dyDescent="0.4">
      <c r="A74" s="32" t="s">
        <v>97</v>
      </c>
      <c r="B74" s="32" t="s">
        <v>391</v>
      </c>
      <c r="C74" s="32" t="s">
        <v>172</v>
      </c>
      <c r="D74" s="16" t="s">
        <v>433</v>
      </c>
      <c r="E74" s="87" t="s">
        <v>434</v>
      </c>
      <c r="F74" s="87" t="s">
        <v>175</v>
      </c>
      <c r="G74" s="32" t="s">
        <v>101</v>
      </c>
      <c r="H74" s="32" t="s">
        <v>102</v>
      </c>
      <c r="I74" s="51" t="s">
        <v>103</v>
      </c>
      <c r="J74" s="33"/>
      <c r="K74" s="36"/>
      <c r="L74" s="36"/>
      <c r="M74" s="36"/>
      <c r="N74" s="36"/>
      <c r="O74" s="38" t="s">
        <v>103</v>
      </c>
      <c r="P74" s="32" t="s">
        <v>189</v>
      </c>
      <c r="Q74" s="129">
        <f t="shared" si="72"/>
        <v>16.002999999999997</v>
      </c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32"/>
      <c r="AD74" s="37"/>
      <c r="AE74" s="37"/>
      <c r="AF74" s="39"/>
      <c r="AG74" s="39"/>
      <c r="AH74" s="87"/>
      <c r="AI74" s="161"/>
      <c r="AJ74" s="37"/>
      <c r="AK74" s="46"/>
      <c r="AL74" s="47"/>
      <c r="AM74" s="162"/>
      <c r="AN74" s="39"/>
      <c r="AO74" s="97"/>
      <c r="AP74" s="39"/>
      <c r="AQ74" s="159"/>
      <c r="AR74" s="45"/>
      <c r="AS74" s="46"/>
      <c r="AT74" s="37"/>
      <c r="AU74" s="48"/>
      <c r="AV74" s="49"/>
      <c r="AW74" s="48"/>
      <c r="AY74" s="45"/>
      <c r="AZ74" s="46"/>
      <c r="BA74" s="37"/>
      <c r="BB74" s="39"/>
      <c r="BC74" s="50"/>
      <c r="BE74" s="45"/>
      <c r="BF74" s="46"/>
      <c r="BG74" s="37"/>
      <c r="BH74" s="37"/>
      <c r="BI74" s="39"/>
      <c r="BJ74" s="39"/>
      <c r="BK74" s="50"/>
      <c r="BM74" s="45"/>
      <c r="BN74" s="46"/>
      <c r="BO74" s="37"/>
      <c r="BP74" s="37"/>
      <c r="BQ74" s="92"/>
      <c r="BR74" s="34"/>
      <c r="BS74" s="50"/>
      <c r="BU74" s="45">
        <v>35</v>
      </c>
      <c r="BV74" s="46">
        <v>1</v>
      </c>
      <c r="BW74" s="118">
        <f>BU74*BV74</f>
        <v>35</v>
      </c>
      <c r="BX74" s="118">
        <f>BW74-BO74</f>
        <v>35</v>
      </c>
      <c r="BY74" s="50"/>
      <c r="CA74" s="45">
        <v>35</v>
      </c>
      <c r="CB74" s="46">
        <v>1</v>
      </c>
      <c r="CC74" s="118">
        <f>CA74*CB74</f>
        <v>35</v>
      </c>
      <c r="CD74" s="118"/>
      <c r="CE74" s="92">
        <f>CC74-BW74</f>
        <v>0</v>
      </c>
      <c r="CF74" s="92">
        <f>CC74-BO74</f>
        <v>35</v>
      </c>
      <c r="CG74" s="50"/>
      <c r="CI74" s="160">
        <v>24.829000000000001</v>
      </c>
      <c r="CJ74" s="164">
        <v>1</v>
      </c>
      <c r="CK74" s="165">
        <f t="shared" si="47"/>
        <v>24.829000000000001</v>
      </c>
      <c r="CL74" s="92">
        <f>CK74-CC74</f>
        <v>-10.170999999999999</v>
      </c>
      <c r="CM74" s="50"/>
      <c r="CN74" s="139"/>
      <c r="CO74" s="160">
        <v>27.015000000000001</v>
      </c>
      <c r="CP74" s="164">
        <v>1</v>
      </c>
      <c r="CQ74" s="165">
        <f t="shared" si="49"/>
        <v>27.015000000000001</v>
      </c>
      <c r="CR74" s="168">
        <f t="shared" si="50"/>
        <v>2.1859999999999999</v>
      </c>
      <c r="CS74" s="139"/>
      <c r="CT74" s="139"/>
      <c r="CU74" s="160">
        <v>27.015000000000001</v>
      </c>
      <c r="CV74" s="164">
        <v>1</v>
      </c>
      <c r="CW74" s="165">
        <f t="shared" si="42"/>
        <v>27.015000000000001</v>
      </c>
      <c r="CX74" s="160">
        <v>16.002999999999997</v>
      </c>
      <c r="CY74" s="164">
        <v>1</v>
      </c>
      <c r="CZ74" s="165">
        <f t="shared" si="41"/>
        <v>16.002999999999997</v>
      </c>
      <c r="DA74" s="168">
        <f t="shared" si="52"/>
        <v>-11.012000000000004</v>
      </c>
      <c r="DB74" s="168">
        <f t="shared" si="53"/>
        <v>-11.012000000000004</v>
      </c>
      <c r="DC74" s="168"/>
      <c r="DD74" s="139"/>
      <c r="DE74" s="139"/>
      <c r="DF74" s="160">
        <v>16.002999999999997</v>
      </c>
      <c r="DG74" s="164">
        <v>1</v>
      </c>
      <c r="DH74" s="165">
        <f t="shared" si="68"/>
        <v>16.002999999999997</v>
      </c>
      <c r="DI74" s="168">
        <f t="shared" si="69"/>
        <v>0</v>
      </c>
      <c r="DJ74" s="168">
        <f t="shared" si="70"/>
        <v>-11.012000000000004</v>
      </c>
      <c r="DK74" s="168"/>
      <c r="DL74" s="168"/>
      <c r="DM74" s="168"/>
      <c r="DN74" s="168">
        <f t="shared" si="71"/>
        <v>16.002999999999997</v>
      </c>
      <c r="DO74" s="165">
        <v>7.8090000000000002</v>
      </c>
      <c r="DP74" s="165">
        <v>12.836</v>
      </c>
      <c r="DQ74" s="165">
        <v>-6.5970000000000004</v>
      </c>
      <c r="DR74" s="165">
        <v>-0.111</v>
      </c>
      <c r="DS74" s="165">
        <v>2.0659999999999998</v>
      </c>
      <c r="DT74" s="165">
        <v>0</v>
      </c>
      <c r="DU74" s="165">
        <v>0</v>
      </c>
      <c r="DV74" s="165">
        <v>0</v>
      </c>
      <c r="DW74" s="165">
        <v>0</v>
      </c>
      <c r="DX74" s="165">
        <v>0</v>
      </c>
      <c r="DY74" s="165">
        <v>0</v>
      </c>
      <c r="DZ74" s="165">
        <v>0</v>
      </c>
      <c r="EA74" s="168"/>
    </row>
    <row r="75" spans="1:131" s="91" customFormat="1" ht="16.25" hidden="1" customHeight="1" x14ac:dyDescent="0.4">
      <c r="A75" s="32" t="s">
        <v>97</v>
      </c>
      <c r="B75" s="32" t="s">
        <v>391</v>
      </c>
      <c r="C75" s="32" t="s">
        <v>172</v>
      </c>
      <c r="D75" s="16" t="s">
        <v>435</v>
      </c>
      <c r="E75" s="87" t="s">
        <v>436</v>
      </c>
      <c r="F75" s="87" t="s">
        <v>213</v>
      </c>
      <c r="G75" s="32" t="s">
        <v>101</v>
      </c>
      <c r="H75" s="32" t="s">
        <v>102</v>
      </c>
      <c r="I75" s="51" t="s">
        <v>103</v>
      </c>
      <c r="J75" s="33"/>
      <c r="K75" s="36"/>
      <c r="L75" s="36"/>
      <c r="M75" s="36"/>
      <c r="N75" s="36"/>
      <c r="O75" s="38" t="s">
        <v>103</v>
      </c>
      <c r="P75" s="32" t="s">
        <v>189</v>
      </c>
      <c r="Q75" s="129">
        <f t="shared" si="72"/>
        <v>45.829000000000001</v>
      </c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32"/>
      <c r="AD75" s="37"/>
      <c r="AE75" s="37"/>
      <c r="AF75" s="39"/>
      <c r="AG75" s="39"/>
      <c r="AH75" s="87"/>
      <c r="AI75" s="161"/>
      <c r="AJ75" s="37"/>
      <c r="AK75" s="46"/>
      <c r="AL75" s="47"/>
      <c r="AM75" s="162"/>
      <c r="AN75" s="39"/>
      <c r="AO75" s="97"/>
      <c r="AP75" s="39"/>
      <c r="AQ75" s="159"/>
      <c r="AR75" s="45"/>
      <c r="AS75" s="46"/>
      <c r="AT75" s="37"/>
      <c r="AU75" s="48"/>
      <c r="AV75" s="49"/>
      <c r="AW75" s="48"/>
      <c r="AY75" s="45"/>
      <c r="AZ75" s="46"/>
      <c r="BA75" s="37"/>
      <c r="BB75" s="39"/>
      <c r="BC75" s="50"/>
      <c r="BE75" s="45"/>
      <c r="BF75" s="46"/>
      <c r="BG75" s="37"/>
      <c r="BH75" s="37"/>
      <c r="BI75" s="39"/>
      <c r="BJ75" s="39"/>
      <c r="BK75" s="50"/>
      <c r="BM75" s="45"/>
      <c r="BN75" s="46"/>
      <c r="BO75" s="37"/>
      <c r="BP75" s="37"/>
      <c r="BQ75" s="92"/>
      <c r="BR75" s="34"/>
      <c r="BS75" s="50"/>
      <c r="BU75" s="45"/>
      <c r="BV75" s="46"/>
      <c r="BW75" s="118"/>
      <c r="BX75" s="118"/>
      <c r="BY75" s="50"/>
      <c r="CA75" s="45">
        <v>47.365000000000002</v>
      </c>
      <c r="CB75" s="46">
        <v>1</v>
      </c>
      <c r="CC75" s="118">
        <f>CA75*CB75</f>
        <v>47.365000000000002</v>
      </c>
      <c r="CD75" s="118"/>
      <c r="CE75" s="92">
        <f>CC75-BW75</f>
        <v>47.365000000000002</v>
      </c>
      <c r="CF75" s="92">
        <f>CC75-BO75</f>
        <v>47.365000000000002</v>
      </c>
      <c r="CG75" s="50"/>
      <c r="CI75" s="160">
        <v>47.365000000000002</v>
      </c>
      <c r="CJ75" s="164">
        <v>1</v>
      </c>
      <c r="CK75" s="165">
        <f t="shared" si="47"/>
        <v>47.365000000000002</v>
      </c>
      <c r="CL75" s="92">
        <f>CK75-CC75</f>
        <v>0</v>
      </c>
      <c r="CM75" s="50"/>
      <c r="CN75" s="139"/>
      <c r="CO75" s="160">
        <v>46.213999999999999</v>
      </c>
      <c r="CP75" s="164">
        <v>1</v>
      </c>
      <c r="CQ75" s="165">
        <f t="shared" si="49"/>
        <v>46.213999999999999</v>
      </c>
      <c r="CR75" s="168">
        <f t="shared" si="50"/>
        <v>-1.1510000000000034</v>
      </c>
      <c r="CS75" s="139"/>
      <c r="CT75" s="139"/>
      <c r="CU75" s="160">
        <v>46.213999999999999</v>
      </c>
      <c r="CV75" s="164">
        <v>1</v>
      </c>
      <c r="CW75" s="165">
        <f t="shared" si="42"/>
        <v>46.213999999999999</v>
      </c>
      <c r="CX75" s="160">
        <v>45.829000000000001</v>
      </c>
      <c r="CY75" s="164">
        <v>1</v>
      </c>
      <c r="CZ75" s="165">
        <f t="shared" si="41"/>
        <v>45.829000000000001</v>
      </c>
      <c r="DA75" s="168">
        <f t="shared" si="52"/>
        <v>-0.38499999999999801</v>
      </c>
      <c r="DB75" s="168">
        <f t="shared" si="53"/>
        <v>-0.38499999999999801</v>
      </c>
      <c r="DC75" s="168"/>
      <c r="DD75" s="139"/>
      <c r="DE75" s="139"/>
      <c r="DF75" s="160">
        <v>52</v>
      </c>
      <c r="DG75" s="164">
        <v>1</v>
      </c>
      <c r="DH75" s="165">
        <f t="shared" si="68"/>
        <v>52</v>
      </c>
      <c r="DI75" s="168">
        <f t="shared" si="69"/>
        <v>6.1709999999999994</v>
      </c>
      <c r="DJ75" s="168">
        <f t="shared" si="70"/>
        <v>5.7860000000000014</v>
      </c>
      <c r="DK75" s="168"/>
      <c r="DL75" s="168"/>
      <c r="DM75" s="168"/>
      <c r="DN75" s="168">
        <f t="shared" si="71"/>
        <v>45.829000000000001</v>
      </c>
      <c r="DO75" s="165">
        <v>2.1850000000000001</v>
      </c>
      <c r="DP75" s="165">
        <v>0</v>
      </c>
      <c r="DQ75" s="165">
        <v>-1.151</v>
      </c>
      <c r="DR75" s="165">
        <v>-0.38500000000000001</v>
      </c>
      <c r="DS75" s="165">
        <v>45.18</v>
      </c>
      <c r="DT75" s="165">
        <v>0</v>
      </c>
      <c r="DU75" s="165">
        <v>0</v>
      </c>
      <c r="DV75" s="165">
        <v>0</v>
      </c>
      <c r="DW75" s="165">
        <v>0</v>
      </c>
      <c r="DX75" s="165">
        <v>0</v>
      </c>
      <c r="DY75" s="165">
        <v>0</v>
      </c>
      <c r="DZ75" s="165">
        <v>0</v>
      </c>
      <c r="EA75" s="168"/>
    </row>
    <row r="76" spans="1:131" s="91" customFormat="1" ht="16.25" hidden="1" customHeight="1" x14ac:dyDescent="0.4">
      <c r="A76" s="32" t="s">
        <v>97</v>
      </c>
      <c r="B76" s="32" t="s">
        <v>391</v>
      </c>
      <c r="C76" s="32" t="s">
        <v>15</v>
      </c>
      <c r="D76" s="16" t="s">
        <v>437</v>
      </c>
      <c r="E76" s="87" t="s">
        <v>438</v>
      </c>
      <c r="F76" s="87" t="s">
        <v>110</v>
      </c>
      <c r="G76" s="32" t="s">
        <v>101</v>
      </c>
      <c r="H76" s="32" t="s">
        <v>102</v>
      </c>
      <c r="I76" s="51" t="s">
        <v>103</v>
      </c>
      <c r="J76" s="33"/>
      <c r="K76" s="36"/>
      <c r="L76" s="36"/>
      <c r="M76" s="36"/>
      <c r="N76" s="36"/>
      <c r="O76" s="38" t="s">
        <v>103</v>
      </c>
      <c r="P76" s="32" t="s">
        <v>189</v>
      </c>
      <c r="Q76" s="129">
        <f t="shared" si="72"/>
        <v>16.559000000000001</v>
      </c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  <c r="AC76" s="32"/>
      <c r="AD76" s="37"/>
      <c r="AE76" s="37"/>
      <c r="AF76" s="39"/>
      <c r="AG76" s="39"/>
      <c r="AH76" s="87"/>
      <c r="AI76" s="161"/>
      <c r="AJ76" s="37"/>
      <c r="AK76" s="46"/>
      <c r="AL76" s="47"/>
      <c r="AM76" s="162"/>
      <c r="AN76" s="39"/>
      <c r="AO76" s="97"/>
      <c r="AP76" s="39"/>
      <c r="AQ76" s="159"/>
      <c r="AR76" s="45"/>
      <c r="AS76" s="46"/>
      <c r="AT76" s="37"/>
      <c r="AU76" s="48"/>
      <c r="AV76" s="49"/>
      <c r="AW76" s="48"/>
      <c r="AY76" s="45"/>
      <c r="AZ76" s="46"/>
      <c r="BA76" s="37"/>
      <c r="BB76" s="39"/>
      <c r="BC76" s="50"/>
      <c r="BE76" s="45"/>
      <c r="BF76" s="46"/>
      <c r="BG76" s="37"/>
      <c r="BH76" s="37"/>
      <c r="BI76" s="39"/>
      <c r="BJ76" s="39"/>
      <c r="BK76" s="50"/>
      <c r="BM76" s="45"/>
      <c r="BN76" s="46"/>
      <c r="BO76" s="37"/>
      <c r="BP76" s="37"/>
      <c r="BQ76" s="92"/>
      <c r="BR76" s="34"/>
      <c r="BS76" s="50"/>
      <c r="BU76" s="45"/>
      <c r="BV76" s="46"/>
      <c r="BW76" s="118"/>
      <c r="BX76" s="118"/>
      <c r="BY76" s="50"/>
      <c r="CA76" s="45">
        <v>15.84</v>
      </c>
      <c r="CB76" s="46">
        <v>1</v>
      </c>
      <c r="CC76" s="118">
        <f>CA76*CB76</f>
        <v>15.84</v>
      </c>
      <c r="CD76" s="118"/>
      <c r="CE76" s="92">
        <f>CC76-BW76</f>
        <v>15.84</v>
      </c>
      <c r="CF76" s="92">
        <f>CC76-BO76</f>
        <v>15.84</v>
      </c>
      <c r="CG76" s="50"/>
      <c r="CI76" s="160">
        <v>15.84</v>
      </c>
      <c r="CJ76" s="164">
        <v>1</v>
      </c>
      <c r="CK76" s="165">
        <f t="shared" si="47"/>
        <v>15.84</v>
      </c>
      <c r="CL76" s="92">
        <f>CK76-CC76</f>
        <v>0</v>
      </c>
      <c r="CM76" s="50"/>
      <c r="CN76" s="139"/>
      <c r="CO76" s="160">
        <v>15.84</v>
      </c>
      <c r="CP76" s="164">
        <v>1</v>
      </c>
      <c r="CQ76" s="165">
        <f t="shared" si="49"/>
        <v>15.84</v>
      </c>
      <c r="CR76" s="168">
        <f t="shared" si="50"/>
        <v>0</v>
      </c>
      <c r="CS76" s="139"/>
      <c r="CT76" s="139"/>
      <c r="CU76" s="160">
        <v>15.84</v>
      </c>
      <c r="CV76" s="164">
        <v>1</v>
      </c>
      <c r="CW76" s="165">
        <f t="shared" si="42"/>
        <v>15.84</v>
      </c>
      <c r="CX76" s="160">
        <v>16.559000000000001</v>
      </c>
      <c r="CY76" s="164">
        <v>1</v>
      </c>
      <c r="CZ76" s="165">
        <f t="shared" si="41"/>
        <v>16.559000000000001</v>
      </c>
      <c r="DA76" s="168">
        <f t="shared" si="52"/>
        <v>0.71900000000000119</v>
      </c>
      <c r="DB76" s="168">
        <f t="shared" si="53"/>
        <v>0.71900000000000119</v>
      </c>
      <c r="DC76" s="168"/>
      <c r="DD76" s="139"/>
      <c r="DE76" s="139"/>
      <c r="DF76" s="160">
        <v>16.559000000000001</v>
      </c>
      <c r="DG76" s="164">
        <v>1</v>
      </c>
      <c r="DH76" s="165">
        <f t="shared" si="68"/>
        <v>16.559000000000001</v>
      </c>
      <c r="DI76" s="168">
        <f t="shared" si="69"/>
        <v>0</v>
      </c>
      <c r="DJ76" s="168">
        <f t="shared" si="70"/>
        <v>0.71900000000000119</v>
      </c>
      <c r="DK76" s="168"/>
      <c r="DL76" s="168"/>
      <c r="DM76" s="168"/>
      <c r="DN76" s="168">
        <f t="shared" si="71"/>
        <v>16.559000000000001</v>
      </c>
      <c r="DO76" s="165">
        <v>15.84</v>
      </c>
      <c r="DP76" s="165">
        <v>0</v>
      </c>
      <c r="DQ76" s="165">
        <v>0</v>
      </c>
      <c r="DR76" s="165">
        <v>0.71899999999999997</v>
      </c>
      <c r="DS76" s="165">
        <v>0</v>
      </c>
      <c r="DT76" s="165">
        <v>0</v>
      </c>
      <c r="DU76" s="165">
        <v>0</v>
      </c>
      <c r="DV76" s="165">
        <v>0</v>
      </c>
      <c r="DW76" s="165">
        <v>0</v>
      </c>
      <c r="DX76" s="165">
        <v>0</v>
      </c>
      <c r="DY76" s="165">
        <v>0</v>
      </c>
      <c r="DZ76" s="165">
        <v>0</v>
      </c>
      <c r="EA76" s="168"/>
    </row>
    <row r="77" spans="1:131" s="91" customFormat="1" ht="16.25" hidden="1" customHeight="1" x14ac:dyDescent="0.4">
      <c r="A77" s="32" t="s">
        <v>97</v>
      </c>
      <c r="B77" s="32" t="s">
        <v>391</v>
      </c>
      <c r="C77" s="32" t="s">
        <v>172</v>
      </c>
      <c r="D77" s="16" t="s">
        <v>439</v>
      </c>
      <c r="E77" s="87" t="s">
        <v>440</v>
      </c>
      <c r="F77" s="87" t="s">
        <v>175</v>
      </c>
      <c r="G77" s="32" t="s">
        <v>101</v>
      </c>
      <c r="H77" s="32"/>
      <c r="I77" s="51"/>
      <c r="J77" s="33"/>
      <c r="K77" s="36"/>
      <c r="L77" s="36"/>
      <c r="M77" s="36"/>
      <c r="N77" s="36"/>
      <c r="O77" s="38" t="s">
        <v>103</v>
      </c>
      <c r="P77" s="32" t="s">
        <v>189</v>
      </c>
      <c r="Q77" s="129">
        <f t="shared" si="72"/>
        <v>0.753</v>
      </c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32"/>
      <c r="AD77" s="37"/>
      <c r="AE77" s="37"/>
      <c r="AF77" s="39"/>
      <c r="AG77" s="39"/>
      <c r="AH77" s="87"/>
      <c r="AI77" s="161"/>
      <c r="AJ77" s="37"/>
      <c r="AK77" s="46"/>
      <c r="AL77" s="47"/>
      <c r="AM77" s="162"/>
      <c r="AN77" s="39"/>
      <c r="AO77" s="97"/>
      <c r="AP77" s="39"/>
      <c r="AQ77" s="159"/>
      <c r="AR77" s="45"/>
      <c r="AS77" s="46"/>
      <c r="AT77" s="37"/>
      <c r="AU77" s="48"/>
      <c r="AV77" s="49"/>
      <c r="AW77" s="48"/>
      <c r="AY77" s="45"/>
      <c r="AZ77" s="46"/>
      <c r="BA77" s="37"/>
      <c r="BB77" s="39"/>
      <c r="BC77" s="50"/>
      <c r="BE77" s="45"/>
      <c r="BF77" s="46"/>
      <c r="BG77" s="37"/>
      <c r="BH77" s="37"/>
      <c r="BI77" s="39"/>
      <c r="BJ77" s="39"/>
      <c r="BK77" s="50"/>
      <c r="BM77" s="45"/>
      <c r="BN77" s="46"/>
      <c r="BO77" s="37"/>
      <c r="BP77" s="37"/>
      <c r="BQ77" s="92"/>
      <c r="BR77" s="34"/>
      <c r="BS77" s="50"/>
      <c r="BU77" s="45"/>
      <c r="BV77" s="46"/>
      <c r="BW77" s="118"/>
      <c r="BX77" s="118"/>
      <c r="BY77" s="50"/>
      <c r="CA77" s="45"/>
      <c r="CB77" s="46"/>
      <c r="CC77" s="118"/>
      <c r="CD77" s="118"/>
      <c r="CE77" s="92"/>
      <c r="CF77" s="92"/>
      <c r="CG77" s="50"/>
      <c r="CI77" s="160">
        <v>0</v>
      </c>
      <c r="CJ77" s="212">
        <v>0</v>
      </c>
      <c r="CK77" s="165">
        <f t="shared" si="47"/>
        <v>0</v>
      </c>
      <c r="CL77" s="92"/>
      <c r="CM77" s="50"/>
      <c r="CN77" s="139"/>
      <c r="CO77" s="160">
        <v>0.753</v>
      </c>
      <c r="CP77" s="164">
        <v>1</v>
      </c>
      <c r="CQ77" s="165">
        <f t="shared" si="49"/>
        <v>0.753</v>
      </c>
      <c r="CR77" s="168">
        <f t="shared" si="50"/>
        <v>0.753</v>
      </c>
      <c r="CS77" s="139"/>
      <c r="CT77" s="139"/>
      <c r="CU77" s="160">
        <v>0.753</v>
      </c>
      <c r="CV77" s="164">
        <v>1</v>
      </c>
      <c r="CW77" s="165">
        <f t="shared" si="42"/>
        <v>0.753</v>
      </c>
      <c r="CX77" s="160">
        <v>0.753</v>
      </c>
      <c r="CY77" s="164">
        <v>1</v>
      </c>
      <c r="CZ77" s="165">
        <f t="shared" si="41"/>
        <v>0.753</v>
      </c>
      <c r="DA77" s="168">
        <f t="shared" si="52"/>
        <v>0</v>
      </c>
      <c r="DB77" s="168">
        <f t="shared" si="53"/>
        <v>0</v>
      </c>
      <c r="DC77" s="168"/>
      <c r="DD77" s="139"/>
      <c r="DE77" s="139"/>
      <c r="DF77" s="160">
        <v>0.753</v>
      </c>
      <c r="DG77" s="164">
        <v>1</v>
      </c>
      <c r="DH77" s="165">
        <f t="shared" si="68"/>
        <v>0.753</v>
      </c>
      <c r="DI77" s="168">
        <f t="shared" si="69"/>
        <v>0</v>
      </c>
      <c r="DJ77" s="168">
        <f t="shared" si="70"/>
        <v>0</v>
      </c>
      <c r="DK77" s="168"/>
      <c r="DL77" s="168"/>
      <c r="DM77" s="168"/>
      <c r="DN77" s="168">
        <f t="shared" si="71"/>
        <v>0.753</v>
      </c>
      <c r="DO77" s="165">
        <v>0</v>
      </c>
      <c r="DP77" s="165">
        <v>0.753</v>
      </c>
      <c r="DQ77" s="165">
        <v>0</v>
      </c>
      <c r="DR77" s="165">
        <v>0</v>
      </c>
      <c r="DS77" s="165">
        <v>0</v>
      </c>
      <c r="DT77" s="165">
        <v>0</v>
      </c>
      <c r="DU77" s="165">
        <v>0</v>
      </c>
      <c r="DV77" s="165">
        <v>0</v>
      </c>
      <c r="DW77" s="165">
        <v>0</v>
      </c>
      <c r="DX77" s="165">
        <v>0</v>
      </c>
      <c r="DY77" s="165">
        <v>0</v>
      </c>
      <c r="DZ77" s="165">
        <v>0</v>
      </c>
      <c r="EA77" s="168"/>
    </row>
    <row r="78" spans="1:131" s="91" customFormat="1" ht="16.25" hidden="1" customHeight="1" x14ac:dyDescent="0.4">
      <c r="A78" s="32" t="s">
        <v>97</v>
      </c>
      <c r="B78" s="32" t="s">
        <v>391</v>
      </c>
      <c r="C78" s="32" t="s">
        <v>172</v>
      </c>
      <c r="D78" s="16" t="s">
        <v>441</v>
      </c>
      <c r="E78" s="87" t="s">
        <v>1014</v>
      </c>
      <c r="F78" s="87" t="s">
        <v>175</v>
      </c>
      <c r="G78" s="32" t="s">
        <v>101</v>
      </c>
      <c r="H78" s="32"/>
      <c r="I78" s="51"/>
      <c r="J78" s="33"/>
      <c r="K78" s="36"/>
      <c r="L78" s="36"/>
      <c r="M78" s="36"/>
      <c r="N78" s="36"/>
      <c r="O78" s="38" t="s">
        <v>103</v>
      </c>
      <c r="P78" s="32" t="s">
        <v>189</v>
      </c>
      <c r="Q78" s="129">
        <f t="shared" si="72"/>
        <v>4.6950000000000003</v>
      </c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32"/>
      <c r="AD78" s="37"/>
      <c r="AE78" s="37"/>
      <c r="AF78" s="39"/>
      <c r="AG78" s="39"/>
      <c r="AH78" s="87"/>
      <c r="AI78" s="161"/>
      <c r="AJ78" s="37"/>
      <c r="AK78" s="46"/>
      <c r="AL78" s="47"/>
      <c r="AM78" s="162"/>
      <c r="AN78" s="39"/>
      <c r="AO78" s="97"/>
      <c r="AP78" s="39"/>
      <c r="AQ78" s="159"/>
      <c r="AR78" s="45"/>
      <c r="AS78" s="46"/>
      <c r="AT78" s="37"/>
      <c r="AU78" s="48"/>
      <c r="AV78" s="49"/>
      <c r="AW78" s="48"/>
      <c r="AY78" s="45"/>
      <c r="AZ78" s="46"/>
      <c r="BA78" s="37"/>
      <c r="BB78" s="39"/>
      <c r="BC78" s="50"/>
      <c r="BE78" s="45"/>
      <c r="BF78" s="46"/>
      <c r="BG78" s="37"/>
      <c r="BH78" s="37"/>
      <c r="BI78" s="39"/>
      <c r="BJ78" s="39"/>
      <c r="BK78" s="50"/>
      <c r="BM78" s="45"/>
      <c r="BN78" s="46"/>
      <c r="BO78" s="37"/>
      <c r="BP78" s="37"/>
      <c r="BQ78" s="92"/>
      <c r="BR78" s="34"/>
      <c r="BS78" s="50"/>
      <c r="BU78" s="45"/>
      <c r="BV78" s="46"/>
      <c r="BW78" s="118"/>
      <c r="BX78" s="118"/>
      <c r="BY78" s="50"/>
      <c r="CA78" s="45"/>
      <c r="CB78" s="46"/>
      <c r="CC78" s="118"/>
      <c r="CD78" s="118"/>
      <c r="CE78" s="92"/>
      <c r="CF78" s="92"/>
      <c r="CG78" s="50"/>
      <c r="CI78" s="160">
        <v>0</v>
      </c>
      <c r="CJ78" s="212">
        <v>0</v>
      </c>
      <c r="CK78" s="165">
        <f t="shared" si="47"/>
        <v>0</v>
      </c>
      <c r="CL78" s="92"/>
      <c r="CM78" s="50"/>
      <c r="CN78" s="139"/>
      <c r="CO78" s="160">
        <v>-5.6479999999999997</v>
      </c>
      <c r="CP78" s="164">
        <v>1</v>
      </c>
      <c r="CQ78" s="165">
        <f t="shared" si="49"/>
        <v>-5.6479999999999997</v>
      </c>
      <c r="CR78" s="168">
        <f t="shared" si="50"/>
        <v>-5.6479999999999997</v>
      </c>
      <c r="CS78" s="139"/>
      <c r="CT78" s="139"/>
      <c r="CU78" s="160">
        <v>-5.6479999999999997</v>
      </c>
      <c r="CV78" s="164">
        <v>1</v>
      </c>
      <c r="CW78" s="165">
        <f t="shared" si="42"/>
        <v>-5.6479999999999997</v>
      </c>
      <c r="CX78" s="160">
        <v>4.6950000000000003</v>
      </c>
      <c r="CY78" s="164">
        <v>1</v>
      </c>
      <c r="CZ78" s="165">
        <f t="shared" si="41"/>
        <v>4.6950000000000003</v>
      </c>
      <c r="DA78" s="168">
        <f t="shared" si="52"/>
        <v>10.343</v>
      </c>
      <c r="DB78" s="168">
        <f t="shared" si="53"/>
        <v>10.343</v>
      </c>
      <c r="DC78" s="168"/>
      <c r="DD78" s="139"/>
      <c r="DE78" s="139"/>
      <c r="DF78" s="160">
        <v>4.6950000000000003</v>
      </c>
      <c r="DG78" s="164">
        <v>1</v>
      </c>
      <c r="DH78" s="165">
        <f t="shared" si="68"/>
        <v>4.6950000000000003</v>
      </c>
      <c r="DI78" s="168">
        <f t="shared" si="69"/>
        <v>0</v>
      </c>
      <c r="DJ78" s="168">
        <f t="shared" si="70"/>
        <v>10.343</v>
      </c>
      <c r="DK78" s="168"/>
      <c r="DL78" s="168"/>
      <c r="DM78" s="168"/>
      <c r="DN78" s="168">
        <f t="shared" si="71"/>
        <v>4.6950000000000003</v>
      </c>
      <c r="DO78" s="165">
        <v>-5.6479999999999997</v>
      </c>
      <c r="DP78" s="165">
        <v>0</v>
      </c>
      <c r="DQ78" s="165">
        <v>10.343</v>
      </c>
      <c r="DR78" s="165">
        <v>0</v>
      </c>
      <c r="DS78" s="165">
        <v>0</v>
      </c>
      <c r="DT78" s="165">
        <v>0</v>
      </c>
      <c r="DU78" s="165">
        <v>0</v>
      </c>
      <c r="DV78" s="165">
        <v>0</v>
      </c>
      <c r="DW78" s="165">
        <v>0</v>
      </c>
      <c r="DX78" s="165">
        <v>0</v>
      </c>
      <c r="DY78" s="165">
        <v>0</v>
      </c>
      <c r="DZ78" s="165">
        <v>0</v>
      </c>
      <c r="EA78" s="168"/>
    </row>
    <row r="79" spans="1:131" s="91" customFormat="1" ht="16.25" hidden="1" customHeight="1" x14ac:dyDescent="0.4">
      <c r="A79" s="32" t="s">
        <v>97</v>
      </c>
      <c r="B79" s="32" t="s">
        <v>391</v>
      </c>
      <c r="C79" s="32" t="s">
        <v>172</v>
      </c>
      <c r="D79" s="16" t="s">
        <v>442</v>
      </c>
      <c r="E79" s="87" t="s">
        <v>188</v>
      </c>
      <c r="F79" s="87" t="s">
        <v>175</v>
      </c>
      <c r="G79" s="32" t="s">
        <v>101</v>
      </c>
      <c r="H79" s="32" t="s">
        <v>102</v>
      </c>
      <c r="I79" s="51" t="s">
        <v>103</v>
      </c>
      <c r="J79" s="38"/>
      <c r="K79" s="36"/>
      <c r="L79" s="36"/>
      <c r="M79" s="36"/>
      <c r="N79" s="50"/>
      <c r="O79" s="38" t="s">
        <v>103</v>
      </c>
      <c r="P79" s="32" t="s">
        <v>189</v>
      </c>
      <c r="Q79" s="129">
        <f t="shared" si="72"/>
        <v>594.78499999999997</v>
      </c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32"/>
      <c r="AD79" s="37"/>
      <c r="AE79" s="37"/>
      <c r="AF79" s="39"/>
      <c r="AG79" s="39"/>
      <c r="AH79" s="158"/>
      <c r="AI79" s="161"/>
      <c r="AJ79" s="37"/>
      <c r="AK79" s="46"/>
      <c r="AL79" s="47"/>
      <c r="AM79" s="162"/>
      <c r="AN79" s="39" t="e">
        <f>VLOOKUP(D79,'May FF'!B$2:E$201,2,0)</f>
        <v>#N/A</v>
      </c>
      <c r="AO79" s="97" t="e">
        <f>VLOOKUP(D79,'May FF'!B39:E238,3,0)</f>
        <v>#N/A</v>
      </c>
      <c r="AP79" s="39" t="e">
        <f>VLOOKUP($D79,'May FF'!$B$2:$E$201,4,0)</f>
        <v>#N/A</v>
      </c>
      <c r="AQ79" s="159"/>
      <c r="AR79" s="45"/>
      <c r="AS79" s="52"/>
      <c r="AT79" s="45"/>
      <c r="AU79" s="48"/>
      <c r="AV79" s="49"/>
      <c r="AW79" s="48"/>
      <c r="AY79" s="45"/>
      <c r="AZ79" s="52"/>
      <c r="BA79" s="45"/>
      <c r="BB79" s="39"/>
      <c r="BC79" s="67"/>
      <c r="BD79" s="139"/>
      <c r="BE79" s="45">
        <v>500</v>
      </c>
      <c r="BF79" s="52">
        <v>1</v>
      </c>
      <c r="BG79" s="45">
        <f>BE79*BF79</f>
        <v>500</v>
      </c>
      <c r="BH79" s="76">
        <v>176</v>
      </c>
      <c r="BI79" s="39">
        <f>BG79-BA79</f>
        <v>500</v>
      </c>
      <c r="BJ79" s="39" t="s">
        <v>396</v>
      </c>
      <c r="BK79" s="67"/>
      <c r="BM79" s="45">
        <v>487</v>
      </c>
      <c r="BN79" s="52">
        <v>1</v>
      </c>
      <c r="BO79" s="45">
        <f t="shared" ref="BO79:BO85" si="73">BM79*BN79</f>
        <v>487</v>
      </c>
      <c r="BP79" s="45">
        <v>487</v>
      </c>
      <c r="BQ79" s="92">
        <f t="shared" ref="BQ79:BQ85" si="74">BO79-BA79</f>
        <v>487</v>
      </c>
      <c r="BR79" s="34" t="s">
        <v>106</v>
      </c>
      <c r="BS79" s="59" t="s">
        <v>397</v>
      </c>
      <c r="BU79" s="45">
        <v>455</v>
      </c>
      <c r="BV79" s="52">
        <v>1</v>
      </c>
      <c r="BW79" s="118">
        <f t="shared" ref="BW79:BW85" si="75">BU79*BV79</f>
        <v>455</v>
      </c>
      <c r="BX79" s="118">
        <f t="shared" ref="BX79:BX85" si="76">BW79-BO79</f>
        <v>-32</v>
      </c>
      <c r="BY79" s="50"/>
      <c r="CA79" s="45">
        <v>455</v>
      </c>
      <c r="CB79" s="52">
        <v>1</v>
      </c>
      <c r="CC79" s="118">
        <f t="shared" ref="CC79:CC85" si="77">CA79*CB79</f>
        <v>455</v>
      </c>
      <c r="CD79" s="118"/>
      <c r="CE79" s="92">
        <f t="shared" ref="CE79:CE85" si="78">CC79-BW79</f>
        <v>0</v>
      </c>
      <c r="CF79" s="92">
        <f t="shared" ref="CF79:CF85" si="79">CC79-BO79</f>
        <v>-32</v>
      </c>
      <c r="CG79" s="50"/>
      <c r="CI79" s="165">
        <v>548.33900000000006</v>
      </c>
      <c r="CJ79" s="167">
        <v>1</v>
      </c>
      <c r="CK79" s="165">
        <f t="shared" si="47"/>
        <v>548.33900000000006</v>
      </c>
      <c r="CL79" s="92">
        <f t="shared" ref="CL79:CL104" si="80">CK79-CC79</f>
        <v>93.339000000000055</v>
      </c>
      <c r="CM79" s="50"/>
      <c r="CN79" s="139"/>
      <c r="CO79" s="165">
        <v>543.50400000000002</v>
      </c>
      <c r="CP79" s="167">
        <v>1</v>
      </c>
      <c r="CQ79" s="165">
        <f t="shared" si="49"/>
        <v>543.50400000000002</v>
      </c>
      <c r="CR79" s="168">
        <f t="shared" si="50"/>
        <v>-4.8350000000000364</v>
      </c>
      <c r="CS79" s="139"/>
      <c r="CT79" s="139"/>
      <c r="CU79" s="165">
        <v>543.50400000000002</v>
      </c>
      <c r="CV79" s="167">
        <v>1</v>
      </c>
      <c r="CW79" s="165">
        <f t="shared" si="42"/>
        <v>543.50400000000002</v>
      </c>
      <c r="CX79" s="165">
        <v>594.78499999999997</v>
      </c>
      <c r="CY79" s="167">
        <v>1</v>
      </c>
      <c r="CZ79" s="165">
        <f t="shared" si="41"/>
        <v>594.78499999999997</v>
      </c>
      <c r="DA79" s="168">
        <f t="shared" si="52"/>
        <v>51.280999999999949</v>
      </c>
      <c r="DB79" s="168">
        <f t="shared" si="53"/>
        <v>51.280999999999949</v>
      </c>
      <c r="DC79" s="168"/>
      <c r="DD79" s="139"/>
      <c r="DE79" s="139"/>
      <c r="DF79" s="165">
        <v>524</v>
      </c>
      <c r="DG79" s="167">
        <v>1</v>
      </c>
      <c r="DH79" s="165">
        <f t="shared" si="68"/>
        <v>524</v>
      </c>
      <c r="DI79" s="168">
        <f t="shared" si="69"/>
        <v>-70.784999999999968</v>
      </c>
      <c r="DJ79" s="168">
        <f t="shared" si="70"/>
        <v>-19.504000000000019</v>
      </c>
      <c r="DK79" s="168"/>
      <c r="DL79" s="168"/>
      <c r="DM79" s="168"/>
      <c r="DN79" s="168">
        <f t="shared" si="71"/>
        <v>594.78499999999997</v>
      </c>
      <c r="DO79" s="165">
        <v>23.981000000000002</v>
      </c>
      <c r="DP79" s="165">
        <v>52.101999999999997</v>
      </c>
      <c r="DQ79" s="165">
        <v>170.43899999999999</v>
      </c>
      <c r="DR79" s="165">
        <v>51.545000000000002</v>
      </c>
      <c r="DS79" s="165">
        <v>67.778000000000006</v>
      </c>
      <c r="DT79" s="165">
        <v>146.93600000000001</v>
      </c>
      <c r="DU79" s="165">
        <v>0</v>
      </c>
      <c r="DV79" s="165">
        <v>0</v>
      </c>
      <c r="DW79" s="165">
        <v>0</v>
      </c>
      <c r="DX79" s="165">
        <v>44.002000000000002</v>
      </c>
      <c r="DY79" s="165">
        <v>38.002000000000002</v>
      </c>
      <c r="DZ79" s="165">
        <v>0</v>
      </c>
      <c r="EA79" s="168" t="s">
        <v>1015</v>
      </c>
    </row>
    <row r="80" spans="1:131" s="91" customFormat="1" ht="16.25" hidden="1" customHeight="1" x14ac:dyDescent="0.4">
      <c r="A80" s="32" t="s">
        <v>97</v>
      </c>
      <c r="B80" s="32" t="s">
        <v>391</v>
      </c>
      <c r="C80" s="32" t="s">
        <v>172</v>
      </c>
      <c r="D80" s="16" t="s">
        <v>443</v>
      </c>
      <c r="E80" s="87" t="s">
        <v>1016</v>
      </c>
      <c r="F80" s="87" t="s">
        <v>213</v>
      </c>
      <c r="G80" s="32" t="s">
        <v>101</v>
      </c>
      <c r="H80" s="32" t="s">
        <v>102</v>
      </c>
      <c r="I80" s="51" t="s">
        <v>103</v>
      </c>
      <c r="J80" s="38" t="s">
        <v>447</v>
      </c>
      <c r="K80" s="36"/>
      <c r="L80" s="36"/>
      <c r="M80" s="36"/>
      <c r="N80" s="36" t="s">
        <v>149</v>
      </c>
      <c r="O80" s="38" t="s">
        <v>103</v>
      </c>
      <c r="P80" s="32" t="s">
        <v>189</v>
      </c>
      <c r="Q80" s="129">
        <f t="shared" si="72"/>
        <v>50.641999999999996</v>
      </c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32"/>
      <c r="AD80" s="45">
        <v>80</v>
      </c>
      <c r="AE80" s="37"/>
      <c r="AF80" s="41"/>
      <c r="AG80" s="41"/>
      <c r="AH80" s="158"/>
      <c r="AI80" s="161"/>
      <c r="AJ80" s="37">
        <v>50</v>
      </c>
      <c r="AK80" s="46">
        <v>0.9</v>
      </c>
      <c r="AL80" s="47">
        <f>AJ80*AK80</f>
        <v>45</v>
      </c>
      <c r="AM80" s="162"/>
      <c r="AN80" s="39" t="e">
        <f>VLOOKUP(D80,'May FF'!B$2:E$201,2,0)</f>
        <v>#N/A</v>
      </c>
      <c r="AO80" s="97" t="e">
        <f>VLOOKUP(D80,'May FF'!B40:E239,3,0)</f>
        <v>#N/A</v>
      </c>
      <c r="AP80" s="39" t="e">
        <f>VLOOKUP($D80,'May FF'!$B$2:$E$201,4,0)</f>
        <v>#N/A</v>
      </c>
      <c r="AQ80" s="161"/>
      <c r="AR80" s="45">
        <v>30</v>
      </c>
      <c r="AS80" s="52">
        <v>0.9</v>
      </c>
      <c r="AT80" s="45">
        <f>AR80*AS80</f>
        <v>27</v>
      </c>
      <c r="AU80" s="48"/>
      <c r="AV80" s="49">
        <f>AU80*AS80</f>
        <v>0</v>
      </c>
      <c r="AW80" s="48"/>
      <c r="AY80" s="45"/>
      <c r="AZ80" s="52"/>
      <c r="BA80" s="45"/>
      <c r="BB80" s="39">
        <f>BA80-AT80</f>
        <v>-27</v>
      </c>
      <c r="BC80" s="50"/>
      <c r="BE80" s="45">
        <v>130</v>
      </c>
      <c r="BF80" s="52">
        <v>1</v>
      </c>
      <c r="BG80" s="45">
        <f>BE80*BF80</f>
        <v>130</v>
      </c>
      <c r="BH80" s="76">
        <v>59</v>
      </c>
      <c r="BI80" s="39">
        <f>BG80-BA80</f>
        <v>130</v>
      </c>
      <c r="BJ80" s="39" t="s">
        <v>396</v>
      </c>
      <c r="BK80" s="50"/>
      <c r="BM80" s="45">
        <v>100</v>
      </c>
      <c r="BN80" s="52">
        <v>1</v>
      </c>
      <c r="BO80" s="45">
        <f t="shared" si="73"/>
        <v>100</v>
      </c>
      <c r="BP80" s="45">
        <v>100</v>
      </c>
      <c r="BQ80" s="92">
        <f t="shared" si="74"/>
        <v>100</v>
      </c>
      <c r="BR80" s="34" t="s">
        <v>106</v>
      </c>
      <c r="BS80" s="59" t="s">
        <v>397</v>
      </c>
      <c r="BU80" s="45">
        <v>100</v>
      </c>
      <c r="BV80" s="52">
        <v>1</v>
      </c>
      <c r="BW80" s="118">
        <f t="shared" si="75"/>
        <v>100</v>
      </c>
      <c r="BX80" s="118">
        <f t="shared" si="76"/>
        <v>0</v>
      </c>
      <c r="BY80" s="50"/>
      <c r="CA80" s="45">
        <v>142</v>
      </c>
      <c r="CB80" s="52">
        <v>1</v>
      </c>
      <c r="CC80" s="118">
        <f t="shared" si="77"/>
        <v>142</v>
      </c>
      <c r="CD80" s="118"/>
      <c r="CE80" s="92">
        <f t="shared" si="78"/>
        <v>42</v>
      </c>
      <c r="CF80" s="92">
        <f t="shared" si="79"/>
        <v>42</v>
      </c>
      <c r="CG80" s="50" t="s">
        <v>448</v>
      </c>
      <c r="CI80" s="160">
        <v>142</v>
      </c>
      <c r="CJ80" s="167">
        <v>1</v>
      </c>
      <c r="CK80" s="165">
        <f t="shared" si="47"/>
        <v>142</v>
      </c>
      <c r="CL80" s="92">
        <f t="shared" si="80"/>
        <v>0</v>
      </c>
      <c r="CM80" s="50"/>
      <c r="CN80" s="139"/>
      <c r="CO80" s="160">
        <v>49.744</v>
      </c>
      <c r="CP80" s="167">
        <v>1</v>
      </c>
      <c r="CQ80" s="165">
        <f t="shared" si="49"/>
        <v>49.744</v>
      </c>
      <c r="CR80" s="168">
        <f t="shared" si="50"/>
        <v>-92.256</v>
      </c>
      <c r="CS80" s="139"/>
      <c r="CT80" s="139"/>
      <c r="CU80" s="160">
        <v>49.744</v>
      </c>
      <c r="CV80" s="167">
        <v>1</v>
      </c>
      <c r="CW80" s="165">
        <f t="shared" si="42"/>
        <v>49.744</v>
      </c>
      <c r="CX80" s="160">
        <v>50.641999999999996</v>
      </c>
      <c r="CY80" s="167">
        <v>1</v>
      </c>
      <c r="CZ80" s="165">
        <f t="shared" ref="CZ80:CZ111" si="81">CX80*CY80</f>
        <v>50.641999999999996</v>
      </c>
      <c r="DA80" s="168">
        <f t="shared" si="52"/>
        <v>0.89799999999999613</v>
      </c>
      <c r="DB80" s="168">
        <f t="shared" si="53"/>
        <v>0.89799999999999613</v>
      </c>
      <c r="DC80" s="168"/>
      <c r="DD80" s="139"/>
      <c r="DE80" s="139"/>
      <c r="DF80" s="160">
        <v>50.641999999999996</v>
      </c>
      <c r="DG80" s="167">
        <v>1</v>
      </c>
      <c r="DH80" s="165">
        <f t="shared" si="68"/>
        <v>50.641999999999996</v>
      </c>
      <c r="DI80" s="168">
        <f t="shared" si="69"/>
        <v>0</v>
      </c>
      <c r="DJ80" s="168">
        <f t="shared" si="70"/>
        <v>0.89799999999999613</v>
      </c>
      <c r="DK80" s="168"/>
      <c r="DL80" s="168"/>
      <c r="DM80" s="168"/>
      <c r="DN80" s="168">
        <f t="shared" si="71"/>
        <v>50.641999999999996</v>
      </c>
      <c r="DO80" s="165">
        <v>9.5609999999999999</v>
      </c>
      <c r="DP80" s="165">
        <v>11.311</v>
      </c>
      <c r="DQ80" s="165">
        <v>-1.1279999999999999</v>
      </c>
      <c r="DR80" s="165">
        <v>0.89800000000000002</v>
      </c>
      <c r="DS80" s="165">
        <v>30</v>
      </c>
      <c r="DT80" s="165">
        <v>0</v>
      </c>
      <c r="DU80" s="165">
        <v>0</v>
      </c>
      <c r="DV80" s="165">
        <v>0</v>
      </c>
      <c r="DW80" s="165">
        <v>0</v>
      </c>
      <c r="DX80" s="165">
        <v>0</v>
      </c>
      <c r="DY80" s="165">
        <v>0</v>
      </c>
      <c r="DZ80" s="165">
        <v>0</v>
      </c>
      <c r="EA80" s="168"/>
    </row>
    <row r="81" spans="1:131" s="91" customFormat="1" ht="16.25" hidden="1" customHeight="1" x14ac:dyDescent="0.4">
      <c r="A81" s="32" t="s">
        <v>97</v>
      </c>
      <c r="B81" s="32" t="s">
        <v>391</v>
      </c>
      <c r="C81" s="32" t="s">
        <v>15</v>
      </c>
      <c r="D81" s="16" t="s">
        <v>443</v>
      </c>
      <c r="E81" s="87" t="s">
        <v>444</v>
      </c>
      <c r="F81" s="87" t="s">
        <v>100</v>
      </c>
      <c r="G81" s="32" t="s">
        <v>101</v>
      </c>
      <c r="H81" s="32" t="s">
        <v>214</v>
      </c>
      <c r="I81" s="51"/>
      <c r="J81" s="38"/>
      <c r="K81" s="36"/>
      <c r="L81" s="36"/>
      <c r="M81" s="36"/>
      <c r="N81" s="36"/>
      <c r="O81" s="33" t="s">
        <v>445</v>
      </c>
      <c r="P81" s="32" t="s">
        <v>193</v>
      </c>
      <c r="Q81" s="129">
        <f>CK81</f>
        <v>0</v>
      </c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32"/>
      <c r="AD81" s="37"/>
      <c r="AE81" s="37"/>
      <c r="AF81" s="39"/>
      <c r="AG81" s="39"/>
      <c r="AH81" s="87"/>
      <c r="AI81" s="161"/>
      <c r="AJ81" s="37"/>
      <c r="AK81" s="46"/>
      <c r="AL81" s="47"/>
      <c r="AM81" s="162"/>
      <c r="AN81" s="39">
        <v>0</v>
      </c>
      <c r="AO81" s="97">
        <v>0</v>
      </c>
      <c r="AP81" s="39">
        <v>0</v>
      </c>
      <c r="AQ81" s="159"/>
      <c r="AR81" s="45"/>
      <c r="AS81" s="52"/>
      <c r="AT81" s="45"/>
      <c r="AU81" s="48"/>
      <c r="AV81" s="49"/>
      <c r="AW81" s="48"/>
      <c r="AY81" s="45">
        <v>30</v>
      </c>
      <c r="AZ81" s="52">
        <v>0.9</v>
      </c>
      <c r="BA81" s="45">
        <f>AY81*AZ81</f>
        <v>27</v>
      </c>
      <c r="BB81" s="39"/>
      <c r="BC81" s="50"/>
      <c r="BE81" s="45">
        <v>30</v>
      </c>
      <c r="BF81" s="52">
        <v>0.9</v>
      </c>
      <c r="BG81" s="45">
        <f>BE81*BF81</f>
        <v>27</v>
      </c>
      <c r="BH81" s="45"/>
      <c r="BI81" s="39">
        <f>BG81-BA81</f>
        <v>0</v>
      </c>
      <c r="BJ81" s="39"/>
      <c r="BK81" s="50"/>
      <c r="BM81" s="45">
        <v>30</v>
      </c>
      <c r="BN81" s="52">
        <v>0.9</v>
      </c>
      <c r="BO81" s="45">
        <f t="shared" si="73"/>
        <v>27</v>
      </c>
      <c r="BP81" s="45">
        <v>31</v>
      </c>
      <c r="BQ81" s="92">
        <f t="shared" si="74"/>
        <v>0</v>
      </c>
      <c r="BR81" s="34"/>
      <c r="BS81" s="59"/>
      <c r="BU81" s="45">
        <v>30</v>
      </c>
      <c r="BV81" s="52">
        <v>0.9</v>
      </c>
      <c r="BW81" s="118">
        <f t="shared" si="75"/>
        <v>27</v>
      </c>
      <c r="BX81" s="118">
        <f t="shared" si="76"/>
        <v>0</v>
      </c>
      <c r="BY81" s="50"/>
      <c r="CA81" s="45">
        <v>30</v>
      </c>
      <c r="CB81" s="52">
        <v>0.9</v>
      </c>
      <c r="CC81" s="118">
        <f t="shared" si="77"/>
        <v>27</v>
      </c>
      <c r="CD81" s="118"/>
      <c r="CE81" s="92">
        <f t="shared" si="78"/>
        <v>0</v>
      </c>
      <c r="CF81" s="92">
        <f t="shared" si="79"/>
        <v>0</v>
      </c>
      <c r="CG81" s="50"/>
      <c r="CI81" s="160">
        <v>30</v>
      </c>
      <c r="CJ81" s="167">
        <v>0</v>
      </c>
      <c r="CK81" s="165">
        <f t="shared" si="47"/>
        <v>0</v>
      </c>
      <c r="CL81" s="92">
        <f t="shared" si="80"/>
        <v>-27</v>
      </c>
      <c r="CM81" s="50"/>
      <c r="CN81" s="139"/>
      <c r="CO81" s="160">
        <v>30</v>
      </c>
      <c r="CP81" s="167">
        <v>0</v>
      </c>
      <c r="CQ81" s="165">
        <f t="shared" si="49"/>
        <v>0</v>
      </c>
      <c r="CR81" s="168">
        <f t="shared" si="50"/>
        <v>0</v>
      </c>
      <c r="CS81" s="139"/>
      <c r="CT81" s="139"/>
      <c r="CU81" s="160">
        <v>30</v>
      </c>
      <c r="CV81" s="167">
        <v>0</v>
      </c>
      <c r="CW81" s="165">
        <f t="shared" si="42"/>
        <v>0</v>
      </c>
      <c r="CX81" s="160">
        <v>30</v>
      </c>
      <c r="CY81" s="167">
        <v>0</v>
      </c>
      <c r="CZ81" s="165">
        <f t="shared" si="81"/>
        <v>0</v>
      </c>
      <c r="DA81" s="168">
        <f t="shared" si="52"/>
        <v>0</v>
      </c>
      <c r="DB81" s="168">
        <f t="shared" si="53"/>
        <v>0</v>
      </c>
      <c r="DC81" s="168"/>
      <c r="DD81" s="139"/>
      <c r="DE81" s="139"/>
      <c r="DF81" s="160">
        <v>30</v>
      </c>
      <c r="DG81" s="167">
        <v>0</v>
      </c>
      <c r="DH81" s="165">
        <f t="shared" si="68"/>
        <v>0</v>
      </c>
      <c r="DI81" s="168">
        <f t="shared" si="69"/>
        <v>0</v>
      </c>
      <c r="DJ81" s="168">
        <f t="shared" si="70"/>
        <v>0</v>
      </c>
      <c r="DK81" s="168"/>
      <c r="DL81" s="168"/>
      <c r="DM81" s="168"/>
      <c r="DN81" s="168">
        <f t="shared" si="71"/>
        <v>0</v>
      </c>
      <c r="DO81" s="165"/>
      <c r="DP81" s="165"/>
      <c r="DQ81" s="165"/>
      <c r="DR81" s="165"/>
      <c r="DS81" s="165"/>
      <c r="DT81" s="165"/>
      <c r="DU81" s="165"/>
      <c r="DV81" s="165"/>
      <c r="DW81" s="165"/>
      <c r="DX81" s="165"/>
      <c r="DY81" s="165"/>
      <c r="DZ81" s="165"/>
    </row>
    <row r="82" spans="1:131" s="91" customFormat="1" ht="16.25" hidden="1" customHeight="1" x14ac:dyDescent="0.4">
      <c r="A82" s="32" t="s">
        <v>97</v>
      </c>
      <c r="B82" s="32" t="s">
        <v>391</v>
      </c>
      <c r="C82" s="32" t="s">
        <v>20</v>
      </c>
      <c r="D82" s="16" t="s">
        <v>449</v>
      </c>
      <c r="E82" s="87" t="s">
        <v>198</v>
      </c>
      <c r="F82" s="87" t="s">
        <v>110</v>
      </c>
      <c r="G82" s="32" t="s">
        <v>101</v>
      </c>
      <c r="H82" s="32" t="s">
        <v>102</v>
      </c>
      <c r="I82" s="16" t="s">
        <v>103</v>
      </c>
      <c r="J82" s="33"/>
      <c r="K82" s="36"/>
      <c r="L82" s="36"/>
      <c r="M82" s="36" t="s">
        <v>450</v>
      </c>
      <c r="N82" s="36"/>
      <c r="O82" s="38" t="s">
        <v>103</v>
      </c>
      <c r="P82" s="32" t="s">
        <v>189</v>
      </c>
      <c r="Q82" s="129">
        <f>CZ82</f>
        <v>25.265999999999998</v>
      </c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32"/>
      <c r="AD82" s="37">
        <v>60</v>
      </c>
      <c r="AE82" s="37"/>
      <c r="AF82" s="37"/>
      <c r="AG82" s="37"/>
      <c r="AH82" s="158"/>
      <c r="AI82" s="158"/>
      <c r="AJ82" s="37">
        <v>30.43</v>
      </c>
      <c r="AK82" s="46">
        <v>1</v>
      </c>
      <c r="AL82" s="47">
        <f>AJ82*AK82</f>
        <v>30.43</v>
      </c>
      <c r="AM82" s="162"/>
      <c r="AN82" s="39" t="e">
        <f>VLOOKUP(D82,'May FF'!B$2:E$201,2,0)</f>
        <v>#N/A</v>
      </c>
      <c r="AO82" s="97" t="e">
        <f>VLOOKUP(D82,'May FF'!B41:E240,3,0)</f>
        <v>#N/A</v>
      </c>
      <c r="AP82" s="39" t="e">
        <f>VLOOKUP($D82,'May FF'!$B$2:$E$201,4,0)</f>
        <v>#N/A</v>
      </c>
      <c r="AQ82" s="160"/>
      <c r="AR82" s="45">
        <v>20</v>
      </c>
      <c r="AS82" s="46">
        <v>1</v>
      </c>
      <c r="AT82" s="37">
        <f>AR82*AS82</f>
        <v>20</v>
      </c>
      <c r="AU82" s="48"/>
      <c r="AV82" s="49">
        <f>AU82*AS82</f>
        <v>0</v>
      </c>
      <c r="AW82" s="48"/>
      <c r="AY82" s="45">
        <v>40</v>
      </c>
      <c r="AZ82" s="46">
        <v>1</v>
      </c>
      <c r="BA82" s="37">
        <f>AY82*AZ82</f>
        <v>40</v>
      </c>
      <c r="BB82" s="39">
        <f>BA82-AT82</f>
        <v>20</v>
      </c>
      <c r="BC82" s="50"/>
      <c r="BE82" s="45">
        <v>40</v>
      </c>
      <c r="BF82" s="46">
        <v>1</v>
      </c>
      <c r="BG82" s="37">
        <f>BE82*BF82</f>
        <v>40</v>
      </c>
      <c r="BH82" s="70">
        <v>20</v>
      </c>
      <c r="BI82" s="39">
        <f>BG82-BA82</f>
        <v>0</v>
      </c>
      <c r="BJ82" s="39"/>
      <c r="BK82" s="50"/>
      <c r="BM82" s="45">
        <v>40</v>
      </c>
      <c r="BN82" s="46">
        <v>1</v>
      </c>
      <c r="BO82" s="37">
        <f t="shared" si="73"/>
        <v>40</v>
      </c>
      <c r="BP82" s="37">
        <v>40</v>
      </c>
      <c r="BQ82" s="92">
        <f t="shared" si="74"/>
        <v>0</v>
      </c>
      <c r="BR82" s="59"/>
      <c r="BS82" s="67"/>
      <c r="BU82" s="45">
        <v>25</v>
      </c>
      <c r="BV82" s="46">
        <v>1</v>
      </c>
      <c r="BW82" s="118">
        <f t="shared" si="75"/>
        <v>25</v>
      </c>
      <c r="BX82" s="118">
        <f t="shared" si="76"/>
        <v>-15</v>
      </c>
      <c r="BY82" s="50"/>
      <c r="CA82" s="45">
        <v>25</v>
      </c>
      <c r="CB82" s="46">
        <v>1</v>
      </c>
      <c r="CC82" s="118">
        <f t="shared" si="77"/>
        <v>25</v>
      </c>
      <c r="CD82" s="118"/>
      <c r="CE82" s="92">
        <f t="shared" si="78"/>
        <v>0</v>
      </c>
      <c r="CF82" s="92">
        <f t="shared" si="79"/>
        <v>-15</v>
      </c>
      <c r="CG82" s="50"/>
      <c r="CI82" s="160">
        <v>25</v>
      </c>
      <c r="CJ82" s="164">
        <v>1</v>
      </c>
      <c r="CK82" s="165">
        <f t="shared" si="47"/>
        <v>25</v>
      </c>
      <c r="CL82" s="92">
        <f t="shared" si="80"/>
        <v>0</v>
      </c>
      <c r="CM82" s="50"/>
      <c r="CN82" s="139"/>
      <c r="CO82" s="160">
        <v>25</v>
      </c>
      <c r="CP82" s="164">
        <v>1</v>
      </c>
      <c r="CQ82" s="165">
        <f t="shared" si="49"/>
        <v>25</v>
      </c>
      <c r="CR82" s="168">
        <f t="shared" si="50"/>
        <v>0</v>
      </c>
      <c r="CS82" s="139"/>
      <c r="CT82" s="139"/>
      <c r="CU82" s="160">
        <v>25</v>
      </c>
      <c r="CV82" s="164">
        <v>1</v>
      </c>
      <c r="CW82" s="165">
        <f t="shared" si="42"/>
        <v>25</v>
      </c>
      <c r="CX82" s="160">
        <v>25.265999999999998</v>
      </c>
      <c r="CY82" s="164">
        <v>1</v>
      </c>
      <c r="CZ82" s="165">
        <f t="shared" si="81"/>
        <v>25.265999999999998</v>
      </c>
      <c r="DA82" s="168">
        <f t="shared" si="52"/>
        <v>0.26599999999999824</v>
      </c>
      <c r="DB82" s="168">
        <f t="shared" si="53"/>
        <v>0.26599999999999824</v>
      </c>
      <c r="DC82" s="168"/>
      <c r="DD82" s="139"/>
      <c r="DE82" s="139"/>
      <c r="DF82" s="160">
        <v>25.265999999999998</v>
      </c>
      <c r="DG82" s="164">
        <v>1</v>
      </c>
      <c r="DH82" s="165">
        <f t="shared" si="68"/>
        <v>25.265999999999998</v>
      </c>
      <c r="DI82" s="168">
        <f t="shared" si="69"/>
        <v>0</v>
      </c>
      <c r="DJ82" s="168">
        <f t="shared" si="70"/>
        <v>0.26599999999999824</v>
      </c>
      <c r="DK82" s="168"/>
      <c r="DL82" s="168"/>
      <c r="DM82" s="168"/>
      <c r="DN82" s="168">
        <f t="shared" si="71"/>
        <v>25.265999999999998</v>
      </c>
      <c r="DO82" s="165">
        <v>0</v>
      </c>
      <c r="DP82" s="165">
        <v>1.9670000000000001</v>
      </c>
      <c r="DQ82" s="165">
        <v>0</v>
      </c>
      <c r="DR82" s="165">
        <v>11.298999999999999</v>
      </c>
      <c r="DS82" s="165">
        <v>12</v>
      </c>
      <c r="DT82" s="165">
        <v>0</v>
      </c>
      <c r="DU82" s="165">
        <v>0</v>
      </c>
      <c r="DV82" s="165">
        <v>0</v>
      </c>
      <c r="DW82" s="165">
        <v>0</v>
      </c>
      <c r="DX82" s="165">
        <v>0</v>
      </c>
      <c r="DY82" s="165">
        <v>0</v>
      </c>
      <c r="DZ82" s="165">
        <v>0</v>
      </c>
      <c r="EA82" s="168"/>
    </row>
    <row r="83" spans="1:131" s="91" customFormat="1" ht="17" hidden="1" customHeight="1" x14ac:dyDescent="0.4">
      <c r="A83" s="32" t="s">
        <v>97</v>
      </c>
      <c r="B83" s="32" t="s">
        <v>391</v>
      </c>
      <c r="C83" s="32" t="s">
        <v>15</v>
      </c>
      <c r="D83" s="16" t="s">
        <v>451</v>
      </c>
      <c r="E83" s="87" t="s">
        <v>452</v>
      </c>
      <c r="F83" s="87" t="s">
        <v>110</v>
      </c>
      <c r="G83" s="32" t="s">
        <v>101</v>
      </c>
      <c r="H83" s="32" t="s">
        <v>102</v>
      </c>
      <c r="I83" s="51" t="s">
        <v>103</v>
      </c>
      <c r="J83" s="33"/>
      <c r="K83" s="36"/>
      <c r="L83" s="36"/>
      <c r="M83" s="36"/>
      <c r="N83" s="36"/>
      <c r="O83" s="38" t="s">
        <v>103</v>
      </c>
      <c r="P83" s="32" t="s">
        <v>189</v>
      </c>
      <c r="Q83" s="129">
        <f>CZ83</f>
        <v>252.172</v>
      </c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32"/>
      <c r="AD83" s="37">
        <v>988</v>
      </c>
      <c r="AE83" s="37"/>
      <c r="AF83" s="37"/>
      <c r="AG83" s="37"/>
      <c r="AH83" s="158"/>
      <c r="AI83" s="158"/>
      <c r="AJ83" s="37">
        <v>503</v>
      </c>
      <c r="AK83" s="46">
        <v>1</v>
      </c>
      <c r="AL83" s="47">
        <f>AJ83*AK83</f>
        <v>503</v>
      </c>
      <c r="AM83" s="162"/>
      <c r="AN83" s="39" t="e">
        <f>VLOOKUP(D83,'May FF'!B$2:E$201,2,0)</f>
        <v>#N/A</v>
      </c>
      <c r="AO83" s="97" t="e">
        <f>VLOOKUP(D83,'May FF'!B42:E241,3,0)</f>
        <v>#N/A</v>
      </c>
      <c r="AP83" s="39" t="e">
        <f>VLOOKUP($D83,'May FF'!$B$2:$E$201,4,0)</f>
        <v>#N/A</v>
      </c>
      <c r="AQ83" s="160"/>
      <c r="AR83" s="45">
        <v>150</v>
      </c>
      <c r="AS83" s="46">
        <v>0.9</v>
      </c>
      <c r="AT83" s="37">
        <f>AR83*AS83</f>
        <v>135</v>
      </c>
      <c r="AU83" s="48"/>
      <c r="AV83" s="49"/>
      <c r="AW83" s="48"/>
      <c r="AY83" s="45">
        <f>125+49+70</f>
        <v>244</v>
      </c>
      <c r="AZ83" s="46">
        <v>1</v>
      </c>
      <c r="BA83" s="37">
        <f>AY83*AZ83</f>
        <v>244</v>
      </c>
      <c r="BB83" s="39">
        <f>BA83-AT83</f>
        <v>109</v>
      </c>
      <c r="BC83" s="50"/>
      <c r="BE83" s="45">
        <f>83+160+159</f>
        <v>402</v>
      </c>
      <c r="BF83" s="46">
        <v>0.9</v>
      </c>
      <c r="BG83" s="37">
        <f>BE83*BF83</f>
        <v>361.8</v>
      </c>
      <c r="BH83" s="70">
        <v>135</v>
      </c>
      <c r="BI83" s="39">
        <f>BG83-BA83</f>
        <v>117.80000000000001</v>
      </c>
      <c r="BJ83" s="39" t="s">
        <v>396</v>
      </c>
      <c r="BK83" s="50"/>
      <c r="BM83" s="45">
        <v>403</v>
      </c>
      <c r="BN83" s="46">
        <v>1</v>
      </c>
      <c r="BO83" s="37">
        <f t="shared" si="73"/>
        <v>403</v>
      </c>
      <c r="BP83" s="37">
        <v>428</v>
      </c>
      <c r="BQ83" s="92">
        <f t="shared" si="74"/>
        <v>159</v>
      </c>
      <c r="BR83" s="34" t="s">
        <v>106</v>
      </c>
      <c r="BS83" s="59" t="s">
        <v>397</v>
      </c>
      <c r="BU83" s="45">
        <v>345</v>
      </c>
      <c r="BV83" s="46">
        <v>1</v>
      </c>
      <c r="BW83" s="118">
        <f t="shared" si="75"/>
        <v>345</v>
      </c>
      <c r="BX83" s="118">
        <f t="shared" si="76"/>
        <v>-58</v>
      </c>
      <c r="BY83" s="50"/>
      <c r="CA83" s="45">
        <v>354</v>
      </c>
      <c r="CB83" s="46">
        <v>1</v>
      </c>
      <c r="CC83" s="118">
        <f t="shared" si="77"/>
        <v>354</v>
      </c>
      <c r="CD83" s="118"/>
      <c r="CE83" s="92">
        <f t="shared" si="78"/>
        <v>9</v>
      </c>
      <c r="CF83" s="92">
        <f t="shared" si="79"/>
        <v>-49</v>
      </c>
      <c r="CG83" s="50"/>
      <c r="CI83" s="160">
        <v>256</v>
      </c>
      <c r="CJ83" s="164">
        <v>1</v>
      </c>
      <c r="CK83" s="165">
        <f t="shared" si="47"/>
        <v>256</v>
      </c>
      <c r="CL83" s="92">
        <f t="shared" si="80"/>
        <v>-98</v>
      </c>
      <c r="CM83" s="50" t="s">
        <v>453</v>
      </c>
      <c r="CN83" s="139"/>
      <c r="CO83" s="160">
        <v>287.40600000000001</v>
      </c>
      <c r="CP83" s="164">
        <v>1</v>
      </c>
      <c r="CQ83" s="165">
        <f t="shared" si="49"/>
        <v>287.40600000000001</v>
      </c>
      <c r="CR83" s="168">
        <f t="shared" si="50"/>
        <v>31.406000000000006</v>
      </c>
      <c r="CS83" s="139"/>
      <c r="CT83" s="139"/>
      <c r="CU83" s="160">
        <v>287.40600000000001</v>
      </c>
      <c r="CV83" s="164">
        <v>1</v>
      </c>
      <c r="CW83" s="165">
        <f t="shared" si="42"/>
        <v>287.40600000000001</v>
      </c>
      <c r="CX83" s="160">
        <v>252.172</v>
      </c>
      <c r="CY83" s="164">
        <v>1</v>
      </c>
      <c r="CZ83" s="165">
        <f t="shared" si="81"/>
        <v>252.172</v>
      </c>
      <c r="DA83" s="168">
        <f t="shared" si="52"/>
        <v>-35.234000000000009</v>
      </c>
      <c r="DB83" s="168">
        <f t="shared" si="53"/>
        <v>-35.234000000000009</v>
      </c>
      <c r="DC83" s="168"/>
      <c r="DD83" s="139"/>
      <c r="DE83" s="139"/>
      <c r="DF83" s="160">
        <v>241</v>
      </c>
      <c r="DG83" s="164">
        <v>1</v>
      </c>
      <c r="DH83" s="165">
        <f t="shared" si="68"/>
        <v>241</v>
      </c>
      <c r="DI83" s="168">
        <f t="shared" si="69"/>
        <v>-11.171999999999997</v>
      </c>
      <c r="DJ83" s="168">
        <f t="shared" si="70"/>
        <v>-46.406000000000006</v>
      </c>
      <c r="DK83" s="168"/>
      <c r="DL83" s="168"/>
      <c r="DM83" s="168"/>
      <c r="DN83" s="168">
        <f t="shared" si="71"/>
        <v>252.172</v>
      </c>
      <c r="DO83" s="165">
        <v>31.555</v>
      </c>
      <c r="DP83" s="165">
        <v>34.527000000000001</v>
      </c>
      <c r="DQ83" s="165">
        <v>54.323999999999998</v>
      </c>
      <c r="DR83" s="165">
        <v>21.765999999999998</v>
      </c>
      <c r="DS83" s="165">
        <v>4</v>
      </c>
      <c r="DT83" s="165">
        <v>44</v>
      </c>
      <c r="DU83" s="165">
        <v>62</v>
      </c>
      <c r="DV83" s="165">
        <v>0</v>
      </c>
      <c r="DW83" s="165">
        <v>0</v>
      </c>
      <c r="DX83" s="165">
        <v>0</v>
      </c>
      <c r="DY83" s="165">
        <v>0</v>
      </c>
      <c r="DZ83" s="165">
        <v>0</v>
      </c>
      <c r="EA83" s="168"/>
    </row>
    <row r="84" spans="1:131" s="91" customFormat="1" ht="16.25" hidden="1" customHeight="1" x14ac:dyDescent="0.4">
      <c r="A84" s="32" t="s">
        <v>97</v>
      </c>
      <c r="B84" s="32" t="s">
        <v>391</v>
      </c>
      <c r="C84" s="32" t="s">
        <v>15</v>
      </c>
      <c r="D84" s="16" t="s">
        <v>455</v>
      </c>
      <c r="E84" s="87" t="s">
        <v>1017</v>
      </c>
      <c r="F84" s="87" t="s">
        <v>110</v>
      </c>
      <c r="G84" s="32" t="s">
        <v>101</v>
      </c>
      <c r="H84" s="32" t="s">
        <v>182</v>
      </c>
      <c r="I84" s="51"/>
      <c r="J84" s="33" t="s">
        <v>456</v>
      </c>
      <c r="K84" s="36"/>
      <c r="L84" s="36"/>
      <c r="M84" s="36"/>
      <c r="N84" s="36"/>
      <c r="O84" s="33"/>
      <c r="P84" s="32" t="s">
        <v>189</v>
      </c>
      <c r="Q84" s="129">
        <f>CZ84</f>
        <v>65</v>
      </c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71"/>
      <c r="AD84" s="37">
        <v>65</v>
      </c>
      <c r="AE84" s="37"/>
      <c r="AF84" s="37"/>
      <c r="AG84" s="37"/>
      <c r="AH84" s="158"/>
      <c r="AI84" s="158"/>
      <c r="AJ84" s="37"/>
      <c r="AK84" s="46"/>
      <c r="AL84" s="47"/>
      <c r="AM84" s="162"/>
      <c r="AN84" s="39"/>
      <c r="AO84" s="97"/>
      <c r="AP84" s="39"/>
      <c r="AQ84" s="160"/>
      <c r="AR84" s="45"/>
      <c r="AS84" s="52"/>
      <c r="AT84" s="45"/>
      <c r="AU84" s="48"/>
      <c r="AV84" s="49"/>
      <c r="AW84" s="48"/>
      <c r="AY84" s="45"/>
      <c r="AZ84" s="52"/>
      <c r="BA84" s="45"/>
      <c r="BB84" s="39"/>
      <c r="BC84" s="50"/>
      <c r="BE84" s="45"/>
      <c r="BF84" s="52"/>
      <c r="BG84" s="45"/>
      <c r="BH84" s="45"/>
      <c r="BI84" s="39"/>
      <c r="BJ84" s="39"/>
      <c r="BK84" s="50"/>
      <c r="BM84" s="45">
        <v>60</v>
      </c>
      <c r="BN84" s="52">
        <v>0.9</v>
      </c>
      <c r="BO84" s="45">
        <f t="shared" si="73"/>
        <v>54</v>
      </c>
      <c r="BP84" s="39"/>
      <c r="BQ84" s="92">
        <f t="shared" si="74"/>
        <v>54</v>
      </c>
      <c r="BR84" s="34" t="s">
        <v>178</v>
      </c>
      <c r="BS84" s="67" t="s">
        <v>179</v>
      </c>
      <c r="BU84" s="45">
        <v>60</v>
      </c>
      <c r="BV84" s="52">
        <v>0.9</v>
      </c>
      <c r="BW84" s="118">
        <f t="shared" si="75"/>
        <v>54</v>
      </c>
      <c r="BX84" s="118">
        <f t="shared" si="76"/>
        <v>0</v>
      </c>
      <c r="BY84" s="50"/>
      <c r="CA84" s="45">
        <v>70</v>
      </c>
      <c r="CB84" s="52">
        <v>0.9</v>
      </c>
      <c r="CC84" s="118">
        <f t="shared" si="77"/>
        <v>63</v>
      </c>
      <c r="CD84" s="118"/>
      <c r="CE84" s="92">
        <f t="shared" si="78"/>
        <v>9</v>
      </c>
      <c r="CF84" s="92">
        <f t="shared" si="79"/>
        <v>9</v>
      </c>
      <c r="CG84" s="50"/>
      <c r="CI84" s="160">
        <v>70</v>
      </c>
      <c r="CJ84" s="167">
        <v>0.9</v>
      </c>
      <c r="CK84" s="165">
        <f t="shared" si="47"/>
        <v>63</v>
      </c>
      <c r="CL84" s="92">
        <f t="shared" si="80"/>
        <v>0</v>
      </c>
      <c r="CM84" s="50"/>
      <c r="CN84" s="139"/>
      <c r="CO84" s="160">
        <v>65</v>
      </c>
      <c r="CP84" s="167">
        <v>1</v>
      </c>
      <c r="CQ84" s="165">
        <f t="shared" si="49"/>
        <v>65</v>
      </c>
      <c r="CR84" s="168">
        <f t="shared" si="50"/>
        <v>2</v>
      </c>
      <c r="CS84" s="139"/>
      <c r="CT84" s="139"/>
      <c r="CU84" s="160">
        <v>65</v>
      </c>
      <c r="CV84" s="167">
        <v>1</v>
      </c>
      <c r="CW84" s="165">
        <f t="shared" si="42"/>
        <v>65</v>
      </c>
      <c r="CX84" s="160">
        <v>65</v>
      </c>
      <c r="CY84" s="167">
        <v>1</v>
      </c>
      <c r="CZ84" s="165">
        <f t="shared" si="81"/>
        <v>65</v>
      </c>
      <c r="DA84" s="168">
        <f t="shared" si="52"/>
        <v>0</v>
      </c>
      <c r="DB84" s="168">
        <f t="shared" si="53"/>
        <v>0</v>
      </c>
      <c r="DC84" s="168"/>
      <c r="DD84" s="139"/>
      <c r="DE84" s="139"/>
      <c r="DF84" s="160">
        <v>65</v>
      </c>
      <c r="DG84" s="167">
        <v>1</v>
      </c>
      <c r="DH84" s="165">
        <f t="shared" si="68"/>
        <v>65</v>
      </c>
      <c r="DI84" s="168">
        <f t="shared" si="69"/>
        <v>0</v>
      </c>
      <c r="DJ84" s="168">
        <f t="shared" si="70"/>
        <v>0</v>
      </c>
      <c r="DK84" s="168"/>
      <c r="DL84" s="168"/>
      <c r="DM84" s="168"/>
      <c r="DN84" s="168">
        <f t="shared" si="71"/>
        <v>65</v>
      </c>
      <c r="DO84" s="165">
        <v>0</v>
      </c>
      <c r="DP84" s="165">
        <v>0</v>
      </c>
      <c r="DQ84" s="165">
        <v>0</v>
      </c>
      <c r="DR84" s="165">
        <v>0</v>
      </c>
      <c r="DS84" s="165">
        <v>0</v>
      </c>
      <c r="DT84" s="165">
        <v>30</v>
      </c>
      <c r="DU84" s="165">
        <v>0</v>
      </c>
      <c r="DV84" s="165">
        <v>0</v>
      </c>
      <c r="DW84" s="165">
        <v>35</v>
      </c>
      <c r="DX84" s="165">
        <v>0</v>
      </c>
      <c r="DY84" s="165">
        <v>0</v>
      </c>
      <c r="DZ84" s="165">
        <v>0</v>
      </c>
      <c r="EA84" s="168"/>
    </row>
    <row r="85" spans="1:131" s="91" customFormat="1" ht="16.25" hidden="1" customHeight="1" x14ac:dyDescent="0.4">
      <c r="A85" s="32" t="s">
        <v>97</v>
      </c>
      <c r="B85" s="32" t="s">
        <v>391</v>
      </c>
      <c r="C85" s="32" t="s">
        <v>15</v>
      </c>
      <c r="D85" s="16" t="s">
        <v>455</v>
      </c>
      <c r="E85" s="87" t="s">
        <v>1018</v>
      </c>
      <c r="F85" s="87" t="s">
        <v>114</v>
      </c>
      <c r="G85" s="32" t="s">
        <v>101</v>
      </c>
      <c r="H85" s="32" t="s">
        <v>182</v>
      </c>
      <c r="I85" s="16" t="s">
        <v>410</v>
      </c>
      <c r="J85" s="33" t="s">
        <v>457</v>
      </c>
      <c r="K85" s="36"/>
      <c r="L85" s="36"/>
      <c r="M85" s="36" t="s">
        <v>1019</v>
      </c>
      <c r="N85" s="36" t="s">
        <v>294</v>
      </c>
      <c r="O85" s="33" t="s">
        <v>458</v>
      </c>
      <c r="P85" s="32" t="s">
        <v>189</v>
      </c>
      <c r="Q85" s="129"/>
      <c r="R85" s="129"/>
      <c r="S85" s="129"/>
      <c r="T85" s="129"/>
      <c r="U85" s="129">
        <f>CZ85</f>
        <v>162</v>
      </c>
      <c r="V85" s="129"/>
      <c r="W85" s="129"/>
      <c r="X85" s="129"/>
      <c r="Y85" s="129"/>
      <c r="Z85" s="129"/>
      <c r="AA85" s="129"/>
      <c r="AB85" s="129"/>
      <c r="AC85" s="32"/>
      <c r="AD85" s="37">
        <v>500</v>
      </c>
      <c r="AE85" s="37"/>
      <c r="AF85" s="39"/>
      <c r="AG85" s="39"/>
      <c r="AH85" s="87"/>
      <c r="AI85" s="161"/>
      <c r="AJ85" s="37">
        <v>470</v>
      </c>
      <c r="AK85" s="46">
        <v>0.9</v>
      </c>
      <c r="AL85" s="47">
        <f>AJ85*AK85</f>
        <v>423</v>
      </c>
      <c r="AM85" s="162"/>
      <c r="AN85" s="75">
        <v>0</v>
      </c>
      <c r="AO85" s="98">
        <v>0</v>
      </c>
      <c r="AP85" s="75">
        <v>0</v>
      </c>
      <c r="AQ85" s="159"/>
      <c r="AR85" s="45">
        <v>300</v>
      </c>
      <c r="AS85" s="52">
        <v>0.9</v>
      </c>
      <c r="AT85" s="45">
        <f>AR85*AS85</f>
        <v>270</v>
      </c>
      <c r="AU85" s="48"/>
      <c r="AV85" s="49">
        <f>AU85*AS85</f>
        <v>0</v>
      </c>
      <c r="AW85" s="48" t="s">
        <v>413</v>
      </c>
      <c r="AY85" s="45">
        <v>300</v>
      </c>
      <c r="AZ85" s="52">
        <v>0.9</v>
      </c>
      <c r="BA85" s="45">
        <f>AY85*AZ85</f>
        <v>270</v>
      </c>
      <c r="BB85" s="39">
        <f>BA85-AT85</f>
        <v>0</v>
      </c>
      <c r="BC85" s="50"/>
      <c r="BE85" s="45">
        <v>300</v>
      </c>
      <c r="BF85" s="52">
        <v>0.9</v>
      </c>
      <c r="BG85" s="45">
        <f>BE85*BF85</f>
        <v>270</v>
      </c>
      <c r="BH85" s="45"/>
      <c r="BI85" s="39">
        <f>BG85-BA85</f>
        <v>0</v>
      </c>
      <c r="BJ85" s="39"/>
      <c r="BK85" s="50"/>
      <c r="BM85" s="45">
        <v>500</v>
      </c>
      <c r="BN85" s="52">
        <v>0.75</v>
      </c>
      <c r="BO85" s="45">
        <f t="shared" si="73"/>
        <v>375</v>
      </c>
      <c r="BP85" s="45">
        <v>375</v>
      </c>
      <c r="BQ85" s="92">
        <f t="shared" si="74"/>
        <v>105</v>
      </c>
      <c r="BR85" s="34" t="s">
        <v>178</v>
      </c>
      <c r="BS85" s="67" t="s">
        <v>179</v>
      </c>
      <c r="BU85" s="45">
        <v>500</v>
      </c>
      <c r="BV85" s="52">
        <v>0.75</v>
      </c>
      <c r="BW85" s="118">
        <f t="shared" si="75"/>
        <v>375</v>
      </c>
      <c r="BX85" s="118">
        <f t="shared" si="76"/>
        <v>0</v>
      </c>
      <c r="BY85" s="50"/>
      <c r="CA85" s="45">
        <v>120</v>
      </c>
      <c r="CB85" s="52">
        <v>0.9</v>
      </c>
      <c r="CC85" s="118">
        <f t="shared" si="77"/>
        <v>108</v>
      </c>
      <c r="CD85" s="118"/>
      <c r="CE85" s="92">
        <f t="shared" si="78"/>
        <v>-267</v>
      </c>
      <c r="CF85" s="92">
        <f t="shared" si="79"/>
        <v>-267</v>
      </c>
      <c r="CG85" s="50"/>
      <c r="CI85" s="160">
        <v>145</v>
      </c>
      <c r="CJ85" s="167">
        <v>0.9</v>
      </c>
      <c r="CK85" s="165">
        <f t="shared" si="47"/>
        <v>130.5</v>
      </c>
      <c r="CL85" s="92">
        <f t="shared" si="80"/>
        <v>22.5</v>
      </c>
      <c r="CM85" s="50"/>
      <c r="CN85" s="139"/>
      <c r="CO85" s="160">
        <v>145</v>
      </c>
      <c r="CP85" s="167">
        <v>0.9</v>
      </c>
      <c r="CQ85" s="165">
        <f t="shared" si="49"/>
        <v>130.5</v>
      </c>
      <c r="CR85" s="168">
        <f t="shared" si="50"/>
        <v>0</v>
      </c>
      <c r="CS85" s="91" t="s">
        <v>459</v>
      </c>
      <c r="CT85" s="139"/>
      <c r="CU85" s="160">
        <v>145</v>
      </c>
      <c r="CV85" s="167">
        <v>0.9</v>
      </c>
      <c r="CW85" s="165">
        <f t="shared" ref="CW85:CW116" si="82">CU85*CV85</f>
        <v>130.5</v>
      </c>
      <c r="CX85" s="160">
        <v>180</v>
      </c>
      <c r="CY85" s="167">
        <v>0.9</v>
      </c>
      <c r="CZ85" s="165">
        <f t="shared" si="81"/>
        <v>162</v>
      </c>
      <c r="DA85" s="168">
        <f t="shared" si="52"/>
        <v>31.5</v>
      </c>
      <c r="DB85" s="168">
        <f t="shared" si="53"/>
        <v>31.5</v>
      </c>
      <c r="DC85" s="168"/>
      <c r="DF85" s="160">
        <v>180</v>
      </c>
      <c r="DG85" s="167">
        <v>0.9</v>
      </c>
      <c r="DH85" s="165">
        <f t="shared" si="68"/>
        <v>162</v>
      </c>
      <c r="DI85" s="168">
        <f t="shared" si="69"/>
        <v>0</v>
      </c>
      <c r="DJ85" s="168">
        <f t="shared" si="70"/>
        <v>31.5</v>
      </c>
      <c r="DK85" s="168"/>
      <c r="DL85" s="168"/>
      <c r="DM85" s="168"/>
      <c r="DN85" s="168">
        <f t="shared" si="71"/>
        <v>162</v>
      </c>
      <c r="DO85" s="165">
        <v>0</v>
      </c>
      <c r="DP85" s="165">
        <v>0</v>
      </c>
      <c r="DQ85" s="165">
        <v>0</v>
      </c>
      <c r="DR85" s="165">
        <v>0</v>
      </c>
      <c r="DS85" s="165">
        <v>0</v>
      </c>
      <c r="DT85" s="165">
        <v>0</v>
      </c>
      <c r="DU85" s="165">
        <v>0</v>
      </c>
      <c r="DV85" s="165">
        <v>0</v>
      </c>
      <c r="DW85" s="165">
        <v>49.5</v>
      </c>
      <c r="DX85" s="165">
        <v>0</v>
      </c>
      <c r="DY85" s="165">
        <v>112.5</v>
      </c>
      <c r="DZ85" s="165">
        <v>0</v>
      </c>
      <c r="EA85" s="168"/>
    </row>
    <row r="86" spans="1:131" s="91" customFormat="1" ht="16.25" hidden="1" customHeight="1" x14ac:dyDescent="0.4">
      <c r="A86" s="32" t="s">
        <v>97</v>
      </c>
      <c r="B86" s="32" t="s">
        <v>391</v>
      </c>
      <c r="C86" s="32" t="s">
        <v>20</v>
      </c>
      <c r="D86" s="16" t="s">
        <v>460</v>
      </c>
      <c r="E86" s="87" t="s">
        <v>345</v>
      </c>
      <c r="F86" s="87" t="s">
        <v>110</v>
      </c>
      <c r="G86" s="32" t="s">
        <v>101</v>
      </c>
      <c r="H86" s="32"/>
      <c r="I86" s="51"/>
      <c r="J86" s="33"/>
      <c r="K86" s="36"/>
      <c r="L86" s="36"/>
      <c r="M86" s="36"/>
      <c r="N86" s="36"/>
      <c r="O86" s="33"/>
      <c r="P86" s="32" t="s">
        <v>230</v>
      </c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71"/>
      <c r="AD86" s="37"/>
      <c r="AE86" s="37"/>
      <c r="AF86" s="37"/>
      <c r="AG86" s="37"/>
      <c r="AH86" s="158"/>
      <c r="AI86" s="158"/>
      <c r="AJ86" s="37"/>
      <c r="AK86" s="46"/>
      <c r="AL86" s="47"/>
      <c r="AM86" s="162"/>
      <c r="AN86" s="39"/>
      <c r="AO86" s="97"/>
      <c r="AP86" s="39"/>
      <c r="AQ86" s="160"/>
      <c r="AR86" s="45"/>
      <c r="AS86" s="52"/>
      <c r="AT86" s="45"/>
      <c r="AU86" s="48"/>
      <c r="AV86" s="49"/>
      <c r="AW86" s="48"/>
      <c r="AY86" s="45"/>
      <c r="AZ86" s="52"/>
      <c r="BA86" s="45"/>
      <c r="BB86" s="39"/>
      <c r="BC86" s="50"/>
      <c r="BE86" s="45"/>
      <c r="BF86" s="52"/>
      <c r="BG86" s="45"/>
      <c r="BH86" s="45"/>
      <c r="BI86" s="39"/>
      <c r="BJ86" s="39"/>
      <c r="BK86" s="50"/>
      <c r="BM86" s="45"/>
      <c r="BN86" s="52"/>
      <c r="BO86" s="45"/>
      <c r="BP86" s="39"/>
      <c r="BQ86" s="92"/>
      <c r="BR86" s="34"/>
      <c r="BS86" s="67"/>
      <c r="BU86" s="45"/>
      <c r="BV86" s="52"/>
      <c r="BW86" s="118"/>
      <c r="BX86" s="118"/>
      <c r="BY86" s="50"/>
      <c r="CA86" s="45"/>
      <c r="CB86" s="52"/>
      <c r="CC86" s="118"/>
      <c r="CD86" s="118"/>
      <c r="CE86" s="92"/>
      <c r="CF86" s="92"/>
      <c r="CG86" s="50"/>
      <c r="CI86" s="160">
        <v>0</v>
      </c>
      <c r="CJ86" s="167">
        <v>0</v>
      </c>
      <c r="CK86" s="165">
        <f t="shared" si="47"/>
        <v>0</v>
      </c>
      <c r="CL86" s="92">
        <f t="shared" si="80"/>
        <v>0</v>
      </c>
      <c r="CM86" s="50"/>
      <c r="CN86" s="139"/>
      <c r="CO86" s="160">
        <v>0</v>
      </c>
      <c r="CP86" s="167">
        <v>0</v>
      </c>
      <c r="CQ86" s="165">
        <f t="shared" si="49"/>
        <v>0</v>
      </c>
      <c r="CR86" s="168">
        <f t="shared" si="50"/>
        <v>0</v>
      </c>
      <c r="CS86" s="139"/>
      <c r="CT86" s="139"/>
      <c r="CU86" s="160">
        <v>0</v>
      </c>
      <c r="CV86" s="167">
        <v>0</v>
      </c>
      <c r="CW86" s="165">
        <f t="shared" si="82"/>
        <v>0</v>
      </c>
      <c r="CX86" s="160">
        <v>200</v>
      </c>
      <c r="CY86" s="164">
        <v>0.5</v>
      </c>
      <c r="CZ86" s="165">
        <f t="shared" si="81"/>
        <v>100</v>
      </c>
      <c r="DA86" s="168">
        <f t="shared" si="52"/>
        <v>100</v>
      </c>
      <c r="DB86" s="168">
        <f t="shared" si="53"/>
        <v>100</v>
      </c>
      <c r="DC86" s="168"/>
      <c r="DD86" s="139"/>
      <c r="DE86" s="139"/>
      <c r="DF86" s="160">
        <v>200</v>
      </c>
      <c r="DG86" s="164">
        <v>0.5</v>
      </c>
      <c r="DH86" s="165">
        <f t="shared" si="68"/>
        <v>100</v>
      </c>
      <c r="DI86" s="168">
        <f t="shared" si="69"/>
        <v>0</v>
      </c>
      <c r="DJ86" s="168">
        <f t="shared" si="70"/>
        <v>100</v>
      </c>
      <c r="DK86" s="168"/>
      <c r="DL86" s="168"/>
      <c r="DM86" s="168"/>
      <c r="DN86" s="168">
        <f t="shared" si="71"/>
        <v>0</v>
      </c>
      <c r="DO86" s="165">
        <v>0</v>
      </c>
      <c r="DP86" s="165">
        <v>0</v>
      </c>
      <c r="DQ86" s="165">
        <v>0</v>
      </c>
      <c r="DR86" s="165">
        <v>0</v>
      </c>
      <c r="DS86" s="165">
        <v>0</v>
      </c>
      <c r="DT86" s="165">
        <v>0</v>
      </c>
      <c r="DU86" s="165">
        <v>0</v>
      </c>
      <c r="DV86" s="165">
        <v>0</v>
      </c>
      <c r="DW86" s="165">
        <v>0</v>
      </c>
      <c r="DX86" s="165">
        <v>0</v>
      </c>
      <c r="DY86" s="165">
        <v>0</v>
      </c>
      <c r="DZ86" s="165">
        <v>0</v>
      </c>
    </row>
    <row r="87" spans="1:131" s="91" customFormat="1" ht="16.25" hidden="1" customHeight="1" x14ac:dyDescent="0.4">
      <c r="A87" s="32" t="s">
        <v>97</v>
      </c>
      <c r="B87" s="32" t="s">
        <v>391</v>
      </c>
      <c r="C87" s="32" t="s">
        <v>172</v>
      </c>
      <c r="D87" s="16" t="s">
        <v>461</v>
      </c>
      <c r="E87" s="87" t="s">
        <v>462</v>
      </c>
      <c r="F87" s="87" t="s">
        <v>175</v>
      </c>
      <c r="G87" s="32" t="s">
        <v>101</v>
      </c>
      <c r="H87" s="36" t="s">
        <v>182</v>
      </c>
      <c r="I87" s="51"/>
      <c r="J87" s="38"/>
      <c r="K87" s="36"/>
      <c r="L87" s="36"/>
      <c r="M87" s="36"/>
      <c r="N87" s="36"/>
      <c r="O87" s="38"/>
      <c r="P87" s="32" t="s">
        <v>189</v>
      </c>
      <c r="Q87" s="129"/>
      <c r="R87" s="129"/>
      <c r="S87" s="129"/>
      <c r="T87" s="129"/>
      <c r="U87" s="129">
        <v>454</v>
      </c>
      <c r="V87" s="129">
        <v>85</v>
      </c>
      <c r="W87" s="129">
        <v>100</v>
      </c>
      <c r="X87" s="129"/>
      <c r="Y87" s="129"/>
      <c r="Z87" s="129"/>
      <c r="AA87" s="129"/>
      <c r="AB87" s="129"/>
      <c r="AC87" s="32"/>
      <c r="AD87" s="37"/>
      <c r="AE87" s="37"/>
      <c r="AF87" s="37"/>
      <c r="AG87" s="37"/>
      <c r="AH87" s="158"/>
      <c r="AI87" s="158"/>
      <c r="AJ87" s="37">
        <v>0</v>
      </c>
      <c r="AK87" s="46">
        <v>0</v>
      </c>
      <c r="AL87" s="47">
        <f>AJ87*AK87</f>
        <v>0</v>
      </c>
      <c r="AM87" s="162"/>
      <c r="AN87" s="39">
        <v>0</v>
      </c>
      <c r="AO87" s="97">
        <v>0</v>
      </c>
      <c r="AP87" s="39">
        <v>0</v>
      </c>
      <c r="AQ87" s="160"/>
      <c r="AR87" s="45">
        <v>1700</v>
      </c>
      <c r="AS87" s="46">
        <v>1</v>
      </c>
      <c r="AT87" s="45">
        <f>AR87*AS87</f>
        <v>1700</v>
      </c>
      <c r="AU87" s="48"/>
      <c r="AV87" s="49">
        <f>AU87*AS87</f>
        <v>0</v>
      </c>
      <c r="AW87" s="48"/>
      <c r="AY87" s="45">
        <v>1700</v>
      </c>
      <c r="AZ87" s="46">
        <v>1</v>
      </c>
      <c r="BA87" s="45">
        <f>AY87*AZ87</f>
        <v>1700</v>
      </c>
      <c r="BB87" s="39">
        <f>BA87-AT87</f>
        <v>0</v>
      </c>
      <c r="BC87" s="50"/>
      <c r="BE87" s="45">
        <f>1700</f>
        <v>1700</v>
      </c>
      <c r="BF87" s="46">
        <v>1</v>
      </c>
      <c r="BG87" s="45">
        <f>BE87*BF87</f>
        <v>1700</v>
      </c>
      <c r="BH87" s="76">
        <v>1807.7</v>
      </c>
      <c r="BI87" s="39">
        <f>BG87-BA87</f>
        <v>0</v>
      </c>
      <c r="BJ87" s="39"/>
      <c r="BK87" s="50"/>
      <c r="BM87" s="45">
        <f>1700</f>
        <v>1700</v>
      </c>
      <c r="BN87" s="46">
        <v>1</v>
      </c>
      <c r="BO87" s="45">
        <f>BM87*BN87</f>
        <v>1700</v>
      </c>
      <c r="BP87" s="100"/>
      <c r="BQ87" s="92">
        <f>BO87-BA87</f>
        <v>0</v>
      </c>
      <c r="BR87" s="59"/>
      <c r="BS87" s="50"/>
      <c r="BU87" s="45">
        <f>1700</f>
        <v>1700</v>
      </c>
      <c r="BV87" s="46">
        <v>1</v>
      </c>
      <c r="BW87" s="118">
        <f>BU87*BV87</f>
        <v>1700</v>
      </c>
      <c r="BX87" s="118">
        <f>BW87-BO87</f>
        <v>0</v>
      </c>
      <c r="BY87" s="50"/>
      <c r="CA87" s="45">
        <v>725</v>
      </c>
      <c r="CB87" s="46">
        <v>1</v>
      </c>
      <c r="CC87" s="118">
        <f t="shared" ref="CC87:CC104" si="83">CA87*CB87</f>
        <v>725</v>
      </c>
      <c r="CD87" s="118"/>
      <c r="CE87" s="92">
        <f t="shared" ref="CE87:CE104" si="84">CC87-BW87</f>
        <v>-975</v>
      </c>
      <c r="CF87" s="92">
        <f t="shared" ref="CF87:CF104" si="85">CC87-BO87</f>
        <v>-975</v>
      </c>
      <c r="CG87" s="78" t="s">
        <v>463</v>
      </c>
      <c r="CH87" s="139"/>
      <c r="CI87" s="165">
        <v>635</v>
      </c>
      <c r="CJ87" s="164">
        <v>1</v>
      </c>
      <c r="CK87" s="165">
        <f t="shared" ref="CK87:CK118" si="86">CI87*CJ87</f>
        <v>635</v>
      </c>
      <c r="CL87" s="92">
        <f t="shared" si="80"/>
        <v>-90</v>
      </c>
      <c r="CM87" s="50"/>
      <c r="CN87" s="139"/>
      <c r="CO87" s="165">
        <v>634</v>
      </c>
      <c r="CP87" s="164">
        <v>1</v>
      </c>
      <c r="CQ87" s="165">
        <f t="shared" ref="CQ87:CQ118" si="87">CO87*CP87</f>
        <v>634</v>
      </c>
      <c r="CR87" s="168">
        <f t="shared" ref="CR87:CR118" si="88">CQ87-CK87</f>
        <v>-1</v>
      </c>
      <c r="CS87" s="139"/>
      <c r="CT87" s="139"/>
      <c r="CU87" s="165">
        <v>634</v>
      </c>
      <c r="CV87" s="164">
        <v>1</v>
      </c>
      <c r="CW87" s="165">
        <f t="shared" si="82"/>
        <v>634</v>
      </c>
      <c r="CX87" s="165">
        <v>638.745</v>
      </c>
      <c r="CY87" s="164">
        <v>1</v>
      </c>
      <c r="CZ87" s="165">
        <f t="shared" si="81"/>
        <v>638.745</v>
      </c>
      <c r="DA87" s="168">
        <f t="shared" si="52"/>
        <v>4.7450000000000045</v>
      </c>
      <c r="DB87" s="168">
        <f t="shared" si="53"/>
        <v>4.7450000000000045</v>
      </c>
      <c r="DC87" s="168"/>
      <c r="DD87" s="139"/>
      <c r="DE87" s="139"/>
      <c r="DF87" s="165">
        <v>638.745</v>
      </c>
      <c r="DG87" s="164">
        <v>1</v>
      </c>
      <c r="DH87" s="165">
        <f t="shared" si="68"/>
        <v>638.745</v>
      </c>
      <c r="DI87" s="168">
        <f t="shared" si="69"/>
        <v>0</v>
      </c>
      <c r="DJ87" s="168">
        <f t="shared" si="70"/>
        <v>4.7450000000000045</v>
      </c>
      <c r="DK87" s="168"/>
      <c r="DL87" s="168"/>
      <c r="DM87" s="168"/>
      <c r="DN87" s="168">
        <f t="shared" si="71"/>
        <v>638.745</v>
      </c>
      <c r="DO87" s="165">
        <v>0</v>
      </c>
      <c r="DP87" s="165">
        <v>0</v>
      </c>
      <c r="DQ87" s="165">
        <v>0</v>
      </c>
      <c r="DR87" s="165">
        <v>4.7450000000000001</v>
      </c>
      <c r="DS87" s="165">
        <v>94</v>
      </c>
      <c r="DT87" s="165">
        <v>70</v>
      </c>
      <c r="DU87" s="165">
        <v>235</v>
      </c>
      <c r="DV87" s="165">
        <v>100</v>
      </c>
      <c r="DW87" s="165">
        <v>55</v>
      </c>
      <c r="DX87" s="165">
        <v>30</v>
      </c>
      <c r="DY87" s="165">
        <v>50</v>
      </c>
      <c r="DZ87" s="165">
        <v>0</v>
      </c>
      <c r="EA87" s="168"/>
    </row>
    <row r="88" spans="1:131" s="91" customFormat="1" ht="16.25" hidden="1" customHeight="1" x14ac:dyDescent="0.4">
      <c r="A88" s="32" t="s">
        <v>97</v>
      </c>
      <c r="B88" s="32" t="s">
        <v>391</v>
      </c>
      <c r="C88" s="32" t="s">
        <v>172</v>
      </c>
      <c r="D88" s="16" t="s">
        <v>464</v>
      </c>
      <c r="E88" s="87" t="s">
        <v>465</v>
      </c>
      <c r="F88" s="87" t="s">
        <v>175</v>
      </c>
      <c r="G88" s="32" t="s">
        <v>101</v>
      </c>
      <c r="H88" s="36" t="s">
        <v>182</v>
      </c>
      <c r="I88" s="51"/>
      <c r="J88" s="38"/>
      <c r="K88" s="36"/>
      <c r="L88" s="36"/>
      <c r="M88" s="36"/>
      <c r="N88" s="36"/>
      <c r="O88" s="38"/>
      <c r="P88" s="32" t="s">
        <v>189</v>
      </c>
      <c r="Q88" s="129"/>
      <c r="R88" s="129"/>
      <c r="S88" s="129"/>
      <c r="T88" s="129"/>
      <c r="U88" s="129">
        <v>391</v>
      </c>
      <c r="V88" s="129">
        <v>200</v>
      </c>
      <c r="W88" s="129">
        <v>200</v>
      </c>
      <c r="X88" s="129">
        <v>58</v>
      </c>
      <c r="Y88" s="129"/>
      <c r="Z88" s="129"/>
      <c r="AA88" s="129"/>
      <c r="AB88" s="129"/>
      <c r="AC88" s="32"/>
      <c r="AD88" s="37"/>
      <c r="AE88" s="37"/>
      <c r="AF88" s="37"/>
      <c r="AG88" s="37"/>
      <c r="AH88" s="158"/>
      <c r="AI88" s="158"/>
      <c r="AJ88" s="37"/>
      <c r="AK88" s="46"/>
      <c r="AL88" s="47"/>
      <c r="AM88" s="162"/>
      <c r="AN88" s="39"/>
      <c r="AO88" s="97"/>
      <c r="AP88" s="39"/>
      <c r="AQ88" s="160"/>
      <c r="AR88" s="45"/>
      <c r="AS88" s="46"/>
      <c r="AT88" s="45"/>
      <c r="AU88" s="48"/>
      <c r="AV88" s="49"/>
      <c r="AW88" s="48"/>
      <c r="AY88" s="45"/>
      <c r="AZ88" s="46"/>
      <c r="BA88" s="45"/>
      <c r="BB88" s="39"/>
      <c r="BC88" s="50"/>
      <c r="BE88" s="45"/>
      <c r="BF88" s="46"/>
      <c r="BG88" s="45"/>
      <c r="BH88" s="76"/>
      <c r="BI88" s="39"/>
      <c r="BJ88" s="39"/>
      <c r="BK88" s="50"/>
      <c r="BM88" s="45"/>
      <c r="BN88" s="46"/>
      <c r="BO88" s="45"/>
      <c r="BP88" s="100"/>
      <c r="BQ88" s="92"/>
      <c r="BR88" s="59"/>
      <c r="BS88" s="50"/>
      <c r="BU88" s="45"/>
      <c r="BV88" s="46"/>
      <c r="BW88" s="118"/>
      <c r="BX88" s="118"/>
      <c r="BY88" s="50"/>
      <c r="CA88" s="45">
        <v>1150</v>
      </c>
      <c r="CB88" s="46">
        <v>1</v>
      </c>
      <c r="CC88" s="118">
        <f t="shared" si="83"/>
        <v>1150</v>
      </c>
      <c r="CD88" s="118"/>
      <c r="CE88" s="92">
        <f t="shared" si="84"/>
        <v>1150</v>
      </c>
      <c r="CF88" s="92">
        <f t="shared" si="85"/>
        <v>1150</v>
      </c>
      <c r="CG88" s="78"/>
      <c r="CH88" s="139"/>
      <c r="CI88" s="165">
        <v>849</v>
      </c>
      <c r="CJ88" s="164">
        <v>1</v>
      </c>
      <c r="CK88" s="165">
        <f t="shared" si="86"/>
        <v>849</v>
      </c>
      <c r="CL88" s="92">
        <f t="shared" si="80"/>
        <v>-301</v>
      </c>
      <c r="CM88" s="50"/>
      <c r="CN88" s="139"/>
      <c r="CO88" s="165">
        <v>849</v>
      </c>
      <c r="CP88" s="164">
        <v>1</v>
      </c>
      <c r="CQ88" s="165">
        <f t="shared" si="87"/>
        <v>849</v>
      </c>
      <c r="CR88" s="168">
        <f t="shared" si="88"/>
        <v>0</v>
      </c>
      <c r="CS88" s="139"/>
      <c r="CT88" s="139"/>
      <c r="CU88" s="165">
        <v>849</v>
      </c>
      <c r="CV88" s="164">
        <v>1</v>
      </c>
      <c r="CW88" s="165">
        <f t="shared" si="82"/>
        <v>849</v>
      </c>
      <c r="CX88" s="165">
        <v>849</v>
      </c>
      <c r="CY88" s="164">
        <v>1</v>
      </c>
      <c r="CZ88" s="165">
        <f t="shared" si="81"/>
        <v>849</v>
      </c>
      <c r="DA88" s="168">
        <f t="shared" si="52"/>
        <v>0</v>
      </c>
      <c r="DB88" s="168">
        <f t="shared" si="53"/>
        <v>0</v>
      </c>
      <c r="DC88" s="168"/>
      <c r="DD88" s="139"/>
      <c r="DE88" s="139"/>
      <c r="DF88" s="165">
        <v>849</v>
      </c>
      <c r="DG88" s="164">
        <v>1</v>
      </c>
      <c r="DH88" s="165">
        <f t="shared" si="68"/>
        <v>849</v>
      </c>
      <c r="DI88" s="168">
        <f t="shared" si="69"/>
        <v>0</v>
      </c>
      <c r="DJ88" s="168">
        <f t="shared" si="70"/>
        <v>0</v>
      </c>
      <c r="DK88" s="168"/>
      <c r="DL88" s="168"/>
      <c r="DM88" s="168"/>
      <c r="DN88" s="168">
        <f t="shared" si="71"/>
        <v>849</v>
      </c>
      <c r="DO88" s="165">
        <v>0</v>
      </c>
      <c r="DP88" s="165">
        <v>0</v>
      </c>
      <c r="DQ88" s="165">
        <v>0</v>
      </c>
      <c r="DR88" s="165">
        <v>0</v>
      </c>
      <c r="DS88" s="165">
        <v>0</v>
      </c>
      <c r="DT88" s="165">
        <v>142</v>
      </c>
      <c r="DU88" s="165">
        <v>102</v>
      </c>
      <c r="DV88" s="165">
        <v>100</v>
      </c>
      <c r="DW88" s="165">
        <v>190</v>
      </c>
      <c r="DX88" s="165">
        <v>295</v>
      </c>
      <c r="DY88" s="165">
        <v>20</v>
      </c>
      <c r="DZ88" s="165">
        <v>0</v>
      </c>
      <c r="EA88" s="168"/>
    </row>
    <row r="89" spans="1:131" s="91" customFormat="1" ht="16.25" hidden="1" customHeight="1" x14ac:dyDescent="0.4">
      <c r="A89" s="32" t="s">
        <v>97</v>
      </c>
      <c r="B89" s="32" t="s">
        <v>391</v>
      </c>
      <c r="C89" s="32" t="s">
        <v>172</v>
      </c>
      <c r="D89" s="16" t="s">
        <v>466</v>
      </c>
      <c r="E89" s="87" t="s">
        <v>467</v>
      </c>
      <c r="F89" s="87" t="s">
        <v>213</v>
      </c>
      <c r="G89" s="32" t="s">
        <v>101</v>
      </c>
      <c r="H89" s="36" t="s">
        <v>214</v>
      </c>
      <c r="I89" s="51"/>
      <c r="J89" s="38"/>
      <c r="K89" s="36"/>
      <c r="L89" s="36"/>
      <c r="M89" s="36"/>
      <c r="N89" s="36"/>
      <c r="O89" s="38"/>
      <c r="P89" s="32" t="s">
        <v>189</v>
      </c>
      <c r="Q89" s="129"/>
      <c r="R89" s="129"/>
      <c r="S89" s="129"/>
      <c r="T89" s="129"/>
      <c r="U89" s="129"/>
      <c r="V89" s="129">
        <v>75</v>
      </c>
      <c r="W89" s="129">
        <v>200</v>
      </c>
      <c r="X89" s="129"/>
      <c r="Y89" s="129"/>
      <c r="Z89" s="129"/>
      <c r="AA89" s="129"/>
      <c r="AB89" s="129"/>
      <c r="AC89" s="32"/>
      <c r="AD89" s="37"/>
      <c r="AE89" s="37"/>
      <c r="AF89" s="37"/>
      <c r="AG89" s="37"/>
      <c r="AH89" s="158"/>
      <c r="AI89" s="158"/>
      <c r="AJ89" s="37"/>
      <c r="AK89" s="46"/>
      <c r="AL89" s="47"/>
      <c r="AM89" s="162"/>
      <c r="AN89" s="39"/>
      <c r="AO89" s="97"/>
      <c r="AP89" s="39"/>
      <c r="AQ89" s="160"/>
      <c r="AR89" s="45"/>
      <c r="AS89" s="46"/>
      <c r="AT89" s="45"/>
      <c r="AU89" s="48"/>
      <c r="AV89" s="49"/>
      <c r="AW89" s="48"/>
      <c r="AY89" s="45"/>
      <c r="AZ89" s="46"/>
      <c r="BA89" s="45"/>
      <c r="BB89" s="39"/>
      <c r="BC89" s="50"/>
      <c r="BE89" s="45"/>
      <c r="BF89" s="46"/>
      <c r="BG89" s="45"/>
      <c r="BH89" s="76"/>
      <c r="BI89" s="39"/>
      <c r="BJ89" s="39"/>
      <c r="BK89" s="50"/>
      <c r="BM89" s="45"/>
      <c r="BN89" s="46"/>
      <c r="BO89" s="45"/>
      <c r="BP89" s="100"/>
      <c r="BQ89" s="92"/>
      <c r="BR89" s="59"/>
      <c r="BS89" s="50"/>
      <c r="BU89" s="45"/>
      <c r="BV89" s="46"/>
      <c r="BW89" s="118"/>
      <c r="BX89" s="118"/>
      <c r="BY89" s="50"/>
      <c r="CA89" s="45">
        <f>75+75</f>
        <v>150</v>
      </c>
      <c r="CB89" s="46">
        <v>1</v>
      </c>
      <c r="CC89" s="118">
        <f t="shared" si="83"/>
        <v>150</v>
      </c>
      <c r="CD89" s="118"/>
      <c r="CE89" s="92">
        <f t="shared" si="84"/>
        <v>150</v>
      </c>
      <c r="CF89" s="92">
        <f t="shared" si="85"/>
        <v>150</v>
      </c>
      <c r="CG89" s="78" t="s">
        <v>468</v>
      </c>
      <c r="CI89" s="160">
        <f>75+75</f>
        <v>150</v>
      </c>
      <c r="CJ89" s="164">
        <v>1</v>
      </c>
      <c r="CK89" s="165">
        <f t="shared" si="86"/>
        <v>150</v>
      </c>
      <c r="CL89" s="92">
        <f t="shared" si="80"/>
        <v>0</v>
      </c>
      <c r="CM89" s="50" t="s">
        <v>469</v>
      </c>
      <c r="CN89" s="139"/>
      <c r="CO89" s="160">
        <f>75+75</f>
        <v>150</v>
      </c>
      <c r="CP89" s="164">
        <v>1</v>
      </c>
      <c r="CQ89" s="165">
        <f t="shared" si="87"/>
        <v>150</v>
      </c>
      <c r="CR89" s="168">
        <f t="shared" si="88"/>
        <v>0</v>
      </c>
      <c r="CS89" s="139"/>
      <c r="CT89" s="139"/>
      <c r="CU89" s="160">
        <f>75+75</f>
        <v>150</v>
      </c>
      <c r="CV89" s="164">
        <v>1</v>
      </c>
      <c r="CW89" s="165">
        <f t="shared" si="82"/>
        <v>150</v>
      </c>
      <c r="CX89" s="160">
        <f>75+200</f>
        <v>275</v>
      </c>
      <c r="CY89" s="164">
        <v>1</v>
      </c>
      <c r="CZ89" s="165">
        <f t="shared" si="81"/>
        <v>275</v>
      </c>
      <c r="DA89" s="168">
        <f t="shared" si="52"/>
        <v>125</v>
      </c>
      <c r="DB89" s="168">
        <f t="shared" si="53"/>
        <v>125</v>
      </c>
      <c r="DC89" s="168"/>
      <c r="DD89" s="139" t="s">
        <v>470</v>
      </c>
      <c r="DE89" s="139"/>
      <c r="DF89" s="160">
        <v>75</v>
      </c>
      <c r="DG89" s="164">
        <v>1</v>
      </c>
      <c r="DH89" s="165">
        <f t="shared" si="68"/>
        <v>75</v>
      </c>
      <c r="DI89" s="168">
        <f t="shared" si="69"/>
        <v>-200</v>
      </c>
      <c r="DJ89" s="168">
        <f t="shared" si="70"/>
        <v>-75</v>
      </c>
      <c r="DK89" s="168" t="s">
        <v>471</v>
      </c>
      <c r="DL89" s="168"/>
      <c r="DM89" s="168"/>
      <c r="DN89" s="168">
        <f t="shared" si="71"/>
        <v>275</v>
      </c>
      <c r="DO89" s="165">
        <v>0</v>
      </c>
      <c r="DP89" s="165">
        <v>0</v>
      </c>
      <c r="DQ89" s="165">
        <v>0</v>
      </c>
      <c r="DR89" s="165">
        <v>0</v>
      </c>
      <c r="DS89" s="165">
        <v>0</v>
      </c>
      <c r="DT89" s="165">
        <v>120</v>
      </c>
      <c r="DU89" s="165">
        <v>50</v>
      </c>
      <c r="DV89" s="165">
        <v>30</v>
      </c>
      <c r="DW89" s="165">
        <v>75</v>
      </c>
      <c r="DX89" s="165">
        <v>0</v>
      </c>
      <c r="DY89" s="165">
        <v>0</v>
      </c>
      <c r="DZ89" s="165">
        <v>0</v>
      </c>
      <c r="EA89" s="168"/>
    </row>
    <row r="90" spans="1:131" s="91" customFormat="1" ht="16.25" hidden="1" customHeight="1" x14ac:dyDescent="0.4">
      <c r="A90" s="32" t="s">
        <v>97</v>
      </c>
      <c r="B90" s="32" t="s">
        <v>391</v>
      </c>
      <c r="C90" s="32" t="s">
        <v>172</v>
      </c>
      <c r="D90" s="16" t="s">
        <v>472</v>
      </c>
      <c r="E90" s="87" t="s">
        <v>473</v>
      </c>
      <c r="F90" s="87" t="s">
        <v>213</v>
      </c>
      <c r="G90" s="32" t="s">
        <v>101</v>
      </c>
      <c r="H90" s="36" t="s">
        <v>214</v>
      </c>
      <c r="I90" s="51"/>
      <c r="J90" s="38"/>
      <c r="K90" s="36"/>
      <c r="L90" s="36"/>
      <c r="M90" s="36"/>
      <c r="N90" s="36"/>
      <c r="O90" s="38"/>
      <c r="P90" s="32" t="s">
        <v>189</v>
      </c>
      <c r="Q90" s="129"/>
      <c r="R90" s="129"/>
      <c r="S90" s="129"/>
      <c r="T90" s="129"/>
      <c r="U90" s="129">
        <v>105</v>
      </c>
      <c r="V90" s="129">
        <v>105</v>
      </c>
      <c r="W90" s="129">
        <v>95</v>
      </c>
      <c r="X90" s="129"/>
      <c r="Y90" s="129"/>
      <c r="Z90" s="129"/>
      <c r="AA90" s="129"/>
      <c r="AB90" s="129"/>
      <c r="AC90" s="32"/>
      <c r="AD90" s="37"/>
      <c r="AE90" s="37"/>
      <c r="AF90" s="37"/>
      <c r="AG90" s="37"/>
      <c r="AH90" s="158"/>
      <c r="AI90" s="158"/>
      <c r="AJ90" s="37"/>
      <c r="AK90" s="46"/>
      <c r="AL90" s="47"/>
      <c r="AM90" s="162"/>
      <c r="AN90" s="39"/>
      <c r="AO90" s="97"/>
      <c r="AP90" s="39"/>
      <c r="AQ90" s="160"/>
      <c r="AR90" s="45"/>
      <c r="AS90" s="46"/>
      <c r="AT90" s="45"/>
      <c r="AU90" s="48"/>
      <c r="AV90" s="49"/>
      <c r="AW90" s="48"/>
      <c r="AY90" s="45"/>
      <c r="AZ90" s="46"/>
      <c r="BA90" s="45"/>
      <c r="BB90" s="39"/>
      <c r="BC90" s="50"/>
      <c r="BE90" s="45"/>
      <c r="BF90" s="46"/>
      <c r="BG90" s="45"/>
      <c r="BH90" s="76"/>
      <c r="BI90" s="39"/>
      <c r="BJ90" s="39"/>
      <c r="BK90" s="50"/>
      <c r="BM90" s="45"/>
      <c r="BN90" s="46"/>
      <c r="BO90" s="45"/>
      <c r="BP90" s="100"/>
      <c r="BQ90" s="92"/>
      <c r="BR90" s="59"/>
      <c r="BS90" s="50"/>
      <c r="BU90" s="45"/>
      <c r="BV90" s="46"/>
      <c r="BW90" s="118"/>
      <c r="BX90" s="118"/>
      <c r="BY90" s="50"/>
      <c r="CA90" s="45">
        <f>149+105</f>
        <v>254</v>
      </c>
      <c r="CB90" s="52">
        <v>1</v>
      </c>
      <c r="CC90" s="118">
        <f t="shared" si="83"/>
        <v>254</v>
      </c>
      <c r="CD90" s="118"/>
      <c r="CE90" s="92">
        <f t="shared" si="84"/>
        <v>254</v>
      </c>
      <c r="CF90" s="92">
        <f t="shared" si="85"/>
        <v>254</v>
      </c>
      <c r="CG90" s="50" t="s">
        <v>474</v>
      </c>
      <c r="CI90" s="160">
        <f>200+100</f>
        <v>300</v>
      </c>
      <c r="CJ90" s="167">
        <v>1</v>
      </c>
      <c r="CK90" s="165">
        <f t="shared" si="86"/>
        <v>300</v>
      </c>
      <c r="CL90" s="92">
        <f t="shared" si="80"/>
        <v>46</v>
      </c>
      <c r="CM90" s="50" t="s">
        <v>475</v>
      </c>
      <c r="CN90" s="139"/>
      <c r="CO90" s="160">
        <v>302.55399999999997</v>
      </c>
      <c r="CP90" s="167">
        <v>1</v>
      </c>
      <c r="CQ90" s="165">
        <f t="shared" si="87"/>
        <v>302.55399999999997</v>
      </c>
      <c r="CR90" s="168">
        <f t="shared" si="88"/>
        <v>2.5539999999999736</v>
      </c>
      <c r="CS90" s="139"/>
      <c r="CT90" s="139"/>
      <c r="CU90" s="160">
        <v>302.55399999999997</v>
      </c>
      <c r="CV90" s="167">
        <v>1</v>
      </c>
      <c r="CW90" s="165">
        <f t="shared" si="82"/>
        <v>302.55399999999997</v>
      </c>
      <c r="CX90" s="160">
        <v>304.51499999999999</v>
      </c>
      <c r="CY90" s="167">
        <v>1</v>
      </c>
      <c r="CZ90" s="165">
        <f t="shared" si="81"/>
        <v>304.51499999999999</v>
      </c>
      <c r="DA90" s="168">
        <f t="shared" si="52"/>
        <v>1.9610000000000127</v>
      </c>
      <c r="DB90" s="168">
        <f t="shared" si="53"/>
        <v>1.9610000000000127</v>
      </c>
      <c r="DC90" s="168"/>
      <c r="DD90" s="139"/>
      <c r="DE90" s="139"/>
      <c r="DF90" s="160">
        <v>304.51499999999999</v>
      </c>
      <c r="DG90" s="167">
        <v>1</v>
      </c>
      <c r="DH90" s="165">
        <f t="shared" si="68"/>
        <v>304.51499999999999</v>
      </c>
      <c r="DI90" s="168">
        <f t="shared" si="69"/>
        <v>0</v>
      </c>
      <c r="DJ90" s="168">
        <f t="shared" si="70"/>
        <v>1.9610000000000127</v>
      </c>
      <c r="DK90" s="168"/>
      <c r="DL90" s="168"/>
      <c r="DM90" s="168"/>
      <c r="DN90" s="168">
        <f t="shared" si="71"/>
        <v>304.51499999999999</v>
      </c>
      <c r="DO90" s="165">
        <v>0</v>
      </c>
      <c r="DP90" s="165">
        <v>0</v>
      </c>
      <c r="DQ90" s="165">
        <v>2.5539999999999998</v>
      </c>
      <c r="DR90" s="165">
        <v>1.9610000000000001</v>
      </c>
      <c r="DS90" s="165">
        <v>0</v>
      </c>
      <c r="DT90" s="165">
        <v>50</v>
      </c>
      <c r="DU90" s="165">
        <v>90</v>
      </c>
      <c r="DV90" s="165">
        <v>60</v>
      </c>
      <c r="DW90" s="165">
        <v>80</v>
      </c>
      <c r="DX90" s="165">
        <v>20</v>
      </c>
      <c r="DY90" s="165">
        <v>0</v>
      </c>
      <c r="DZ90" s="165">
        <v>0</v>
      </c>
      <c r="EA90" s="168"/>
    </row>
    <row r="91" spans="1:131" s="91" customFormat="1" ht="16.25" hidden="1" customHeight="1" x14ac:dyDescent="0.4">
      <c r="A91" s="32" t="s">
        <v>97</v>
      </c>
      <c r="B91" s="32" t="s">
        <v>391</v>
      </c>
      <c r="C91" s="32" t="s">
        <v>20</v>
      </c>
      <c r="D91" s="16" t="s">
        <v>476</v>
      </c>
      <c r="E91" s="87" t="s">
        <v>222</v>
      </c>
      <c r="F91" s="87" t="s">
        <v>223</v>
      </c>
      <c r="G91" s="32" t="s">
        <v>101</v>
      </c>
      <c r="H91" s="32" t="s">
        <v>224</v>
      </c>
      <c r="I91" s="16"/>
      <c r="J91" s="38"/>
      <c r="K91" s="36"/>
      <c r="L91" s="36"/>
      <c r="M91" s="36"/>
      <c r="N91" s="36"/>
      <c r="O91" s="38"/>
      <c r="P91" s="32" t="s">
        <v>193</v>
      </c>
      <c r="Q91" s="129"/>
      <c r="R91" s="129"/>
      <c r="S91" s="129"/>
      <c r="T91" s="129"/>
      <c r="U91" s="129"/>
      <c r="V91" s="129"/>
      <c r="W91" s="129">
        <f>CC91</f>
        <v>0</v>
      </c>
      <c r="X91" s="129"/>
      <c r="Y91" s="129"/>
      <c r="Z91" s="129"/>
      <c r="AA91" s="129"/>
      <c r="AB91" s="129"/>
      <c r="AC91" s="32"/>
      <c r="AD91" s="37"/>
      <c r="AE91" s="37"/>
      <c r="AF91" s="37"/>
      <c r="AG91" s="37"/>
      <c r="AH91" s="158"/>
      <c r="AI91" s="158"/>
      <c r="AJ91" s="37"/>
      <c r="AK91" s="46"/>
      <c r="AL91" s="47"/>
      <c r="AM91" s="162"/>
      <c r="AN91" s="39"/>
      <c r="AO91" s="97"/>
      <c r="AP91" s="39"/>
      <c r="AQ91" s="160"/>
      <c r="AR91" s="45"/>
      <c r="AS91" s="46"/>
      <c r="AT91" s="37"/>
      <c r="AU91" s="48"/>
      <c r="AV91" s="49"/>
      <c r="AW91" s="48"/>
      <c r="AY91" s="45"/>
      <c r="AZ91" s="46"/>
      <c r="BA91" s="37"/>
      <c r="BB91" s="39"/>
      <c r="BC91" s="50"/>
      <c r="BE91" s="45"/>
      <c r="BF91" s="52"/>
      <c r="BG91" s="37"/>
      <c r="BH91" s="37"/>
      <c r="BI91" s="39"/>
      <c r="BJ91" s="39"/>
      <c r="BK91" s="50"/>
      <c r="BM91" s="45">
        <v>50</v>
      </c>
      <c r="BN91" s="52">
        <v>0.5</v>
      </c>
      <c r="BO91" s="37">
        <f>BM91*BN91</f>
        <v>25</v>
      </c>
      <c r="BP91" s="37"/>
      <c r="BQ91" s="92"/>
      <c r="BR91" s="34"/>
      <c r="BS91" s="50"/>
      <c r="BU91" s="45">
        <v>50</v>
      </c>
      <c r="BV91" s="40">
        <v>0.5</v>
      </c>
      <c r="BW91" s="118">
        <f>BU91*BV91</f>
        <v>25</v>
      </c>
      <c r="BX91" s="118">
        <f>BW91-BO91</f>
        <v>0</v>
      </c>
      <c r="BY91" s="50"/>
      <c r="CA91" s="45">
        <v>50</v>
      </c>
      <c r="CB91" s="52">
        <v>0</v>
      </c>
      <c r="CC91" s="118">
        <f t="shared" si="83"/>
        <v>0</v>
      </c>
      <c r="CD91" s="118"/>
      <c r="CE91" s="92">
        <f t="shared" si="84"/>
        <v>-25</v>
      </c>
      <c r="CF91" s="92">
        <f t="shared" si="85"/>
        <v>-25</v>
      </c>
      <c r="CG91" s="50"/>
      <c r="CI91" s="160">
        <v>50</v>
      </c>
      <c r="CJ91" s="167">
        <v>0</v>
      </c>
      <c r="CK91" s="165">
        <f t="shared" si="86"/>
        <v>0</v>
      </c>
      <c r="CL91" s="92">
        <f t="shared" si="80"/>
        <v>0</v>
      </c>
      <c r="CM91" s="50"/>
      <c r="CN91" s="139"/>
      <c r="CO91" s="160">
        <v>50</v>
      </c>
      <c r="CP91" s="167">
        <v>0</v>
      </c>
      <c r="CQ91" s="165">
        <f t="shared" si="87"/>
        <v>0</v>
      </c>
      <c r="CR91" s="168">
        <f t="shared" si="88"/>
        <v>0</v>
      </c>
      <c r="CS91" s="139"/>
      <c r="CT91" s="139"/>
      <c r="CU91" s="160">
        <v>50</v>
      </c>
      <c r="CV91" s="167">
        <v>0</v>
      </c>
      <c r="CW91" s="165">
        <f t="shared" si="82"/>
        <v>0</v>
      </c>
      <c r="CX91" s="160">
        <v>0</v>
      </c>
      <c r="CY91" s="167">
        <v>0</v>
      </c>
      <c r="CZ91" s="165">
        <f t="shared" si="81"/>
        <v>0</v>
      </c>
      <c r="DA91" s="168">
        <f t="shared" si="52"/>
        <v>0</v>
      </c>
      <c r="DB91" s="168">
        <f t="shared" si="53"/>
        <v>0</v>
      </c>
      <c r="DC91" s="168"/>
      <c r="DD91" s="139"/>
      <c r="DE91" s="139"/>
      <c r="DF91" s="160">
        <v>0</v>
      </c>
      <c r="DG91" s="167">
        <v>0</v>
      </c>
      <c r="DH91" s="165">
        <f t="shared" si="68"/>
        <v>0</v>
      </c>
      <c r="DI91" s="168">
        <f t="shared" si="69"/>
        <v>0</v>
      </c>
      <c r="DJ91" s="168">
        <f t="shared" si="70"/>
        <v>0</v>
      </c>
      <c r="DK91" s="168"/>
      <c r="DL91" s="168"/>
      <c r="DM91" s="168"/>
      <c r="DN91" s="168">
        <f t="shared" si="71"/>
        <v>0</v>
      </c>
      <c r="DO91" s="165">
        <v>0</v>
      </c>
      <c r="DP91" s="165">
        <v>0</v>
      </c>
      <c r="DQ91" s="165">
        <v>0</v>
      </c>
      <c r="DR91" s="165">
        <v>0</v>
      </c>
      <c r="DS91" s="165">
        <v>0</v>
      </c>
      <c r="DT91" s="165">
        <v>0</v>
      </c>
      <c r="DU91" s="165">
        <v>0</v>
      </c>
      <c r="DV91" s="165">
        <v>0</v>
      </c>
      <c r="DW91" s="165">
        <v>0</v>
      </c>
      <c r="DX91" s="165">
        <v>0</v>
      </c>
      <c r="DY91" s="165">
        <v>0</v>
      </c>
      <c r="DZ91" s="165">
        <v>0</v>
      </c>
    </row>
    <row r="92" spans="1:131" s="91" customFormat="1" ht="16.25" hidden="1" customHeight="1" x14ac:dyDescent="0.4">
      <c r="A92" s="32" t="s">
        <v>97</v>
      </c>
      <c r="B92" s="32" t="s">
        <v>391</v>
      </c>
      <c r="C92" s="32" t="s">
        <v>20</v>
      </c>
      <c r="D92" s="16" t="s">
        <v>477</v>
      </c>
      <c r="E92" s="87" t="s">
        <v>227</v>
      </c>
      <c r="F92" s="87" t="s">
        <v>223</v>
      </c>
      <c r="G92" s="32" t="s">
        <v>101</v>
      </c>
      <c r="H92" s="32" t="s">
        <v>224</v>
      </c>
      <c r="I92" s="16"/>
      <c r="J92" s="38" t="s">
        <v>225</v>
      </c>
      <c r="K92" s="36"/>
      <c r="L92" s="36"/>
      <c r="M92" s="36"/>
      <c r="N92" s="36"/>
      <c r="O92" s="38"/>
      <c r="P92" s="32" t="s">
        <v>193</v>
      </c>
      <c r="Q92" s="129"/>
      <c r="R92" s="129"/>
      <c r="S92" s="129"/>
      <c r="T92" s="129"/>
      <c r="U92" s="129"/>
      <c r="V92" s="129"/>
      <c r="W92" s="129"/>
      <c r="X92" s="129">
        <f>CC92</f>
        <v>0</v>
      </c>
      <c r="Y92" s="129"/>
      <c r="Z92" s="129"/>
      <c r="AA92" s="129"/>
      <c r="AB92" s="129"/>
      <c r="AC92" s="32"/>
      <c r="AD92" s="37"/>
      <c r="AE92" s="37"/>
      <c r="AF92" s="37"/>
      <c r="AG92" s="37"/>
      <c r="AH92" s="158"/>
      <c r="AI92" s="158"/>
      <c r="AJ92" s="37"/>
      <c r="AK92" s="46"/>
      <c r="AL92" s="47"/>
      <c r="AM92" s="162"/>
      <c r="AN92" s="39"/>
      <c r="AO92" s="97"/>
      <c r="AP92" s="39"/>
      <c r="AQ92" s="160"/>
      <c r="AR92" s="45"/>
      <c r="AS92" s="46"/>
      <c r="AT92" s="37"/>
      <c r="AU92" s="48"/>
      <c r="AV92" s="49"/>
      <c r="AW92" s="48"/>
      <c r="AY92" s="45"/>
      <c r="AZ92" s="46"/>
      <c r="BA92" s="37"/>
      <c r="BB92" s="39"/>
      <c r="BC92" s="50"/>
      <c r="BE92" s="45"/>
      <c r="BF92" s="46"/>
      <c r="BG92" s="37"/>
      <c r="BH92" s="37"/>
      <c r="BI92" s="39"/>
      <c r="BJ92" s="39"/>
      <c r="BK92" s="50"/>
      <c r="BM92" s="45">
        <v>100</v>
      </c>
      <c r="BN92" s="46">
        <v>0.5</v>
      </c>
      <c r="BO92" s="37">
        <f>BM92*BN92</f>
        <v>50</v>
      </c>
      <c r="BP92" s="37"/>
      <c r="BQ92" s="92">
        <f>BO92-BA92</f>
        <v>50</v>
      </c>
      <c r="BR92" s="59"/>
      <c r="BS92" s="50"/>
      <c r="BU92" s="45">
        <v>100</v>
      </c>
      <c r="BV92" s="40">
        <v>0.5</v>
      </c>
      <c r="BW92" s="118">
        <f>BU92*BV92</f>
        <v>50</v>
      </c>
      <c r="BX92" s="118">
        <f>BW92-BO92</f>
        <v>0</v>
      </c>
      <c r="BY92" s="50"/>
      <c r="CA92" s="45">
        <v>100</v>
      </c>
      <c r="CB92" s="46">
        <v>0</v>
      </c>
      <c r="CC92" s="118">
        <f t="shared" si="83"/>
        <v>0</v>
      </c>
      <c r="CD92" s="118"/>
      <c r="CE92" s="92">
        <f t="shared" si="84"/>
        <v>-50</v>
      </c>
      <c r="CF92" s="92">
        <f t="shared" si="85"/>
        <v>-50</v>
      </c>
      <c r="CG92" s="50"/>
      <c r="CI92" s="160">
        <v>100</v>
      </c>
      <c r="CJ92" s="164">
        <v>0</v>
      </c>
      <c r="CK92" s="165">
        <f t="shared" si="86"/>
        <v>0</v>
      </c>
      <c r="CL92" s="92">
        <f t="shared" si="80"/>
        <v>0</v>
      </c>
      <c r="CM92" s="50"/>
      <c r="CN92" s="139"/>
      <c r="CO92" s="160">
        <v>100</v>
      </c>
      <c r="CP92" s="164">
        <v>0</v>
      </c>
      <c r="CQ92" s="165">
        <f t="shared" si="87"/>
        <v>0</v>
      </c>
      <c r="CR92" s="168">
        <f t="shared" si="88"/>
        <v>0</v>
      </c>
      <c r="CS92" s="139"/>
      <c r="CT92" s="139"/>
      <c r="CU92" s="160">
        <v>100</v>
      </c>
      <c r="CV92" s="164">
        <v>0</v>
      </c>
      <c r="CW92" s="165">
        <f t="shared" si="82"/>
        <v>0</v>
      </c>
      <c r="CX92" s="160">
        <v>0</v>
      </c>
      <c r="CY92" s="164">
        <v>0</v>
      </c>
      <c r="CZ92" s="165">
        <f t="shared" si="81"/>
        <v>0</v>
      </c>
      <c r="DA92" s="168">
        <f t="shared" si="52"/>
        <v>0</v>
      </c>
      <c r="DB92" s="168">
        <f t="shared" si="53"/>
        <v>0</v>
      </c>
      <c r="DC92" s="168"/>
      <c r="DD92" s="139"/>
      <c r="DE92" s="139"/>
      <c r="DF92" s="160">
        <v>0</v>
      </c>
      <c r="DG92" s="164">
        <v>0</v>
      </c>
      <c r="DH92" s="165">
        <f t="shared" si="68"/>
        <v>0</v>
      </c>
      <c r="DI92" s="168">
        <f t="shared" si="69"/>
        <v>0</v>
      </c>
      <c r="DJ92" s="168">
        <f t="shared" si="70"/>
        <v>0</v>
      </c>
      <c r="DK92" s="168"/>
      <c r="DL92" s="168"/>
      <c r="DM92" s="168"/>
      <c r="DN92" s="168">
        <f t="shared" si="71"/>
        <v>0</v>
      </c>
      <c r="DO92" s="165">
        <v>0</v>
      </c>
      <c r="DP92" s="165">
        <v>0</v>
      </c>
      <c r="DQ92" s="165">
        <v>0</v>
      </c>
      <c r="DR92" s="165">
        <v>0</v>
      </c>
      <c r="DS92" s="165">
        <v>0</v>
      </c>
      <c r="DT92" s="165">
        <v>0</v>
      </c>
      <c r="DU92" s="165">
        <v>0</v>
      </c>
      <c r="DV92" s="165">
        <v>0</v>
      </c>
      <c r="DW92" s="165">
        <v>0</v>
      </c>
      <c r="DX92" s="165">
        <v>0</v>
      </c>
      <c r="DY92" s="165">
        <v>0</v>
      </c>
      <c r="DZ92" s="165">
        <v>0</v>
      </c>
    </row>
    <row r="93" spans="1:131" s="91" customFormat="1" ht="16.25" hidden="1" customHeight="1" x14ac:dyDescent="0.4">
      <c r="A93" s="32" t="s">
        <v>97</v>
      </c>
      <c r="B93" s="32" t="s">
        <v>391</v>
      </c>
      <c r="C93" s="32" t="s">
        <v>20</v>
      </c>
      <c r="D93" s="16" t="s">
        <v>478</v>
      </c>
      <c r="E93" s="87" t="s">
        <v>479</v>
      </c>
      <c r="F93" s="87" t="s">
        <v>114</v>
      </c>
      <c r="G93" s="32" t="s">
        <v>101</v>
      </c>
      <c r="H93" s="32"/>
      <c r="I93" s="16" t="s">
        <v>259</v>
      </c>
      <c r="J93" s="33" t="s">
        <v>480</v>
      </c>
      <c r="K93" s="36"/>
      <c r="L93" s="36"/>
      <c r="M93" s="36" t="s">
        <v>450</v>
      </c>
      <c r="N93" s="36"/>
      <c r="O93" s="33" t="s">
        <v>481</v>
      </c>
      <c r="P93" s="32" t="s">
        <v>193</v>
      </c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  <c r="AC93" s="171"/>
      <c r="AD93" s="37">
        <v>50</v>
      </c>
      <c r="AE93" s="37">
        <v>0</v>
      </c>
      <c r="AF93" s="39"/>
      <c r="AG93" s="39"/>
      <c r="AH93" s="87"/>
      <c r="AI93" s="159"/>
      <c r="AJ93" s="37">
        <v>0</v>
      </c>
      <c r="AK93" s="46">
        <v>0</v>
      </c>
      <c r="AL93" s="47">
        <f>AJ93*AK93</f>
        <v>0</v>
      </c>
      <c r="AM93" s="162"/>
      <c r="AN93" s="39">
        <v>0</v>
      </c>
      <c r="AO93" s="97">
        <v>0</v>
      </c>
      <c r="AP93" s="39">
        <v>0</v>
      </c>
      <c r="AQ93" s="159"/>
      <c r="AR93" s="45">
        <v>50</v>
      </c>
      <c r="AS93" s="46">
        <v>0.9</v>
      </c>
      <c r="AT93" s="37">
        <f>AR93*AS93</f>
        <v>45</v>
      </c>
      <c r="AU93" s="48"/>
      <c r="AV93" s="49">
        <f>AU93*AS93</f>
        <v>0</v>
      </c>
      <c r="AW93" s="48"/>
      <c r="AY93" s="45">
        <v>50</v>
      </c>
      <c r="AZ93" s="46">
        <v>0.9</v>
      </c>
      <c r="BA93" s="37">
        <f>AY93*AZ93</f>
        <v>45</v>
      </c>
      <c r="BB93" s="39">
        <f>BA93-AT93</f>
        <v>0</v>
      </c>
      <c r="BC93" s="50"/>
      <c r="BE93" s="45">
        <v>50</v>
      </c>
      <c r="BF93" s="46">
        <v>0.9</v>
      </c>
      <c r="BG93" s="37">
        <f>BE93*BF93</f>
        <v>45</v>
      </c>
      <c r="BH93" s="37"/>
      <c r="BI93" s="39">
        <f>BG93-BA93</f>
        <v>0</v>
      </c>
      <c r="BJ93" s="39"/>
      <c r="BK93" s="50"/>
      <c r="BM93" s="45">
        <v>50</v>
      </c>
      <c r="BN93" s="46">
        <v>0.9</v>
      </c>
      <c r="BO93" s="37">
        <f>BM93*BN93</f>
        <v>45</v>
      </c>
      <c r="BP93" s="37">
        <v>45</v>
      </c>
      <c r="BQ93" s="92">
        <f>BO93-BA93</f>
        <v>0</v>
      </c>
      <c r="BR93" s="59"/>
      <c r="BS93" s="50"/>
      <c r="BU93" s="45">
        <v>50</v>
      </c>
      <c r="BV93" s="46">
        <v>0.9</v>
      </c>
      <c r="BW93" s="118">
        <f>BU93*BV93</f>
        <v>45</v>
      </c>
      <c r="BX93" s="118">
        <f>BW93-BO93</f>
        <v>0</v>
      </c>
      <c r="BY93" s="50"/>
      <c r="CA93" s="45">
        <v>0</v>
      </c>
      <c r="CB93" s="46">
        <v>0</v>
      </c>
      <c r="CC93" s="118">
        <f t="shared" si="83"/>
        <v>0</v>
      </c>
      <c r="CD93" s="118"/>
      <c r="CE93" s="92">
        <f t="shared" si="84"/>
        <v>-45</v>
      </c>
      <c r="CF93" s="92">
        <f t="shared" si="85"/>
        <v>-45</v>
      </c>
      <c r="CG93" s="50"/>
      <c r="CI93" s="160">
        <v>0</v>
      </c>
      <c r="CJ93" s="164">
        <v>0</v>
      </c>
      <c r="CK93" s="165">
        <f t="shared" si="86"/>
        <v>0</v>
      </c>
      <c r="CL93" s="92">
        <f t="shared" si="80"/>
        <v>0</v>
      </c>
      <c r="CM93" s="50"/>
      <c r="CN93" s="139"/>
      <c r="CO93" s="160">
        <v>0</v>
      </c>
      <c r="CP93" s="164">
        <v>0</v>
      </c>
      <c r="CQ93" s="165">
        <f t="shared" si="87"/>
        <v>0</v>
      </c>
      <c r="CR93" s="168">
        <f t="shared" si="88"/>
        <v>0</v>
      </c>
      <c r="CS93" s="139"/>
      <c r="CT93" s="139"/>
      <c r="CU93" s="160">
        <v>0</v>
      </c>
      <c r="CV93" s="164">
        <v>0</v>
      </c>
      <c r="CW93" s="165">
        <f t="shared" si="82"/>
        <v>0</v>
      </c>
      <c r="CX93" s="160">
        <v>0</v>
      </c>
      <c r="CY93" s="164">
        <v>0</v>
      </c>
      <c r="CZ93" s="165">
        <f t="shared" si="81"/>
        <v>0</v>
      </c>
      <c r="DA93" s="168">
        <f t="shared" si="52"/>
        <v>0</v>
      </c>
      <c r="DB93" s="168">
        <f t="shared" si="53"/>
        <v>0</v>
      </c>
      <c r="DC93" s="168"/>
      <c r="DD93" s="139"/>
      <c r="DE93" s="139"/>
      <c r="DF93" s="160">
        <v>0</v>
      </c>
      <c r="DG93" s="164">
        <v>0</v>
      </c>
      <c r="DH93" s="165">
        <f t="shared" si="68"/>
        <v>0</v>
      </c>
      <c r="DI93" s="168">
        <f t="shared" si="69"/>
        <v>0</v>
      </c>
      <c r="DJ93" s="168">
        <f t="shared" si="70"/>
        <v>0</v>
      </c>
      <c r="DK93" s="168"/>
      <c r="DL93" s="168"/>
      <c r="DM93" s="168"/>
      <c r="DN93" s="168">
        <f t="shared" si="71"/>
        <v>0</v>
      </c>
      <c r="DO93" s="165">
        <v>0</v>
      </c>
      <c r="DP93" s="165">
        <v>0</v>
      </c>
      <c r="DQ93" s="165">
        <v>0</v>
      </c>
      <c r="DR93" s="165">
        <v>0</v>
      </c>
      <c r="DS93" s="165">
        <v>0</v>
      </c>
      <c r="DT93" s="165">
        <v>0</v>
      </c>
      <c r="DU93" s="165">
        <v>0</v>
      </c>
      <c r="DV93" s="165">
        <v>0</v>
      </c>
      <c r="DW93" s="165">
        <v>0</v>
      </c>
      <c r="DX93" s="165">
        <v>0</v>
      </c>
      <c r="DY93" s="165">
        <v>0</v>
      </c>
      <c r="DZ93" s="165">
        <v>0</v>
      </c>
    </row>
    <row r="94" spans="1:131" s="91" customFormat="1" ht="16.25" hidden="1" customHeight="1" x14ac:dyDescent="0.4">
      <c r="A94" s="32" t="s">
        <v>97</v>
      </c>
      <c r="B94" s="32" t="s">
        <v>391</v>
      </c>
      <c r="C94" s="32" t="s">
        <v>20</v>
      </c>
      <c r="D94" s="16" t="s">
        <v>482</v>
      </c>
      <c r="E94" s="87" t="s">
        <v>196</v>
      </c>
      <c r="F94" s="87" t="s">
        <v>100</v>
      </c>
      <c r="G94" s="32" t="s">
        <v>101</v>
      </c>
      <c r="H94" s="32" t="s">
        <v>214</v>
      </c>
      <c r="I94" s="16" t="s">
        <v>483</v>
      </c>
      <c r="J94" s="38" t="s">
        <v>484</v>
      </c>
      <c r="K94" s="38"/>
      <c r="L94" s="38"/>
      <c r="M94" s="36" t="s">
        <v>485</v>
      </c>
      <c r="N94" s="36"/>
      <c r="O94" s="38" t="s">
        <v>197</v>
      </c>
      <c r="P94" s="171" t="s">
        <v>230</v>
      </c>
      <c r="Q94" s="129"/>
      <c r="R94" s="129"/>
      <c r="S94" s="129"/>
      <c r="T94" s="129">
        <f>CC94</f>
        <v>90</v>
      </c>
      <c r="U94" s="129"/>
      <c r="V94" s="129"/>
      <c r="W94" s="129"/>
      <c r="X94" s="129"/>
      <c r="Y94" s="129"/>
      <c r="Z94" s="129"/>
      <c r="AA94" s="129"/>
      <c r="AB94" s="129"/>
      <c r="AC94" s="171"/>
      <c r="AD94" s="37">
        <v>80</v>
      </c>
      <c r="AE94" s="37">
        <v>200</v>
      </c>
      <c r="AF94" s="37"/>
      <c r="AG94" s="37"/>
      <c r="AH94" s="158"/>
      <c r="AI94" s="158"/>
      <c r="AJ94" s="37">
        <v>0</v>
      </c>
      <c r="AK94" s="46">
        <v>0</v>
      </c>
      <c r="AL94" s="47">
        <f>AJ94*AK94</f>
        <v>0</v>
      </c>
      <c r="AM94" s="162"/>
      <c r="AN94" s="39">
        <v>0</v>
      </c>
      <c r="AO94" s="97">
        <v>0</v>
      </c>
      <c r="AP94" s="39">
        <v>0</v>
      </c>
      <c r="AQ94" s="160"/>
      <c r="AR94" s="73">
        <v>100</v>
      </c>
      <c r="AS94" s="46">
        <v>0.9</v>
      </c>
      <c r="AT94" s="37">
        <f>AR94*AS94</f>
        <v>90</v>
      </c>
      <c r="AU94" s="48"/>
      <c r="AV94" s="49">
        <f>AU94*AS94</f>
        <v>0</v>
      </c>
      <c r="AW94" s="48" t="s">
        <v>486</v>
      </c>
      <c r="AY94" s="73">
        <v>100</v>
      </c>
      <c r="AZ94" s="46">
        <v>0.9</v>
      </c>
      <c r="BA94" s="37">
        <f>AY94*AZ94</f>
        <v>90</v>
      </c>
      <c r="BB94" s="39">
        <f>BA94-AT94</f>
        <v>0</v>
      </c>
      <c r="BC94" s="50"/>
      <c r="BE94" s="45">
        <v>100</v>
      </c>
      <c r="BF94" s="46">
        <v>0.9</v>
      </c>
      <c r="BG94" s="37">
        <f>BE94*BF94</f>
        <v>90</v>
      </c>
      <c r="BH94" s="37"/>
      <c r="BI94" s="39">
        <f>BG94-BA94</f>
        <v>0</v>
      </c>
      <c r="BJ94" s="39"/>
      <c r="BK94" s="50"/>
      <c r="BM94" s="45">
        <v>100</v>
      </c>
      <c r="BN94" s="46">
        <v>0.9</v>
      </c>
      <c r="BO94" s="37">
        <f>BM94*BN94</f>
        <v>90</v>
      </c>
      <c r="BP94" s="37">
        <v>90</v>
      </c>
      <c r="BQ94" s="92">
        <f>BO94-BA94</f>
        <v>0</v>
      </c>
      <c r="BR94" s="59"/>
      <c r="BS94" s="50"/>
      <c r="BT94" s="139"/>
      <c r="BU94" s="45">
        <v>100</v>
      </c>
      <c r="BV94" s="46">
        <v>0.9</v>
      </c>
      <c r="BW94" s="118">
        <f>BU94*BV94</f>
        <v>90</v>
      </c>
      <c r="BX94" s="118">
        <f>BW94-BO94</f>
        <v>0</v>
      </c>
      <c r="BY94" s="67"/>
      <c r="CA94" s="45">
        <v>100</v>
      </c>
      <c r="CB94" s="46">
        <v>0.9</v>
      </c>
      <c r="CC94" s="118">
        <f t="shared" si="83"/>
        <v>90</v>
      </c>
      <c r="CD94" s="118"/>
      <c r="CE94" s="92">
        <f t="shared" si="84"/>
        <v>0</v>
      </c>
      <c r="CF94" s="92">
        <f t="shared" si="85"/>
        <v>0</v>
      </c>
      <c r="CG94" s="50"/>
      <c r="CI94" s="160">
        <v>100</v>
      </c>
      <c r="CJ94" s="164">
        <v>0.9</v>
      </c>
      <c r="CK94" s="165">
        <f t="shared" si="86"/>
        <v>90</v>
      </c>
      <c r="CL94" s="92">
        <f t="shared" si="80"/>
        <v>0</v>
      </c>
      <c r="CM94" s="50"/>
      <c r="CN94" s="139"/>
      <c r="CO94" s="160">
        <v>100</v>
      </c>
      <c r="CP94" s="164">
        <v>0.9</v>
      </c>
      <c r="CQ94" s="165">
        <f t="shared" si="87"/>
        <v>90</v>
      </c>
      <c r="CR94" s="168">
        <f t="shared" si="88"/>
        <v>0</v>
      </c>
      <c r="CS94" s="139"/>
      <c r="CT94" s="139"/>
      <c r="CU94" s="160">
        <v>100</v>
      </c>
      <c r="CV94" s="164">
        <v>0.9</v>
      </c>
      <c r="CW94" s="165">
        <f t="shared" si="82"/>
        <v>90</v>
      </c>
      <c r="CX94" s="160">
        <v>100</v>
      </c>
      <c r="CY94" s="164">
        <v>0.9</v>
      </c>
      <c r="CZ94" s="165">
        <f t="shared" si="81"/>
        <v>90</v>
      </c>
      <c r="DA94" s="168">
        <f t="shared" si="52"/>
        <v>0</v>
      </c>
      <c r="DB94" s="168">
        <f t="shared" si="53"/>
        <v>0</v>
      </c>
      <c r="DC94" s="168"/>
      <c r="DD94" s="139"/>
      <c r="DE94" s="139"/>
      <c r="DF94" s="160">
        <v>0</v>
      </c>
      <c r="DG94" s="164">
        <v>0</v>
      </c>
      <c r="DH94" s="165">
        <f t="shared" ref="DH94" si="89">DF94*DG94</f>
        <v>0</v>
      </c>
      <c r="DI94" s="168">
        <f t="shared" si="69"/>
        <v>-90</v>
      </c>
      <c r="DJ94" s="168">
        <f t="shared" si="70"/>
        <v>-90</v>
      </c>
      <c r="DK94" s="168" t="s">
        <v>487</v>
      </c>
      <c r="DL94" s="168"/>
      <c r="DM94" s="168"/>
      <c r="DN94" s="168">
        <f t="shared" si="71"/>
        <v>90.001800000000003</v>
      </c>
      <c r="DO94" s="165">
        <v>0</v>
      </c>
      <c r="DP94" s="165">
        <v>0</v>
      </c>
      <c r="DQ94" s="165">
        <v>0</v>
      </c>
      <c r="DR94" s="165">
        <v>0</v>
      </c>
      <c r="DS94" s="165">
        <v>0</v>
      </c>
      <c r="DT94" s="165">
        <v>0</v>
      </c>
      <c r="DU94" s="165">
        <v>0</v>
      </c>
      <c r="DV94" s="165">
        <v>30.000600000000002</v>
      </c>
      <c r="DW94" s="165">
        <v>30.000600000000002</v>
      </c>
      <c r="DX94" s="165">
        <v>30.000600000000002</v>
      </c>
      <c r="DY94" s="165">
        <v>0</v>
      </c>
      <c r="DZ94" s="165">
        <v>0</v>
      </c>
      <c r="EA94" s="168"/>
    </row>
    <row r="95" spans="1:131" s="50" customFormat="1" ht="16.25" hidden="1" customHeight="1" x14ac:dyDescent="0.35">
      <c r="A95" s="36" t="s">
        <v>97</v>
      </c>
      <c r="B95" s="36" t="s">
        <v>391</v>
      </c>
      <c r="C95" s="36" t="s">
        <v>20</v>
      </c>
      <c r="D95" s="53" t="s">
        <v>488</v>
      </c>
      <c r="E95" s="38" t="s">
        <v>489</v>
      </c>
      <c r="F95" s="38" t="s">
        <v>114</v>
      </c>
      <c r="G95" s="32" t="s">
        <v>263</v>
      </c>
      <c r="H95" s="32"/>
      <c r="I95" s="51"/>
      <c r="J95" s="38"/>
      <c r="K95" s="36"/>
      <c r="L95" s="36"/>
      <c r="M95" s="36"/>
      <c r="N95" s="36"/>
      <c r="O95" s="38"/>
      <c r="P95" s="42" t="s">
        <v>230</v>
      </c>
      <c r="Q95" s="129"/>
      <c r="R95" s="129"/>
      <c r="S95" s="129"/>
      <c r="T95" s="129"/>
      <c r="V95" s="129"/>
      <c r="W95" s="129"/>
      <c r="X95" s="129"/>
      <c r="Y95" s="129"/>
      <c r="Z95" s="129"/>
      <c r="AA95" s="129"/>
      <c r="AB95" s="129"/>
      <c r="AC95" s="36"/>
      <c r="AD95" s="37"/>
      <c r="AE95" s="37"/>
      <c r="AF95" s="37"/>
      <c r="AG95" s="37"/>
      <c r="AH95" s="34"/>
      <c r="AI95" s="34"/>
      <c r="AJ95" s="37"/>
      <c r="AK95" s="46"/>
      <c r="AL95" s="47"/>
      <c r="AM95" s="47"/>
      <c r="AN95" s="39"/>
      <c r="AO95" s="97"/>
      <c r="AP95" s="39"/>
      <c r="AQ95" s="45"/>
      <c r="AR95" s="45"/>
      <c r="AS95" s="46"/>
      <c r="AT95" s="37"/>
      <c r="AU95" s="48"/>
      <c r="AV95" s="49"/>
      <c r="AW95" s="48"/>
      <c r="AX95" s="34"/>
      <c r="AY95" s="45"/>
      <c r="AZ95" s="46"/>
      <c r="BA95" s="37"/>
      <c r="BB95" s="39"/>
      <c r="BD95" s="34"/>
      <c r="BE95" s="45"/>
      <c r="BF95" s="46"/>
      <c r="BG95" s="37"/>
      <c r="BH95" s="37"/>
      <c r="BI95" s="39"/>
      <c r="BJ95" s="39"/>
      <c r="BL95" s="34"/>
      <c r="BM95" s="45"/>
      <c r="BN95" s="46"/>
      <c r="BO95" s="37"/>
      <c r="BP95" s="37"/>
      <c r="BQ95" s="92"/>
      <c r="BR95" s="59"/>
      <c r="BT95" s="34"/>
      <c r="BU95" s="45"/>
      <c r="BV95" s="46"/>
      <c r="BW95" s="118"/>
      <c r="BX95" s="118"/>
      <c r="BZ95" s="34"/>
      <c r="CA95" s="45">
        <v>150</v>
      </c>
      <c r="CB95" s="46">
        <v>0.75</v>
      </c>
      <c r="CC95" s="118">
        <f t="shared" si="83"/>
        <v>112.5</v>
      </c>
      <c r="CD95" s="118"/>
      <c r="CE95" s="92">
        <f t="shared" si="84"/>
        <v>112.5</v>
      </c>
      <c r="CF95" s="92">
        <f t="shared" si="85"/>
        <v>112.5</v>
      </c>
      <c r="CH95" s="34"/>
      <c r="CI95" s="45">
        <v>0</v>
      </c>
      <c r="CJ95" s="46">
        <v>0</v>
      </c>
      <c r="CK95" s="118">
        <f t="shared" si="86"/>
        <v>0</v>
      </c>
      <c r="CL95" s="118">
        <f t="shared" si="80"/>
        <v>-112.5</v>
      </c>
      <c r="CM95" s="34"/>
      <c r="CN95" s="17"/>
      <c r="CO95" s="45">
        <v>0</v>
      </c>
      <c r="CP95" s="46">
        <v>0</v>
      </c>
      <c r="CQ95" s="118">
        <f t="shared" si="87"/>
        <v>0</v>
      </c>
      <c r="CR95" s="92">
        <f t="shared" si="88"/>
        <v>0</v>
      </c>
      <c r="CS95" s="17"/>
      <c r="CT95" s="17"/>
      <c r="CU95" s="45">
        <v>0</v>
      </c>
      <c r="CV95" s="46">
        <v>0</v>
      </c>
      <c r="CW95" s="118">
        <f t="shared" si="82"/>
        <v>0</v>
      </c>
      <c r="CX95" s="45">
        <v>0</v>
      </c>
      <c r="CY95" s="46">
        <v>0</v>
      </c>
      <c r="CZ95" s="118">
        <f t="shared" si="81"/>
        <v>0</v>
      </c>
      <c r="DA95" s="92">
        <f>CW95-CQ95</f>
        <v>0</v>
      </c>
      <c r="DB95" s="92"/>
      <c r="DC95" s="92"/>
      <c r="DD95" s="17"/>
      <c r="DE95" s="17"/>
      <c r="DF95" s="45">
        <v>0</v>
      </c>
      <c r="DG95" s="46">
        <v>0</v>
      </c>
      <c r="DH95" s="118">
        <f t="shared" si="68"/>
        <v>0</v>
      </c>
      <c r="DI95" s="168">
        <f t="shared" si="69"/>
        <v>0</v>
      </c>
      <c r="DJ95" s="168">
        <f t="shared" si="70"/>
        <v>0</v>
      </c>
      <c r="DK95" s="17"/>
      <c r="DL95" s="17"/>
      <c r="DM95" s="17"/>
      <c r="DN95" s="92">
        <f t="shared" si="71"/>
        <v>0</v>
      </c>
      <c r="DO95" s="165"/>
      <c r="DP95" s="165"/>
      <c r="DQ95" s="165"/>
      <c r="DR95" s="165"/>
      <c r="DS95" s="165"/>
      <c r="DT95" s="165"/>
      <c r="DU95" s="165"/>
      <c r="DV95" s="165"/>
      <c r="DW95" s="165"/>
      <c r="DX95" s="165"/>
      <c r="DY95" s="165"/>
      <c r="DZ95" s="165"/>
    </row>
    <row r="96" spans="1:131" s="50" customFormat="1" ht="16.25" hidden="1" customHeight="1" x14ac:dyDescent="0.35">
      <c r="A96" s="36" t="s">
        <v>97</v>
      </c>
      <c r="B96" s="36" t="s">
        <v>391</v>
      </c>
      <c r="C96" s="36" t="s">
        <v>20</v>
      </c>
      <c r="D96" s="36" t="s">
        <v>493</v>
      </c>
      <c r="E96" s="84" t="s">
        <v>494</v>
      </c>
      <c r="F96" s="38" t="s">
        <v>114</v>
      </c>
      <c r="G96" s="32" t="s">
        <v>263</v>
      </c>
      <c r="H96" s="32"/>
      <c r="I96" s="51"/>
      <c r="J96" s="33" t="s">
        <v>495</v>
      </c>
      <c r="K96" s="36"/>
      <c r="L96" s="36"/>
      <c r="M96" s="36" t="s">
        <v>184</v>
      </c>
      <c r="N96" s="36"/>
      <c r="O96" s="33" t="s">
        <v>496</v>
      </c>
      <c r="P96" s="36" t="s">
        <v>193</v>
      </c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  <c r="AC96" s="36"/>
      <c r="AD96" s="37">
        <v>1050</v>
      </c>
      <c r="AE96" s="37"/>
      <c r="AF96" s="39"/>
      <c r="AG96" s="39"/>
      <c r="AH96" s="38"/>
      <c r="AI96" s="41"/>
      <c r="AJ96" s="37">
        <v>0</v>
      </c>
      <c r="AK96" s="46">
        <v>0</v>
      </c>
      <c r="AL96" s="47">
        <f>AJ96*AK96</f>
        <v>0</v>
      </c>
      <c r="AM96" s="47"/>
      <c r="AN96" s="39" t="e">
        <f>VLOOKUP(D96,'May FF'!B$2:E$201,2,0)</f>
        <v>#N/A</v>
      </c>
      <c r="AO96" s="97">
        <v>1</v>
      </c>
      <c r="AP96" s="39" t="e">
        <f>VLOOKUP($D96,'May FF'!$B$2:$E$201,4,0)</f>
        <v>#N/A</v>
      </c>
      <c r="AQ96" s="39"/>
      <c r="AR96" s="45">
        <v>1050</v>
      </c>
      <c r="AS96" s="46">
        <v>0.75</v>
      </c>
      <c r="AT96" s="37">
        <f>AR96*AS96</f>
        <v>787.5</v>
      </c>
      <c r="AU96" s="48"/>
      <c r="AV96" s="49">
        <f>AU96*AS96</f>
        <v>0</v>
      </c>
      <c r="AW96" s="48"/>
      <c r="AY96" s="45">
        <v>1050</v>
      </c>
      <c r="AZ96" s="46">
        <v>1</v>
      </c>
      <c r="BA96" s="37">
        <f>AY96*AZ96</f>
        <v>1050</v>
      </c>
      <c r="BB96" s="37"/>
      <c r="BE96" s="45">
        <v>1050</v>
      </c>
      <c r="BF96" s="46">
        <v>0.9</v>
      </c>
      <c r="BG96" s="37">
        <f>BE96*BF96</f>
        <v>945</v>
      </c>
      <c r="BH96" s="90" t="s">
        <v>497</v>
      </c>
      <c r="BI96" s="39">
        <f>BG96-BA96</f>
        <v>-105</v>
      </c>
      <c r="BJ96" s="39"/>
      <c r="BM96" s="45">
        <v>0</v>
      </c>
      <c r="BN96" s="120">
        <v>1</v>
      </c>
      <c r="BO96" s="37">
        <f>BM96*BN96</f>
        <v>0</v>
      </c>
      <c r="BP96" s="37"/>
      <c r="BQ96" s="92">
        <f>BO96-BA96</f>
        <v>-1050</v>
      </c>
      <c r="BR96" s="59" t="s">
        <v>498</v>
      </c>
      <c r="BU96" s="45">
        <v>0</v>
      </c>
      <c r="BV96" s="120">
        <v>1</v>
      </c>
      <c r="BW96" s="92">
        <f t="shared" ref="BW96:BW101" si="90">BU96*BV96</f>
        <v>0</v>
      </c>
      <c r="BX96" s="118">
        <f>BW96-BO96</f>
        <v>0</v>
      </c>
      <c r="CA96" s="45">
        <v>0</v>
      </c>
      <c r="CB96" s="120">
        <v>1</v>
      </c>
      <c r="CC96" s="92">
        <f t="shared" si="83"/>
        <v>0</v>
      </c>
      <c r="CD96" s="92"/>
      <c r="CE96" s="92">
        <f t="shared" si="84"/>
        <v>0</v>
      </c>
      <c r="CF96" s="92">
        <f t="shared" si="85"/>
        <v>0</v>
      </c>
      <c r="CI96" s="45">
        <v>0</v>
      </c>
      <c r="CJ96" s="136">
        <v>1</v>
      </c>
      <c r="CK96" s="92">
        <f t="shared" si="86"/>
        <v>0</v>
      </c>
      <c r="CL96" s="92">
        <f t="shared" si="80"/>
        <v>0</v>
      </c>
      <c r="CN96" s="17"/>
      <c r="CO96" s="45">
        <v>0</v>
      </c>
      <c r="CP96" s="136">
        <v>1</v>
      </c>
      <c r="CQ96" s="92">
        <f t="shared" si="87"/>
        <v>0</v>
      </c>
      <c r="CR96" s="92">
        <f t="shared" si="88"/>
        <v>0</v>
      </c>
      <c r="CS96" s="17"/>
      <c r="CT96" s="17"/>
      <c r="CU96" s="45">
        <v>0</v>
      </c>
      <c r="CV96" s="136">
        <v>1</v>
      </c>
      <c r="CW96" s="92">
        <f t="shared" si="82"/>
        <v>0</v>
      </c>
      <c r="CX96" s="45">
        <v>0</v>
      </c>
      <c r="CY96" s="136">
        <v>1</v>
      </c>
      <c r="CZ96" s="92">
        <f t="shared" si="81"/>
        <v>0</v>
      </c>
      <c r="DA96" s="92">
        <f>CW96-CQ96</f>
        <v>0</v>
      </c>
      <c r="DB96" s="92"/>
      <c r="DC96" s="92"/>
      <c r="DD96" s="17"/>
      <c r="DE96" s="17"/>
      <c r="DF96" s="45">
        <v>0</v>
      </c>
      <c r="DG96" s="136">
        <v>1</v>
      </c>
      <c r="DH96" s="92">
        <f t="shared" si="68"/>
        <v>0</v>
      </c>
      <c r="DI96" s="168">
        <f t="shared" si="69"/>
        <v>0</v>
      </c>
      <c r="DJ96" s="168">
        <f t="shared" si="70"/>
        <v>0</v>
      </c>
      <c r="DK96" s="17"/>
      <c r="DL96" s="17"/>
      <c r="DM96" s="17"/>
      <c r="DN96" s="92">
        <f t="shared" si="71"/>
        <v>0</v>
      </c>
      <c r="DO96" s="165"/>
      <c r="DP96" s="165"/>
      <c r="DQ96" s="165"/>
      <c r="DR96" s="165"/>
      <c r="DS96" s="165"/>
      <c r="DT96" s="165"/>
      <c r="DU96" s="165"/>
      <c r="DV96" s="165"/>
      <c r="DW96" s="165"/>
      <c r="DX96" s="165"/>
      <c r="DY96" s="165"/>
      <c r="DZ96" s="165"/>
    </row>
    <row r="97" spans="1:131" s="91" customFormat="1" ht="16.25" hidden="1" customHeight="1" x14ac:dyDescent="0.4">
      <c r="A97" s="32" t="s">
        <v>97</v>
      </c>
      <c r="B97" s="32" t="s">
        <v>391</v>
      </c>
      <c r="C97" s="32" t="s">
        <v>20</v>
      </c>
      <c r="D97" s="16" t="s">
        <v>488</v>
      </c>
      <c r="E97" s="87" t="s">
        <v>490</v>
      </c>
      <c r="F97" s="87" t="s">
        <v>114</v>
      </c>
      <c r="G97" s="32" t="s">
        <v>101</v>
      </c>
      <c r="H97" s="32" t="s">
        <v>224</v>
      </c>
      <c r="I97" s="16"/>
      <c r="J97" s="33" t="s">
        <v>491</v>
      </c>
      <c r="K97" s="36"/>
      <c r="L97" s="36"/>
      <c r="M97" s="36" t="s">
        <v>201</v>
      </c>
      <c r="N97" s="36"/>
      <c r="O97" s="33" t="s">
        <v>492</v>
      </c>
      <c r="P97" s="171" t="s">
        <v>230</v>
      </c>
      <c r="Q97" s="129"/>
      <c r="R97" s="129"/>
      <c r="S97" s="129"/>
      <c r="T97" s="129"/>
      <c r="U97" s="129">
        <f>CC97</f>
        <v>0</v>
      </c>
      <c r="V97" s="129"/>
      <c r="W97" s="129"/>
      <c r="X97" s="129"/>
      <c r="Y97" s="129"/>
      <c r="Z97" s="129"/>
      <c r="AA97" s="129"/>
      <c r="AB97" s="129"/>
      <c r="AC97" s="171"/>
      <c r="AD97" s="37">
        <v>150</v>
      </c>
      <c r="AE97" s="37"/>
      <c r="AF97" s="39"/>
      <c r="AG97" s="39"/>
      <c r="AH97" s="87"/>
      <c r="AI97" s="161"/>
      <c r="AJ97" s="37">
        <v>0</v>
      </c>
      <c r="AK97" s="46">
        <v>0</v>
      </c>
      <c r="AL97" s="47">
        <f>AJ97*AK97</f>
        <v>0</v>
      </c>
      <c r="AM97" s="162"/>
      <c r="AN97" s="39">
        <v>0</v>
      </c>
      <c r="AO97" s="97">
        <v>0</v>
      </c>
      <c r="AP97" s="39">
        <v>0</v>
      </c>
      <c r="AQ97" s="159"/>
      <c r="AR97" s="45">
        <v>150</v>
      </c>
      <c r="AS97" s="46">
        <v>0.75</v>
      </c>
      <c r="AT97" s="37">
        <f>AR97*AS97</f>
        <v>112.5</v>
      </c>
      <c r="AU97" s="48"/>
      <c r="AV97" s="49">
        <f>AU97*AS97</f>
        <v>0</v>
      </c>
      <c r="AW97" s="48"/>
      <c r="AY97" s="45">
        <v>150</v>
      </c>
      <c r="AZ97" s="46">
        <v>0.75</v>
      </c>
      <c r="BA97" s="37">
        <f>AY97*AZ97</f>
        <v>112.5</v>
      </c>
      <c r="BB97" s="39">
        <f>BA97-AT97</f>
        <v>0</v>
      </c>
      <c r="BC97" s="50"/>
      <c r="BE97" s="45">
        <v>150</v>
      </c>
      <c r="BF97" s="46">
        <v>0.75</v>
      </c>
      <c r="BG97" s="37">
        <f>BE97*BF97</f>
        <v>112.5</v>
      </c>
      <c r="BH97" s="37"/>
      <c r="BI97" s="39">
        <f>BG97-BA97</f>
        <v>0</v>
      </c>
      <c r="BJ97" s="39"/>
      <c r="BK97" s="50"/>
      <c r="BM97" s="45">
        <v>150</v>
      </c>
      <c r="BN97" s="46">
        <v>0.75</v>
      </c>
      <c r="BO97" s="37">
        <f>BM97*BN97</f>
        <v>112.5</v>
      </c>
      <c r="BP97" s="37">
        <v>112.5</v>
      </c>
      <c r="BQ97" s="92">
        <f>BO97-BA97</f>
        <v>0</v>
      </c>
      <c r="BR97" s="59"/>
      <c r="BS97" s="50"/>
      <c r="BT97" s="139"/>
      <c r="BU97" s="45">
        <v>150</v>
      </c>
      <c r="BV97" s="46">
        <v>0.75</v>
      </c>
      <c r="BW97" s="118">
        <f t="shared" si="90"/>
        <v>112.5</v>
      </c>
      <c r="BX97" s="118">
        <f>BW97-BO97</f>
        <v>0</v>
      </c>
      <c r="BY97" s="67"/>
      <c r="CA97" s="45">
        <v>0</v>
      </c>
      <c r="CB97" s="46">
        <v>0</v>
      </c>
      <c r="CC97" s="118">
        <f t="shared" si="83"/>
        <v>0</v>
      </c>
      <c r="CD97" s="118"/>
      <c r="CE97" s="92">
        <f t="shared" si="84"/>
        <v>-112.5</v>
      </c>
      <c r="CF97" s="92">
        <f t="shared" si="85"/>
        <v>-112.5</v>
      </c>
      <c r="CG97" s="50"/>
      <c r="CI97" s="160">
        <v>150</v>
      </c>
      <c r="CJ97" s="164">
        <v>0.75</v>
      </c>
      <c r="CK97" s="165">
        <f t="shared" si="86"/>
        <v>112.5</v>
      </c>
      <c r="CL97" s="92">
        <f t="shared" si="80"/>
        <v>112.5</v>
      </c>
      <c r="CM97" s="50"/>
      <c r="CN97" s="139"/>
      <c r="CO97" s="160">
        <v>150</v>
      </c>
      <c r="CP97" s="164">
        <v>0.75</v>
      </c>
      <c r="CQ97" s="165">
        <f t="shared" si="87"/>
        <v>112.5</v>
      </c>
      <c r="CR97" s="168">
        <f t="shared" si="88"/>
        <v>0</v>
      </c>
      <c r="CS97" s="139"/>
      <c r="CT97" s="139"/>
      <c r="CU97" s="160">
        <v>150</v>
      </c>
      <c r="CV97" s="164">
        <v>0.75</v>
      </c>
      <c r="CW97" s="165">
        <f t="shared" si="82"/>
        <v>112.5</v>
      </c>
      <c r="CX97" s="160">
        <v>150</v>
      </c>
      <c r="CY97" s="164">
        <v>0.75</v>
      </c>
      <c r="CZ97" s="165">
        <f t="shared" si="81"/>
        <v>112.5</v>
      </c>
      <c r="DA97" s="168">
        <f>CZ97-CQ97</f>
        <v>0</v>
      </c>
      <c r="DB97" s="168">
        <f>CZ97-CW97</f>
        <v>0</v>
      </c>
      <c r="DC97" s="168"/>
      <c r="DD97" s="139"/>
      <c r="DE97" s="139"/>
      <c r="DF97" s="160">
        <v>95</v>
      </c>
      <c r="DG97" s="164">
        <v>0.9</v>
      </c>
      <c r="DH97" s="165">
        <f t="shared" si="68"/>
        <v>85.5</v>
      </c>
      <c r="DI97" s="168">
        <f t="shared" si="69"/>
        <v>-27</v>
      </c>
      <c r="DJ97" s="168">
        <f t="shared" si="70"/>
        <v>-27</v>
      </c>
      <c r="DK97" s="168"/>
      <c r="DL97" s="168"/>
      <c r="DM97" s="168"/>
      <c r="DN97" s="168">
        <f t="shared" si="71"/>
        <v>113</v>
      </c>
      <c r="DO97" s="165">
        <v>0</v>
      </c>
      <c r="DP97" s="165">
        <v>0</v>
      </c>
      <c r="DQ97" s="165">
        <v>0</v>
      </c>
      <c r="DR97" s="165">
        <v>0</v>
      </c>
      <c r="DS97" s="165">
        <v>0</v>
      </c>
      <c r="DT97" s="165">
        <v>0</v>
      </c>
      <c r="DU97" s="165">
        <v>0</v>
      </c>
      <c r="DV97" s="165">
        <v>113</v>
      </c>
      <c r="DW97" s="165" cm="1">
        <f t="array" ref="DW97">VLOOKUP(D97,+[2]Sheet3!$A$1:$R$175,15,0)</f>
        <v>0</v>
      </c>
      <c r="DX97" s="165" cm="1">
        <f t="array" ref="DX97">VLOOKUP(D97,+[2]Sheet3!$A$1:$R$175,16,0)</f>
        <v>0</v>
      </c>
      <c r="DY97" s="165" cm="1">
        <f t="array" ref="DY97">VLOOKUP(D97,+[2]Sheet3!$A$1:$R$175,17,0)</f>
        <v>0</v>
      </c>
      <c r="DZ97" s="165" cm="1">
        <f t="array" ref="DZ97">VLOOKUP(D97,+[2]Sheet3!$A$1:$R$175,18,0)</f>
        <v>0</v>
      </c>
      <c r="EA97" s="168"/>
    </row>
    <row r="98" spans="1:131" s="91" customFormat="1" ht="16.25" hidden="1" customHeight="1" x14ac:dyDescent="0.4">
      <c r="A98" s="32" t="s">
        <v>97</v>
      </c>
      <c r="B98" s="32" t="s">
        <v>391</v>
      </c>
      <c r="C98" s="32" t="s">
        <v>20</v>
      </c>
      <c r="D98" s="32" t="s">
        <v>499</v>
      </c>
      <c r="E98" s="87" t="s">
        <v>500</v>
      </c>
      <c r="F98" s="87" t="s">
        <v>114</v>
      </c>
      <c r="G98" s="32" t="s">
        <v>101</v>
      </c>
      <c r="H98" s="32"/>
      <c r="I98" s="51"/>
      <c r="J98" s="33" t="s">
        <v>501</v>
      </c>
      <c r="K98" s="36"/>
      <c r="L98" s="36"/>
      <c r="M98" s="68" t="s">
        <v>502</v>
      </c>
      <c r="N98" s="36"/>
      <c r="O98" s="33" t="s">
        <v>503</v>
      </c>
      <c r="P98" s="32" t="s">
        <v>193</v>
      </c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  <c r="AC98" s="32"/>
      <c r="AD98" s="37">
        <v>2200</v>
      </c>
      <c r="AE98" s="37"/>
      <c r="AF98" s="39"/>
      <c r="AG98" s="39"/>
      <c r="AH98" s="87"/>
      <c r="AI98" s="159"/>
      <c r="AJ98" s="37">
        <v>0</v>
      </c>
      <c r="AK98" s="46">
        <v>0</v>
      </c>
      <c r="AL98" s="47">
        <f>AJ98*AK98</f>
        <v>0</v>
      </c>
      <c r="AM98" s="162"/>
      <c r="AN98" s="39">
        <v>0</v>
      </c>
      <c r="AO98" s="97">
        <v>0</v>
      </c>
      <c r="AP98" s="39">
        <v>0</v>
      </c>
      <c r="AQ98" s="159"/>
      <c r="AR98" s="45">
        <v>1540</v>
      </c>
      <c r="AS98" s="46">
        <v>0.5</v>
      </c>
      <c r="AT98" s="37">
        <f>AR98*AS98</f>
        <v>770</v>
      </c>
      <c r="AU98" s="48"/>
      <c r="AV98" s="49">
        <f>AU98*AS98</f>
        <v>0</v>
      </c>
      <c r="AW98" s="48"/>
      <c r="AY98" s="45">
        <v>1540</v>
      </c>
      <c r="AZ98" s="46">
        <v>0.5</v>
      </c>
      <c r="BA98" s="37">
        <f>AY98*AZ98</f>
        <v>770</v>
      </c>
      <c r="BB98" s="39">
        <f>BA98-AT98</f>
        <v>0</v>
      </c>
      <c r="BC98" s="50" t="s">
        <v>123</v>
      </c>
      <c r="BD98" s="139"/>
      <c r="BE98" s="45">
        <v>1540</v>
      </c>
      <c r="BF98" s="46">
        <v>0.5</v>
      </c>
      <c r="BG98" s="37">
        <f>BE98*BF98</f>
        <v>770</v>
      </c>
      <c r="BH98" s="37"/>
      <c r="BI98" s="39">
        <f>BG98-BA98</f>
        <v>0</v>
      </c>
      <c r="BJ98" s="39"/>
      <c r="BK98" s="50" t="s">
        <v>123</v>
      </c>
      <c r="BM98" s="45">
        <v>1540</v>
      </c>
      <c r="BN98" s="46">
        <v>0</v>
      </c>
      <c r="BO98" s="37">
        <f>BM98*BN98</f>
        <v>0</v>
      </c>
      <c r="BP98" s="37">
        <v>855</v>
      </c>
      <c r="BQ98" s="92">
        <f>BO98-BA98</f>
        <v>-770</v>
      </c>
      <c r="BR98" s="34" t="s">
        <v>504</v>
      </c>
      <c r="BS98" s="50" t="s">
        <v>505</v>
      </c>
      <c r="BU98" s="45">
        <v>0</v>
      </c>
      <c r="BV98" s="46">
        <v>0</v>
      </c>
      <c r="BW98" s="118">
        <f t="shared" si="90"/>
        <v>0</v>
      </c>
      <c r="BX98" s="118">
        <f>BW98-BO98</f>
        <v>0</v>
      </c>
      <c r="BY98" s="50"/>
      <c r="CA98" s="45">
        <v>0</v>
      </c>
      <c r="CB98" s="46">
        <v>0</v>
      </c>
      <c r="CC98" s="118">
        <f t="shared" si="83"/>
        <v>0</v>
      </c>
      <c r="CD98" s="118"/>
      <c r="CE98" s="92">
        <f t="shared" si="84"/>
        <v>0</v>
      </c>
      <c r="CF98" s="92">
        <f t="shared" si="85"/>
        <v>0</v>
      </c>
      <c r="CG98" s="50"/>
      <c r="CI98" s="160">
        <v>0</v>
      </c>
      <c r="CJ98" s="164">
        <v>0</v>
      </c>
      <c r="CK98" s="165">
        <f t="shared" si="86"/>
        <v>0</v>
      </c>
      <c r="CL98" s="92">
        <f t="shared" si="80"/>
        <v>0</v>
      </c>
      <c r="CM98" s="50"/>
      <c r="CN98" s="139"/>
      <c r="CO98" s="160">
        <v>0</v>
      </c>
      <c r="CP98" s="164">
        <v>0</v>
      </c>
      <c r="CQ98" s="165">
        <f t="shared" si="87"/>
        <v>0</v>
      </c>
      <c r="CR98" s="168">
        <f t="shared" si="88"/>
        <v>0</v>
      </c>
      <c r="CS98" s="139"/>
      <c r="CT98" s="139"/>
      <c r="CU98" s="160">
        <v>0</v>
      </c>
      <c r="CV98" s="164">
        <v>0</v>
      </c>
      <c r="CW98" s="165">
        <f t="shared" si="82"/>
        <v>0</v>
      </c>
      <c r="CX98" s="160">
        <v>0</v>
      </c>
      <c r="CY98" s="164">
        <v>0</v>
      </c>
      <c r="CZ98" s="165">
        <f t="shared" si="81"/>
        <v>0</v>
      </c>
      <c r="DA98" s="168">
        <f>CZ98-CQ98</f>
        <v>0</v>
      </c>
      <c r="DB98" s="168">
        <f>CZ98-CW98</f>
        <v>0</v>
      </c>
      <c r="DC98" s="168"/>
      <c r="DD98" s="139"/>
      <c r="DE98" s="139"/>
      <c r="DF98" s="160">
        <v>0</v>
      </c>
      <c r="DG98" s="164">
        <v>0</v>
      </c>
      <c r="DH98" s="165">
        <f t="shared" si="68"/>
        <v>0</v>
      </c>
      <c r="DI98" s="168">
        <f t="shared" si="69"/>
        <v>0</v>
      </c>
      <c r="DJ98" s="168">
        <f t="shared" si="70"/>
        <v>0</v>
      </c>
      <c r="DK98" s="168"/>
      <c r="DL98" s="168"/>
      <c r="DM98" s="168"/>
      <c r="DN98" s="168">
        <f t="shared" si="71"/>
        <v>0</v>
      </c>
      <c r="DO98" s="165">
        <v>0</v>
      </c>
      <c r="DP98" s="165">
        <v>0</v>
      </c>
      <c r="DQ98" s="165">
        <v>0</v>
      </c>
      <c r="DR98" s="165">
        <v>0</v>
      </c>
      <c r="DS98" s="165">
        <v>0</v>
      </c>
      <c r="DT98" s="165">
        <v>0</v>
      </c>
      <c r="DU98" s="165">
        <v>0</v>
      </c>
      <c r="DV98" s="165">
        <v>0</v>
      </c>
      <c r="DW98" s="165">
        <v>0</v>
      </c>
      <c r="DX98" s="165">
        <v>0</v>
      </c>
      <c r="DY98" s="165">
        <v>0</v>
      </c>
      <c r="DZ98" s="165">
        <v>0</v>
      </c>
    </row>
    <row r="99" spans="1:131" s="91" customFormat="1" ht="16.25" hidden="1" customHeight="1" x14ac:dyDescent="0.4">
      <c r="A99" s="32" t="s">
        <v>97</v>
      </c>
      <c r="B99" s="32" t="s">
        <v>391</v>
      </c>
      <c r="C99" s="32" t="s">
        <v>20</v>
      </c>
      <c r="D99" s="16" t="s">
        <v>506</v>
      </c>
      <c r="E99" s="87" t="s">
        <v>507</v>
      </c>
      <c r="F99" s="87" t="s">
        <v>100</v>
      </c>
      <c r="G99" s="32" t="s">
        <v>101</v>
      </c>
      <c r="H99" s="32" t="s">
        <v>214</v>
      </c>
      <c r="I99" s="51"/>
      <c r="J99" s="38"/>
      <c r="K99" s="36"/>
      <c r="L99" s="36"/>
      <c r="M99" s="36"/>
      <c r="N99" s="36"/>
      <c r="O99" s="38"/>
      <c r="P99" s="32" t="s">
        <v>230</v>
      </c>
      <c r="Q99" s="129"/>
      <c r="R99" s="129"/>
      <c r="S99" s="129"/>
      <c r="T99" s="129"/>
      <c r="U99" s="50"/>
      <c r="V99" s="129">
        <f>CK99</f>
        <v>200</v>
      </c>
      <c r="W99" s="129"/>
      <c r="X99" s="129"/>
      <c r="Y99" s="129"/>
      <c r="Z99" s="129"/>
      <c r="AA99" s="129"/>
      <c r="AB99" s="129"/>
      <c r="AC99" s="32"/>
      <c r="AD99" s="37"/>
      <c r="AE99" s="37"/>
      <c r="AF99" s="37"/>
      <c r="AG99" s="37"/>
      <c r="AH99" s="158"/>
      <c r="AI99" s="158"/>
      <c r="AJ99" s="37"/>
      <c r="AK99" s="46"/>
      <c r="AL99" s="47"/>
      <c r="AM99" s="162"/>
      <c r="AN99" s="39"/>
      <c r="AO99" s="97"/>
      <c r="AP99" s="39"/>
      <c r="AQ99" s="160"/>
      <c r="AR99" s="45"/>
      <c r="AS99" s="46"/>
      <c r="AT99" s="37"/>
      <c r="AU99" s="48"/>
      <c r="AV99" s="49"/>
      <c r="AW99" s="48"/>
      <c r="AY99" s="45"/>
      <c r="AZ99" s="46"/>
      <c r="BA99" s="37"/>
      <c r="BB99" s="39"/>
      <c r="BC99" s="50"/>
      <c r="BE99" s="45"/>
      <c r="BF99" s="46"/>
      <c r="BG99" s="37"/>
      <c r="BH99" s="37"/>
      <c r="BI99" s="39"/>
      <c r="BJ99" s="39"/>
      <c r="BK99" s="50"/>
      <c r="BM99" s="45">
        <v>400</v>
      </c>
      <c r="BN99" s="46">
        <v>0.5</v>
      </c>
      <c r="BO99" s="37">
        <f>BM99*BN99</f>
        <v>200</v>
      </c>
      <c r="BP99" s="37"/>
      <c r="BQ99" s="92">
        <f>BO99-BA99</f>
        <v>200</v>
      </c>
      <c r="BR99" s="59"/>
      <c r="BS99" s="50"/>
      <c r="BU99" s="45">
        <v>400</v>
      </c>
      <c r="BV99" s="46">
        <v>0.5</v>
      </c>
      <c r="BW99" s="118">
        <f t="shared" si="90"/>
        <v>200</v>
      </c>
      <c r="BX99" s="118">
        <f>BW99-BO99</f>
        <v>0</v>
      </c>
      <c r="BY99" s="50"/>
      <c r="CA99" s="45">
        <v>400</v>
      </c>
      <c r="CB99" s="46">
        <v>0.5</v>
      </c>
      <c r="CC99" s="118">
        <f t="shared" si="83"/>
        <v>200</v>
      </c>
      <c r="CD99" s="118"/>
      <c r="CE99" s="92">
        <f t="shared" si="84"/>
        <v>0</v>
      </c>
      <c r="CF99" s="92">
        <f t="shared" si="85"/>
        <v>0</v>
      </c>
      <c r="CG99" s="50"/>
      <c r="CI99" s="160">
        <v>400</v>
      </c>
      <c r="CJ99" s="164">
        <v>0.5</v>
      </c>
      <c r="CK99" s="165">
        <f t="shared" si="86"/>
        <v>200</v>
      </c>
      <c r="CL99" s="92">
        <f t="shared" si="80"/>
        <v>0</v>
      </c>
      <c r="CM99" s="50"/>
      <c r="CN99" s="139"/>
      <c r="CO99" s="160">
        <v>500</v>
      </c>
      <c r="CP99" s="164">
        <v>0.5</v>
      </c>
      <c r="CQ99" s="165">
        <f t="shared" si="87"/>
        <v>250</v>
      </c>
      <c r="CR99" s="168">
        <f t="shared" si="88"/>
        <v>50</v>
      </c>
      <c r="CS99" s="139"/>
      <c r="CT99" s="139"/>
      <c r="CU99" s="160">
        <v>500</v>
      </c>
      <c r="CV99" s="164">
        <v>0.5</v>
      </c>
      <c r="CW99" s="165">
        <f t="shared" si="82"/>
        <v>250</v>
      </c>
      <c r="CX99" s="160">
        <v>500</v>
      </c>
      <c r="CY99" s="164">
        <v>0.5</v>
      </c>
      <c r="CZ99" s="165">
        <f t="shared" si="81"/>
        <v>250</v>
      </c>
      <c r="DA99" s="168">
        <f>CZ99-CQ99</f>
        <v>0</v>
      </c>
      <c r="DB99" s="168">
        <f>CZ99-CW99</f>
        <v>0</v>
      </c>
      <c r="DC99" s="168"/>
      <c r="DD99" s="139"/>
      <c r="DE99" s="139"/>
      <c r="DF99" s="160">
        <v>500</v>
      </c>
      <c r="DG99" s="164">
        <v>0.5</v>
      </c>
      <c r="DH99" s="165">
        <f t="shared" ref="DH99:DH130" si="91">DF99*DG99</f>
        <v>250</v>
      </c>
      <c r="DI99" s="168">
        <f t="shared" si="69"/>
        <v>0</v>
      </c>
      <c r="DJ99" s="168">
        <f t="shared" si="70"/>
        <v>0</v>
      </c>
      <c r="DK99" s="168"/>
      <c r="DL99" s="168"/>
      <c r="DM99" s="168"/>
      <c r="DN99" s="168">
        <f t="shared" ref="DN99:DN130" si="92">SUM(DO99:DZ99)</f>
        <v>250</v>
      </c>
      <c r="DO99" s="165">
        <v>0</v>
      </c>
      <c r="DP99" s="165">
        <v>0</v>
      </c>
      <c r="DQ99" s="165">
        <v>0</v>
      </c>
      <c r="DR99" s="165">
        <v>0</v>
      </c>
      <c r="DS99" s="165">
        <v>0</v>
      </c>
      <c r="DT99" s="165">
        <v>0</v>
      </c>
      <c r="DU99" s="165">
        <v>0</v>
      </c>
      <c r="DV99" s="165">
        <v>250</v>
      </c>
      <c r="DW99" s="165">
        <v>0</v>
      </c>
      <c r="DX99" s="165">
        <v>0</v>
      </c>
      <c r="DY99" s="165">
        <v>0</v>
      </c>
      <c r="DZ99" s="165">
        <v>0</v>
      </c>
      <c r="EA99" s="168"/>
    </row>
    <row r="100" spans="1:131" s="50" customFormat="1" ht="16.25" hidden="1" customHeight="1" x14ac:dyDescent="0.35">
      <c r="A100" s="36" t="s">
        <v>97</v>
      </c>
      <c r="B100" s="36" t="s">
        <v>391</v>
      </c>
      <c r="C100" s="36" t="s">
        <v>20</v>
      </c>
      <c r="D100" s="36" t="s">
        <v>508</v>
      </c>
      <c r="E100" s="38" t="s">
        <v>494</v>
      </c>
      <c r="F100" s="38" t="s">
        <v>114</v>
      </c>
      <c r="G100" s="32" t="s">
        <v>263</v>
      </c>
      <c r="H100" s="32"/>
      <c r="I100" s="51"/>
      <c r="J100" s="33"/>
      <c r="K100" s="36"/>
      <c r="L100" s="36"/>
      <c r="M100" s="36"/>
      <c r="N100" s="36"/>
      <c r="O100" s="33"/>
      <c r="P100" s="36" t="s">
        <v>361</v>
      </c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  <c r="AC100" s="36"/>
      <c r="AD100" s="37"/>
      <c r="AE100" s="37"/>
      <c r="AF100" s="37"/>
      <c r="AG100" s="37"/>
      <c r="AH100" s="34"/>
      <c r="AI100" s="34"/>
      <c r="AJ100" s="37"/>
      <c r="AK100" s="46"/>
      <c r="AL100" s="47"/>
      <c r="AM100" s="47"/>
      <c r="AN100" s="39"/>
      <c r="AO100" s="97"/>
      <c r="AP100" s="39"/>
      <c r="AQ100" s="45"/>
      <c r="AR100" s="45"/>
      <c r="AS100" s="46"/>
      <c r="AT100" s="37"/>
      <c r="AU100" s="48"/>
      <c r="AV100" s="49"/>
      <c r="AW100" s="48"/>
      <c r="AX100" s="34"/>
      <c r="AY100" s="45"/>
      <c r="AZ100" s="46"/>
      <c r="BA100" s="37"/>
      <c r="BB100" s="39"/>
      <c r="BD100" s="34"/>
      <c r="BE100" s="45"/>
      <c r="BF100" s="46"/>
      <c r="BG100" s="37"/>
      <c r="BH100" s="70"/>
      <c r="BI100" s="39"/>
      <c r="BJ100" s="39"/>
      <c r="BL100" s="34"/>
      <c r="BM100" s="45"/>
      <c r="BN100" s="46"/>
      <c r="BO100" s="37"/>
      <c r="BP100" s="37"/>
      <c r="BQ100" s="92"/>
      <c r="BR100" s="34"/>
      <c r="BS100" s="67"/>
      <c r="BT100" s="34"/>
      <c r="BU100" s="45">
        <v>0</v>
      </c>
      <c r="BV100" s="46">
        <v>0</v>
      </c>
      <c r="BW100" s="118">
        <f t="shared" si="90"/>
        <v>0</v>
      </c>
      <c r="BX100" s="118"/>
      <c r="BZ100" s="34"/>
      <c r="CA100" s="45">
        <v>950</v>
      </c>
      <c r="CB100" s="46">
        <v>1</v>
      </c>
      <c r="CC100" s="118">
        <f t="shared" si="83"/>
        <v>950</v>
      </c>
      <c r="CD100" s="118"/>
      <c r="CE100" s="92">
        <f t="shared" si="84"/>
        <v>950</v>
      </c>
      <c r="CF100" s="92">
        <f t="shared" si="85"/>
        <v>950</v>
      </c>
      <c r="CH100" s="34"/>
      <c r="CI100" s="45">
        <v>950</v>
      </c>
      <c r="CJ100" s="46">
        <v>0</v>
      </c>
      <c r="CK100" s="118">
        <f t="shared" si="86"/>
        <v>0</v>
      </c>
      <c r="CL100" s="118">
        <f t="shared" si="80"/>
        <v>-950</v>
      </c>
      <c r="CM100" s="34"/>
      <c r="CN100" s="17"/>
      <c r="CO100" s="45">
        <v>950</v>
      </c>
      <c r="CP100" s="46">
        <v>0</v>
      </c>
      <c r="CQ100" s="118">
        <f t="shared" si="87"/>
        <v>0</v>
      </c>
      <c r="CR100" s="92">
        <f t="shared" si="88"/>
        <v>0</v>
      </c>
      <c r="CS100" s="17"/>
      <c r="CT100" s="17"/>
      <c r="CU100" s="45">
        <v>0</v>
      </c>
      <c r="CV100" s="46">
        <v>0</v>
      </c>
      <c r="CW100" s="118">
        <f t="shared" si="82"/>
        <v>0</v>
      </c>
      <c r="CX100" s="45">
        <v>0</v>
      </c>
      <c r="CY100" s="46">
        <v>0</v>
      </c>
      <c r="CZ100" s="118">
        <f t="shared" si="81"/>
        <v>0</v>
      </c>
      <c r="DA100" s="92">
        <f>CW100-CQ100</f>
        <v>0</v>
      </c>
      <c r="DB100" s="92"/>
      <c r="DC100" s="92"/>
      <c r="DD100" s="17"/>
      <c r="DE100" s="17"/>
      <c r="DF100" s="45">
        <v>0</v>
      </c>
      <c r="DG100" s="46">
        <v>0</v>
      </c>
      <c r="DH100" s="118">
        <f t="shared" si="91"/>
        <v>0</v>
      </c>
      <c r="DI100" s="168">
        <f t="shared" si="69"/>
        <v>0</v>
      </c>
      <c r="DJ100" s="168">
        <f t="shared" si="70"/>
        <v>0</v>
      </c>
      <c r="DK100" s="17"/>
      <c r="DL100" s="17"/>
      <c r="DM100" s="17"/>
      <c r="DN100" s="92">
        <f t="shared" si="92"/>
        <v>0</v>
      </c>
      <c r="DO100" s="165"/>
      <c r="DP100" s="165"/>
      <c r="DQ100" s="165"/>
      <c r="DR100" s="165"/>
      <c r="DS100" s="165"/>
      <c r="DT100" s="165"/>
      <c r="DU100" s="165"/>
      <c r="DV100" s="165"/>
      <c r="DW100" s="165"/>
      <c r="DX100" s="165"/>
      <c r="DY100" s="165"/>
      <c r="DZ100" s="165"/>
    </row>
    <row r="101" spans="1:131" s="91" customFormat="1" ht="16.25" hidden="1" customHeight="1" x14ac:dyDescent="0.4">
      <c r="A101" s="32" t="s">
        <v>97</v>
      </c>
      <c r="B101" s="32" t="s">
        <v>391</v>
      </c>
      <c r="C101" s="32" t="s">
        <v>172</v>
      </c>
      <c r="D101" s="32" t="s">
        <v>508</v>
      </c>
      <c r="E101" s="87" t="s">
        <v>509</v>
      </c>
      <c r="F101" s="87" t="s">
        <v>213</v>
      </c>
      <c r="G101" s="32" t="s">
        <v>101</v>
      </c>
      <c r="H101" s="32" t="s">
        <v>224</v>
      </c>
      <c r="I101" s="36"/>
      <c r="J101" s="33"/>
      <c r="K101" s="36"/>
      <c r="L101" s="36"/>
      <c r="M101" s="36"/>
      <c r="N101" s="36"/>
      <c r="O101" s="33"/>
      <c r="P101" s="32" t="s">
        <v>193</v>
      </c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32"/>
      <c r="AD101" s="37">
        <v>1450</v>
      </c>
      <c r="AE101" s="37"/>
      <c r="AF101" s="37"/>
      <c r="AG101" s="37"/>
      <c r="AH101" s="158"/>
      <c r="AI101" s="160"/>
      <c r="AJ101" s="37"/>
      <c r="AK101" s="46"/>
      <c r="AL101" s="37"/>
      <c r="AM101" s="163"/>
      <c r="AN101" s="39"/>
      <c r="AO101" s="45"/>
      <c r="AP101" s="45"/>
      <c r="AQ101" s="160"/>
      <c r="AR101" s="45"/>
      <c r="AS101" s="46"/>
      <c r="AT101" s="37"/>
      <c r="AU101" s="48"/>
      <c r="AV101" s="49"/>
      <c r="AW101" s="48"/>
      <c r="AY101" s="45">
        <v>0</v>
      </c>
      <c r="AZ101" s="46">
        <v>0</v>
      </c>
      <c r="BA101" s="37">
        <f>AY101*AZ101</f>
        <v>0</v>
      </c>
      <c r="BB101" s="39"/>
      <c r="BC101" s="50"/>
      <c r="BE101" s="45">
        <v>0</v>
      </c>
      <c r="BF101" s="46">
        <v>0</v>
      </c>
      <c r="BG101" s="37">
        <f>BE101*BF101</f>
        <v>0</v>
      </c>
      <c r="BH101" s="37"/>
      <c r="BI101" s="39">
        <f>BG101-BA101</f>
        <v>0</v>
      </c>
      <c r="BJ101" s="39"/>
      <c r="BK101" s="50"/>
      <c r="BM101" s="45">
        <v>950</v>
      </c>
      <c r="BN101" s="46">
        <v>0.9</v>
      </c>
      <c r="BO101" s="37">
        <f>BM101*BN101</f>
        <v>855</v>
      </c>
      <c r="BP101" s="37">
        <v>855</v>
      </c>
      <c r="BQ101" s="92">
        <f>BO101-BA101</f>
        <v>855</v>
      </c>
      <c r="BR101" s="34" t="s">
        <v>178</v>
      </c>
      <c r="BS101" s="50" t="s">
        <v>510</v>
      </c>
      <c r="BU101" s="45">
        <v>950</v>
      </c>
      <c r="BV101" s="46">
        <v>0.9</v>
      </c>
      <c r="BW101" s="118">
        <f t="shared" si="90"/>
        <v>855</v>
      </c>
      <c r="BX101" s="118">
        <f>BW101-BO101</f>
        <v>0</v>
      </c>
      <c r="BY101" s="50"/>
      <c r="CA101" s="45">
        <v>0</v>
      </c>
      <c r="CB101" s="46">
        <v>0</v>
      </c>
      <c r="CC101" s="118">
        <f t="shared" si="83"/>
        <v>0</v>
      </c>
      <c r="CD101" s="118"/>
      <c r="CE101" s="92">
        <f t="shared" si="84"/>
        <v>-855</v>
      </c>
      <c r="CF101" s="92">
        <f t="shared" si="85"/>
        <v>-855</v>
      </c>
      <c r="CG101" s="50" t="s">
        <v>511</v>
      </c>
      <c r="CI101" s="160">
        <v>220</v>
      </c>
      <c r="CJ101" s="164">
        <v>0.9</v>
      </c>
      <c r="CK101" s="165">
        <f t="shared" si="86"/>
        <v>198</v>
      </c>
      <c r="CL101" s="92">
        <f t="shared" si="80"/>
        <v>198</v>
      </c>
      <c r="CM101" s="50" t="s">
        <v>512</v>
      </c>
      <c r="CN101" s="139"/>
      <c r="CO101" s="160">
        <v>220</v>
      </c>
      <c r="CP101" s="164">
        <v>0.9</v>
      </c>
      <c r="CQ101" s="165">
        <f t="shared" si="87"/>
        <v>198</v>
      </c>
      <c r="CR101" s="168">
        <f t="shared" si="88"/>
        <v>0</v>
      </c>
      <c r="CS101" s="139"/>
      <c r="CT101" s="139"/>
      <c r="CU101" s="160">
        <v>220</v>
      </c>
      <c r="CV101" s="164">
        <v>0.9</v>
      </c>
      <c r="CW101" s="165">
        <f t="shared" si="82"/>
        <v>198</v>
      </c>
      <c r="CX101" s="160">
        <v>0</v>
      </c>
      <c r="CY101" s="164">
        <v>0</v>
      </c>
      <c r="CZ101" s="165">
        <f t="shared" si="81"/>
        <v>0</v>
      </c>
      <c r="DA101" s="168">
        <f>CZ101-CQ101</f>
        <v>-198</v>
      </c>
      <c r="DB101" s="168">
        <f>CZ101-CW101</f>
        <v>-198</v>
      </c>
      <c r="DC101" s="168"/>
      <c r="DD101" s="139"/>
      <c r="DE101" s="139"/>
      <c r="DF101" s="160">
        <v>0</v>
      </c>
      <c r="DG101" s="164">
        <v>0</v>
      </c>
      <c r="DH101" s="165">
        <f t="shared" si="91"/>
        <v>0</v>
      </c>
      <c r="DI101" s="168">
        <f t="shared" si="69"/>
        <v>0</v>
      </c>
      <c r="DJ101" s="168">
        <f t="shared" si="70"/>
        <v>-198</v>
      </c>
      <c r="DK101" s="168"/>
      <c r="DL101" s="168"/>
      <c r="DM101" s="168"/>
      <c r="DN101" s="168">
        <f t="shared" si="92"/>
        <v>0</v>
      </c>
      <c r="DO101" s="165">
        <v>0</v>
      </c>
      <c r="DP101" s="165">
        <v>0</v>
      </c>
      <c r="DQ101" s="165">
        <v>0</v>
      </c>
      <c r="DR101" s="165">
        <v>0</v>
      </c>
      <c r="DS101" s="165">
        <v>0</v>
      </c>
      <c r="DT101" s="165">
        <v>0</v>
      </c>
      <c r="DU101" s="165">
        <v>0</v>
      </c>
      <c r="DV101" s="165">
        <v>0</v>
      </c>
      <c r="DW101" s="165">
        <v>0</v>
      </c>
      <c r="DX101" s="165">
        <v>0</v>
      </c>
      <c r="DY101" s="165">
        <v>0</v>
      </c>
      <c r="DZ101" s="165">
        <v>0</v>
      </c>
      <c r="EA101" s="168"/>
    </row>
    <row r="102" spans="1:131" s="50" customFormat="1" ht="16.25" hidden="1" customHeight="1" x14ac:dyDescent="0.35">
      <c r="A102" s="36" t="s">
        <v>97</v>
      </c>
      <c r="B102" s="36" t="s">
        <v>391</v>
      </c>
      <c r="C102" s="36" t="s">
        <v>20</v>
      </c>
      <c r="D102" s="53" t="s">
        <v>513</v>
      </c>
      <c r="E102" s="38" t="s">
        <v>514</v>
      </c>
      <c r="F102" s="38" t="s">
        <v>110</v>
      </c>
      <c r="G102" s="32" t="s">
        <v>263</v>
      </c>
      <c r="H102" s="32"/>
      <c r="I102" s="51"/>
      <c r="J102" s="33"/>
      <c r="K102" s="36"/>
      <c r="L102" s="36"/>
      <c r="M102" s="36"/>
      <c r="N102" s="36"/>
      <c r="O102" s="33"/>
      <c r="P102" s="36" t="s">
        <v>361</v>
      </c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36"/>
      <c r="AD102" s="37"/>
      <c r="AE102" s="37"/>
      <c r="AF102" s="37"/>
      <c r="AG102" s="37"/>
      <c r="AH102" s="34"/>
      <c r="AI102" s="34"/>
      <c r="AJ102" s="37"/>
      <c r="AK102" s="46"/>
      <c r="AL102" s="47"/>
      <c r="AM102" s="47"/>
      <c r="AN102" s="39"/>
      <c r="AO102" s="97"/>
      <c r="AP102" s="39"/>
      <c r="AQ102" s="45"/>
      <c r="AR102" s="45"/>
      <c r="AS102" s="46"/>
      <c r="AT102" s="37"/>
      <c r="AU102" s="48"/>
      <c r="AV102" s="49"/>
      <c r="AW102" s="48"/>
      <c r="AX102" s="34"/>
      <c r="AY102" s="45"/>
      <c r="AZ102" s="46"/>
      <c r="BA102" s="37"/>
      <c r="BB102" s="39"/>
      <c r="BD102" s="34"/>
      <c r="BE102" s="45"/>
      <c r="BF102" s="46"/>
      <c r="BG102" s="37"/>
      <c r="BH102" s="70"/>
      <c r="BI102" s="39"/>
      <c r="BJ102" s="39"/>
      <c r="BL102" s="34"/>
      <c r="BM102" s="45"/>
      <c r="BN102" s="46"/>
      <c r="BO102" s="37"/>
      <c r="BP102" s="37"/>
      <c r="BQ102" s="92"/>
      <c r="BR102" s="34"/>
      <c r="BS102" s="67"/>
      <c r="BT102" s="34"/>
      <c r="BU102" s="45"/>
      <c r="BV102" s="46"/>
      <c r="BW102" s="118"/>
      <c r="BX102" s="118"/>
      <c r="BZ102" s="34"/>
      <c r="CA102" s="45">
        <v>400</v>
      </c>
      <c r="CB102" s="46">
        <v>1</v>
      </c>
      <c r="CC102" s="118">
        <f t="shared" si="83"/>
        <v>400</v>
      </c>
      <c r="CD102" s="118"/>
      <c r="CE102" s="92">
        <f t="shared" si="84"/>
        <v>400</v>
      </c>
      <c r="CF102" s="92">
        <f t="shared" si="85"/>
        <v>400</v>
      </c>
      <c r="CH102" s="34"/>
      <c r="CI102" s="45">
        <v>400</v>
      </c>
      <c r="CJ102" s="46">
        <v>1</v>
      </c>
      <c r="CK102" s="118">
        <f t="shared" si="86"/>
        <v>400</v>
      </c>
      <c r="CL102" s="118">
        <f t="shared" si="80"/>
        <v>0</v>
      </c>
      <c r="CM102" s="34" t="s">
        <v>515</v>
      </c>
      <c r="CN102" s="17"/>
      <c r="CO102" s="45">
        <v>400</v>
      </c>
      <c r="CP102" s="46">
        <v>1</v>
      </c>
      <c r="CQ102" s="118">
        <f t="shared" si="87"/>
        <v>400</v>
      </c>
      <c r="CR102" s="92">
        <f t="shared" si="88"/>
        <v>0</v>
      </c>
      <c r="CS102" s="17"/>
      <c r="CT102" s="17"/>
      <c r="CU102" s="45">
        <v>400</v>
      </c>
      <c r="CV102" s="46">
        <v>1</v>
      </c>
      <c r="CW102" s="118">
        <f t="shared" si="82"/>
        <v>400</v>
      </c>
      <c r="CX102" s="45">
        <v>400</v>
      </c>
      <c r="CY102" s="46">
        <v>1</v>
      </c>
      <c r="CZ102" s="118">
        <f t="shared" si="81"/>
        <v>400</v>
      </c>
      <c r="DA102" s="92">
        <f>CW102-CQ102</f>
        <v>0</v>
      </c>
      <c r="DB102" s="92"/>
      <c r="DC102" s="92"/>
      <c r="DD102" s="17"/>
      <c r="DE102" s="17"/>
      <c r="DF102" s="45">
        <v>400</v>
      </c>
      <c r="DG102" s="46">
        <v>1</v>
      </c>
      <c r="DH102" s="118">
        <f t="shared" si="91"/>
        <v>400</v>
      </c>
      <c r="DI102" s="168">
        <f t="shared" si="69"/>
        <v>0</v>
      </c>
      <c r="DJ102" s="168">
        <f t="shared" si="70"/>
        <v>0</v>
      </c>
      <c r="DK102" s="17"/>
      <c r="DL102" s="17"/>
      <c r="DM102" s="17"/>
      <c r="DN102" s="92">
        <f t="shared" si="92"/>
        <v>0</v>
      </c>
      <c r="DO102" s="165"/>
      <c r="DP102" s="165"/>
      <c r="DQ102" s="165"/>
      <c r="DR102" s="165"/>
      <c r="DS102" s="165"/>
      <c r="DT102" s="165"/>
      <c r="DU102" s="165"/>
      <c r="DV102" s="165"/>
      <c r="DW102" s="165"/>
      <c r="DX102" s="165"/>
      <c r="DY102" s="165"/>
      <c r="DZ102" s="165"/>
    </row>
    <row r="103" spans="1:131" s="91" customFormat="1" ht="16.25" hidden="1" customHeight="1" x14ac:dyDescent="0.4">
      <c r="A103" s="32" t="s">
        <v>97</v>
      </c>
      <c r="B103" s="32" t="s">
        <v>391</v>
      </c>
      <c r="C103" s="32" t="s">
        <v>20</v>
      </c>
      <c r="D103" s="16" t="s">
        <v>513</v>
      </c>
      <c r="E103" s="87" t="s">
        <v>514</v>
      </c>
      <c r="F103" s="87" t="s">
        <v>110</v>
      </c>
      <c r="G103" s="32" t="s">
        <v>101</v>
      </c>
      <c r="H103" s="32" t="s">
        <v>271</v>
      </c>
      <c r="I103" s="51" t="s">
        <v>192</v>
      </c>
      <c r="J103" s="33" t="s">
        <v>516</v>
      </c>
      <c r="K103" s="36" t="s">
        <v>294</v>
      </c>
      <c r="L103" s="36"/>
      <c r="M103" s="36"/>
      <c r="N103" s="36"/>
      <c r="O103" s="33" t="s">
        <v>517</v>
      </c>
      <c r="P103" s="32" t="s">
        <v>193</v>
      </c>
      <c r="Q103" s="129"/>
      <c r="R103" s="129"/>
      <c r="S103" s="129"/>
      <c r="T103" s="129"/>
      <c r="U103" s="129"/>
      <c r="V103" s="129">
        <f>CC103</f>
        <v>0</v>
      </c>
      <c r="W103" s="129"/>
      <c r="X103" s="129"/>
      <c r="Y103" s="129"/>
      <c r="Z103" s="129"/>
      <c r="AA103" s="129"/>
      <c r="AB103" s="129"/>
      <c r="AC103" s="32"/>
      <c r="AD103" s="37">
        <v>300</v>
      </c>
      <c r="AE103" s="37"/>
      <c r="AF103" s="39"/>
      <c r="AG103" s="39"/>
      <c r="AH103" s="87"/>
      <c r="AI103" s="161"/>
      <c r="AJ103" s="37">
        <v>0</v>
      </c>
      <c r="AK103" s="46">
        <v>0</v>
      </c>
      <c r="AL103" s="47">
        <f>AJ103*AK103</f>
        <v>0</v>
      </c>
      <c r="AM103" s="162"/>
      <c r="AN103" s="39">
        <v>0</v>
      </c>
      <c r="AO103" s="97">
        <v>0</v>
      </c>
      <c r="AP103" s="39">
        <v>0</v>
      </c>
      <c r="AQ103" s="159"/>
      <c r="AR103" s="45">
        <v>400</v>
      </c>
      <c r="AS103" s="46">
        <v>0.75</v>
      </c>
      <c r="AT103" s="37">
        <f>AR103*AS103</f>
        <v>300</v>
      </c>
      <c r="AU103" s="48"/>
      <c r="AV103" s="49">
        <f>AU103*AS103</f>
        <v>0</v>
      </c>
      <c r="AW103" s="48"/>
      <c r="AY103" s="45">
        <v>400</v>
      </c>
      <c r="AZ103" s="46">
        <v>0.75</v>
      </c>
      <c r="BA103" s="37">
        <f>AY103*AZ103</f>
        <v>300</v>
      </c>
      <c r="BB103" s="39">
        <f>BA103-AT103</f>
        <v>0</v>
      </c>
      <c r="BC103" s="50"/>
      <c r="BE103" s="45">
        <v>400</v>
      </c>
      <c r="BF103" s="46">
        <v>0.75</v>
      </c>
      <c r="BG103" s="37">
        <f>BE103*BF103</f>
        <v>300</v>
      </c>
      <c r="BH103" s="37"/>
      <c r="BI103" s="39">
        <f>BG103-BA103</f>
        <v>0</v>
      </c>
      <c r="BJ103" s="39"/>
      <c r="BK103" s="50"/>
      <c r="BM103" s="45">
        <v>400</v>
      </c>
      <c r="BN103" s="46">
        <v>0.75</v>
      </c>
      <c r="BO103" s="37">
        <f>BM103*BN103</f>
        <v>300</v>
      </c>
      <c r="BP103" s="37">
        <v>300</v>
      </c>
      <c r="BQ103" s="92">
        <f>BO103-BA103</f>
        <v>0</v>
      </c>
      <c r="BR103" s="59"/>
      <c r="BS103" s="50"/>
      <c r="BU103" s="45">
        <v>400</v>
      </c>
      <c r="BV103" s="46">
        <v>0.75</v>
      </c>
      <c r="BW103" s="118">
        <f>BU103*BV103</f>
        <v>300</v>
      </c>
      <c r="BX103" s="118">
        <f>BW103-BO103</f>
        <v>0</v>
      </c>
      <c r="BY103" s="50"/>
      <c r="CA103" s="45">
        <v>400</v>
      </c>
      <c r="CB103" s="46">
        <v>0</v>
      </c>
      <c r="CC103" s="118">
        <f t="shared" si="83"/>
        <v>0</v>
      </c>
      <c r="CD103" s="118"/>
      <c r="CE103" s="92">
        <f t="shared" si="84"/>
        <v>-300</v>
      </c>
      <c r="CF103" s="92">
        <f t="shared" si="85"/>
        <v>-300</v>
      </c>
      <c r="CG103" s="50"/>
      <c r="CI103" s="160">
        <v>400</v>
      </c>
      <c r="CJ103" s="164">
        <v>0</v>
      </c>
      <c r="CK103" s="165">
        <f t="shared" si="86"/>
        <v>0</v>
      </c>
      <c r="CL103" s="92">
        <f t="shared" si="80"/>
        <v>0</v>
      </c>
      <c r="CM103" s="50"/>
      <c r="CN103" s="139"/>
      <c r="CO103" s="160">
        <v>400</v>
      </c>
      <c r="CP103" s="164">
        <v>0</v>
      </c>
      <c r="CQ103" s="165">
        <f t="shared" si="87"/>
        <v>0</v>
      </c>
      <c r="CR103" s="168">
        <f t="shared" si="88"/>
        <v>0</v>
      </c>
      <c r="CS103" s="139"/>
      <c r="CT103" s="139"/>
      <c r="CU103" s="160">
        <v>400</v>
      </c>
      <c r="CV103" s="164">
        <v>0</v>
      </c>
      <c r="CW103" s="165">
        <f t="shared" si="82"/>
        <v>0</v>
      </c>
      <c r="CX103" s="160">
        <v>0</v>
      </c>
      <c r="CY103" s="164">
        <v>0</v>
      </c>
      <c r="CZ103" s="165">
        <f t="shared" si="81"/>
        <v>0</v>
      </c>
      <c r="DA103" s="168">
        <f>CZ103-CQ103</f>
        <v>0</v>
      </c>
      <c r="DB103" s="168">
        <f>CZ103-CW103</f>
        <v>0</v>
      </c>
      <c r="DC103" s="168"/>
      <c r="DD103" s="139"/>
      <c r="DE103" s="139"/>
      <c r="DF103" s="160">
        <v>0</v>
      </c>
      <c r="DG103" s="164">
        <v>0</v>
      </c>
      <c r="DH103" s="165">
        <f t="shared" si="91"/>
        <v>0</v>
      </c>
      <c r="DI103" s="168">
        <f t="shared" si="69"/>
        <v>0</v>
      </c>
      <c r="DJ103" s="168">
        <f t="shared" si="70"/>
        <v>0</v>
      </c>
      <c r="DK103" s="168"/>
      <c r="DL103" s="168"/>
      <c r="DM103" s="168"/>
      <c r="DN103" s="168">
        <f t="shared" si="92"/>
        <v>0</v>
      </c>
      <c r="DO103" s="165">
        <v>0</v>
      </c>
      <c r="DP103" s="165">
        <v>0</v>
      </c>
      <c r="DQ103" s="165">
        <v>0</v>
      </c>
      <c r="DR103" s="165">
        <v>0</v>
      </c>
      <c r="DS103" s="165">
        <v>0</v>
      </c>
      <c r="DT103" s="165">
        <v>0</v>
      </c>
      <c r="DU103" s="165">
        <v>0</v>
      </c>
      <c r="DV103" s="165">
        <v>0</v>
      </c>
      <c r="DW103" s="165">
        <v>0</v>
      </c>
      <c r="DX103" s="165">
        <v>0</v>
      </c>
      <c r="DY103" s="165">
        <v>0</v>
      </c>
      <c r="DZ103" s="165">
        <v>0</v>
      </c>
    </row>
    <row r="104" spans="1:131" s="91" customFormat="1" ht="16.25" hidden="1" customHeight="1" x14ac:dyDescent="0.4">
      <c r="A104" s="32" t="s">
        <v>97</v>
      </c>
      <c r="B104" s="32" t="s">
        <v>391</v>
      </c>
      <c r="C104" s="32" t="s">
        <v>20</v>
      </c>
      <c r="D104" s="16" t="s">
        <v>518</v>
      </c>
      <c r="E104" s="87" t="s">
        <v>1004</v>
      </c>
      <c r="F104" s="87" t="s">
        <v>110</v>
      </c>
      <c r="G104" s="32" t="s">
        <v>101</v>
      </c>
      <c r="H104" s="32" t="s">
        <v>182</v>
      </c>
      <c r="I104" s="36" t="s">
        <v>243</v>
      </c>
      <c r="J104" s="33"/>
      <c r="K104" s="36" t="s">
        <v>294</v>
      </c>
      <c r="L104" s="36"/>
      <c r="M104" s="36"/>
      <c r="N104" s="36" t="s">
        <v>244</v>
      </c>
      <c r="O104" s="33"/>
      <c r="P104" s="32" t="s">
        <v>193</v>
      </c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  <c r="AC104" s="32"/>
      <c r="AD104" s="37">
        <v>800</v>
      </c>
      <c r="AE104" s="37">
        <v>360</v>
      </c>
      <c r="AF104" s="39"/>
      <c r="AG104" s="39"/>
      <c r="AH104" s="87"/>
      <c r="AI104" s="161"/>
      <c r="AJ104" s="37">
        <v>0</v>
      </c>
      <c r="AK104" s="46">
        <v>0</v>
      </c>
      <c r="AL104" s="47">
        <f>AJ104*AK104</f>
        <v>0</v>
      </c>
      <c r="AM104" s="162"/>
      <c r="AN104" s="39">
        <v>0</v>
      </c>
      <c r="AO104" s="97">
        <v>0</v>
      </c>
      <c r="AP104" s="39">
        <v>0</v>
      </c>
      <c r="AQ104" s="159"/>
      <c r="AR104" s="37">
        <v>800</v>
      </c>
      <c r="AS104" s="46">
        <v>0.75</v>
      </c>
      <c r="AT104" s="37">
        <f>AR104*AS104</f>
        <v>600</v>
      </c>
      <c r="AU104" s="48"/>
      <c r="AV104" s="49">
        <f>AU104*AS104</f>
        <v>0</v>
      </c>
      <c r="AW104" s="48"/>
      <c r="AY104" s="37">
        <v>800</v>
      </c>
      <c r="AZ104" s="46">
        <v>0.75</v>
      </c>
      <c r="BA104" s="37">
        <f>AY104*AZ104</f>
        <v>600</v>
      </c>
      <c r="BB104" s="39">
        <f>BA104-AT104</f>
        <v>0</v>
      </c>
      <c r="BC104" s="50" t="s">
        <v>123</v>
      </c>
      <c r="BE104" s="37">
        <v>800</v>
      </c>
      <c r="BF104" s="46">
        <v>0.75</v>
      </c>
      <c r="BG104" s="37">
        <f>BE104*BF104</f>
        <v>600</v>
      </c>
      <c r="BH104" s="37"/>
      <c r="BI104" s="39">
        <f>BG104-BA104</f>
        <v>0</v>
      </c>
      <c r="BJ104" s="39"/>
      <c r="BK104" s="50" t="s">
        <v>123</v>
      </c>
      <c r="BM104" s="37">
        <v>800</v>
      </c>
      <c r="BN104" s="46">
        <v>0.75</v>
      </c>
      <c r="BO104" s="37">
        <f>BM104*BN104</f>
        <v>600</v>
      </c>
      <c r="BP104" s="37">
        <v>600</v>
      </c>
      <c r="BQ104" s="92">
        <f>BO104-BA104</f>
        <v>0</v>
      </c>
      <c r="BR104" s="59"/>
      <c r="BS104" s="50"/>
      <c r="BU104" s="37">
        <v>800</v>
      </c>
      <c r="BV104" s="46">
        <v>0.75</v>
      </c>
      <c r="BW104" s="118">
        <f>BU104*BV104</f>
        <v>600</v>
      </c>
      <c r="BX104" s="118">
        <f>BW104-BO104</f>
        <v>0</v>
      </c>
      <c r="BY104" s="50"/>
      <c r="CA104" s="37">
        <v>800</v>
      </c>
      <c r="CB104" s="46">
        <v>0.75</v>
      </c>
      <c r="CC104" s="118">
        <f t="shared" si="83"/>
        <v>600</v>
      </c>
      <c r="CD104" s="118"/>
      <c r="CE104" s="92">
        <f t="shared" si="84"/>
        <v>0</v>
      </c>
      <c r="CF104" s="92">
        <f t="shared" si="85"/>
        <v>0</v>
      </c>
      <c r="CG104" s="50"/>
      <c r="CI104" s="163">
        <v>800</v>
      </c>
      <c r="CJ104" s="164">
        <v>0.75</v>
      </c>
      <c r="CK104" s="165">
        <f t="shared" si="86"/>
        <v>600</v>
      </c>
      <c r="CL104" s="92">
        <f t="shared" si="80"/>
        <v>0</v>
      </c>
      <c r="CM104" s="50"/>
      <c r="CN104" s="139"/>
      <c r="CO104" s="163">
        <v>0</v>
      </c>
      <c r="CP104" s="164">
        <v>0</v>
      </c>
      <c r="CQ104" s="165">
        <f t="shared" si="87"/>
        <v>0</v>
      </c>
      <c r="CR104" s="168">
        <f t="shared" si="88"/>
        <v>-600</v>
      </c>
      <c r="CS104" s="139"/>
      <c r="CT104" s="139"/>
      <c r="CU104" s="163">
        <v>0</v>
      </c>
      <c r="CV104" s="164">
        <v>0</v>
      </c>
      <c r="CW104" s="165">
        <f t="shared" si="82"/>
        <v>0</v>
      </c>
      <c r="CX104" s="163">
        <v>0</v>
      </c>
      <c r="CY104" s="164">
        <v>0</v>
      </c>
      <c r="CZ104" s="165">
        <f t="shared" si="81"/>
        <v>0</v>
      </c>
      <c r="DA104" s="168">
        <f>CZ104-CQ104</f>
        <v>0</v>
      </c>
      <c r="DB104" s="168">
        <f>CZ104-CW104</f>
        <v>0</v>
      </c>
      <c r="DC104" s="168"/>
      <c r="DF104" s="163">
        <v>0</v>
      </c>
      <c r="DG104" s="164">
        <v>0</v>
      </c>
      <c r="DH104" s="165">
        <f t="shared" si="91"/>
        <v>0</v>
      </c>
      <c r="DI104" s="168">
        <f t="shared" si="69"/>
        <v>0</v>
      </c>
      <c r="DJ104" s="168">
        <f t="shared" si="70"/>
        <v>0</v>
      </c>
      <c r="DK104" s="168"/>
      <c r="DL104" s="168"/>
      <c r="DM104" s="168"/>
      <c r="DN104" s="168">
        <f t="shared" si="92"/>
        <v>0</v>
      </c>
      <c r="DO104" s="165">
        <v>0</v>
      </c>
      <c r="DP104" s="165">
        <v>0</v>
      </c>
      <c r="DQ104" s="165">
        <v>0</v>
      </c>
      <c r="DR104" s="165">
        <v>0</v>
      </c>
      <c r="DS104" s="165">
        <v>0</v>
      </c>
      <c r="DT104" s="165">
        <v>0</v>
      </c>
      <c r="DU104" s="165">
        <v>0</v>
      </c>
      <c r="DV104" s="165">
        <v>0</v>
      </c>
      <c r="DW104" s="165">
        <v>0</v>
      </c>
      <c r="DX104" s="165">
        <v>0</v>
      </c>
      <c r="DY104" s="165">
        <v>0</v>
      </c>
      <c r="DZ104" s="165">
        <v>0</v>
      </c>
      <c r="EA104" s="168"/>
    </row>
    <row r="105" spans="1:131" s="91" customFormat="1" ht="16.25" hidden="1" customHeight="1" x14ac:dyDescent="0.4">
      <c r="A105" s="32" t="s">
        <v>97</v>
      </c>
      <c r="B105" s="32" t="s">
        <v>391</v>
      </c>
      <c r="C105" s="32" t="s">
        <v>20</v>
      </c>
      <c r="D105" s="16" t="s">
        <v>518</v>
      </c>
      <c r="E105" s="87" t="s">
        <v>1020</v>
      </c>
      <c r="F105" s="87" t="s">
        <v>110</v>
      </c>
      <c r="G105" s="32" t="s">
        <v>101</v>
      </c>
      <c r="H105" s="32"/>
      <c r="I105" s="36"/>
      <c r="J105" s="33"/>
      <c r="K105" s="36"/>
      <c r="L105" s="36"/>
      <c r="M105" s="36"/>
      <c r="N105" s="36"/>
      <c r="O105" s="33"/>
      <c r="P105" s="32" t="s">
        <v>361</v>
      </c>
      <c r="Q105" s="129"/>
      <c r="R105" s="129"/>
      <c r="S105" s="129"/>
      <c r="T105" s="129"/>
      <c r="U105" s="129"/>
      <c r="V105" s="129"/>
      <c r="W105" s="129">
        <f>CZ105</f>
        <v>600</v>
      </c>
      <c r="X105" s="129"/>
      <c r="Y105" s="129"/>
      <c r="Z105" s="129"/>
      <c r="AA105" s="129"/>
      <c r="AB105" s="129"/>
      <c r="AC105" s="32"/>
      <c r="AD105" s="37"/>
      <c r="AE105" s="37"/>
      <c r="AF105" s="39"/>
      <c r="AG105" s="39"/>
      <c r="AH105" s="87"/>
      <c r="AI105" s="161"/>
      <c r="AJ105" s="37"/>
      <c r="AK105" s="46"/>
      <c r="AL105" s="47"/>
      <c r="AM105" s="162"/>
      <c r="AN105" s="39"/>
      <c r="AO105" s="97"/>
      <c r="AP105" s="39"/>
      <c r="AQ105" s="159"/>
      <c r="AR105" s="37"/>
      <c r="AS105" s="46"/>
      <c r="AT105" s="37"/>
      <c r="AU105" s="48"/>
      <c r="AV105" s="49"/>
      <c r="AW105" s="48"/>
      <c r="AY105" s="37"/>
      <c r="AZ105" s="46"/>
      <c r="BA105" s="37"/>
      <c r="BB105" s="39"/>
      <c r="BC105" s="50"/>
      <c r="BE105" s="37"/>
      <c r="BF105" s="46"/>
      <c r="BG105" s="37"/>
      <c r="BH105" s="37"/>
      <c r="BI105" s="39"/>
      <c r="BJ105" s="39"/>
      <c r="BK105" s="50"/>
      <c r="BM105" s="37"/>
      <c r="BN105" s="46"/>
      <c r="BO105" s="37"/>
      <c r="BP105" s="37"/>
      <c r="BQ105" s="92"/>
      <c r="BR105" s="59"/>
      <c r="BS105" s="50"/>
      <c r="BU105" s="37"/>
      <c r="BV105" s="46"/>
      <c r="BW105" s="118"/>
      <c r="BX105" s="118"/>
      <c r="BY105" s="50"/>
      <c r="CA105" s="37"/>
      <c r="CB105" s="46"/>
      <c r="CC105" s="118"/>
      <c r="CD105" s="118"/>
      <c r="CE105" s="92"/>
      <c r="CF105" s="92"/>
      <c r="CG105" s="50"/>
      <c r="CI105" s="213">
        <v>0</v>
      </c>
      <c r="CJ105" s="212">
        <v>0</v>
      </c>
      <c r="CK105" s="165">
        <f t="shared" si="86"/>
        <v>0</v>
      </c>
      <c r="CL105" s="92"/>
      <c r="CM105" s="50"/>
      <c r="CN105" s="139"/>
      <c r="CO105" s="163">
        <v>800</v>
      </c>
      <c r="CP105" s="164">
        <v>0.75</v>
      </c>
      <c r="CQ105" s="165">
        <f t="shared" si="87"/>
        <v>600</v>
      </c>
      <c r="CR105" s="168">
        <f t="shared" si="88"/>
        <v>600</v>
      </c>
      <c r="CS105" s="139"/>
      <c r="CT105" s="139"/>
      <c r="CU105" s="163">
        <v>800</v>
      </c>
      <c r="CV105" s="164">
        <v>0.75</v>
      </c>
      <c r="CW105" s="165">
        <f t="shared" si="82"/>
        <v>600</v>
      </c>
      <c r="CX105" s="163">
        <v>800</v>
      </c>
      <c r="CY105" s="164">
        <v>0.75</v>
      </c>
      <c r="CZ105" s="165">
        <f t="shared" si="81"/>
        <v>600</v>
      </c>
      <c r="DA105" s="168">
        <f>CZ105-CQ105</f>
        <v>0</v>
      </c>
      <c r="DB105" s="168">
        <f>CZ105-CW105</f>
        <v>0</v>
      </c>
      <c r="DC105" s="168"/>
      <c r="DD105" s="91" t="s">
        <v>519</v>
      </c>
      <c r="DF105" s="163">
        <v>800</v>
      </c>
      <c r="DG105" s="164">
        <v>0.75</v>
      </c>
      <c r="DH105" s="165">
        <f t="shared" si="91"/>
        <v>600</v>
      </c>
      <c r="DI105" s="168">
        <f t="shared" si="69"/>
        <v>0</v>
      </c>
      <c r="DJ105" s="168">
        <f t="shared" si="70"/>
        <v>0</v>
      </c>
      <c r="DK105" s="168"/>
      <c r="DL105" s="168"/>
      <c r="DM105" s="168"/>
      <c r="DN105" s="168">
        <f t="shared" si="92"/>
        <v>600</v>
      </c>
      <c r="DO105" s="165">
        <v>0</v>
      </c>
      <c r="DP105" s="165">
        <v>0</v>
      </c>
      <c r="DQ105" s="165">
        <v>0</v>
      </c>
      <c r="DR105" s="165">
        <v>0</v>
      </c>
      <c r="DS105" s="165">
        <v>0</v>
      </c>
      <c r="DT105" s="165">
        <v>0</v>
      </c>
      <c r="DU105" s="165">
        <v>120</v>
      </c>
      <c r="DV105" s="165">
        <v>280</v>
      </c>
      <c r="DW105" s="165">
        <v>100</v>
      </c>
      <c r="DX105" s="165">
        <v>100</v>
      </c>
      <c r="DY105" s="165">
        <v>0</v>
      </c>
      <c r="DZ105" s="165">
        <v>0</v>
      </c>
      <c r="EA105" s="168"/>
    </row>
    <row r="106" spans="1:131" s="91" customFormat="1" ht="16.25" hidden="1" customHeight="1" x14ac:dyDescent="0.4">
      <c r="A106" s="32" t="s">
        <v>97</v>
      </c>
      <c r="B106" s="32" t="s">
        <v>391</v>
      </c>
      <c r="C106" s="32" t="s">
        <v>20</v>
      </c>
      <c r="D106" s="16" t="s">
        <v>520</v>
      </c>
      <c r="E106" s="87" t="s">
        <v>345</v>
      </c>
      <c r="F106" s="87" t="s">
        <v>110</v>
      </c>
      <c r="G106" s="32" t="s">
        <v>101</v>
      </c>
      <c r="H106" s="32" t="s">
        <v>182</v>
      </c>
      <c r="I106" s="51"/>
      <c r="J106" s="33"/>
      <c r="K106" s="36"/>
      <c r="L106" s="36"/>
      <c r="M106" s="36" t="s">
        <v>184</v>
      </c>
      <c r="N106" s="36"/>
      <c r="O106" s="33"/>
      <c r="P106" s="32" t="s">
        <v>193</v>
      </c>
      <c r="Q106" s="129"/>
      <c r="R106" s="129"/>
      <c r="S106" s="129"/>
      <c r="T106" s="129">
        <f>CC106</f>
        <v>200</v>
      </c>
      <c r="U106" s="129"/>
      <c r="V106" s="129"/>
      <c r="W106" s="129"/>
      <c r="X106" s="129"/>
      <c r="Y106" s="129"/>
      <c r="Z106" s="129"/>
      <c r="AA106" s="129"/>
      <c r="AB106" s="129"/>
      <c r="AC106" s="32"/>
      <c r="AD106" s="37">
        <v>400</v>
      </c>
      <c r="AE106" s="37"/>
      <c r="AF106" s="37"/>
      <c r="AG106" s="37"/>
      <c r="AH106" s="158"/>
      <c r="AI106" s="158"/>
      <c r="AJ106" s="37"/>
      <c r="AK106" s="46"/>
      <c r="AL106" s="47"/>
      <c r="AM106" s="162"/>
      <c r="AN106" s="39" t="e">
        <f>VLOOKUP(D106,'May FF'!B$2:E$201,2,0)</f>
        <v>#N/A</v>
      </c>
      <c r="AO106" s="97">
        <v>0</v>
      </c>
      <c r="AP106" s="39" t="e">
        <f>VLOOKUP($D106,'May FF'!$B$2:$E$201,4,0)</f>
        <v>#N/A</v>
      </c>
      <c r="AQ106" s="160"/>
      <c r="AR106" s="45"/>
      <c r="AS106" s="46"/>
      <c r="AT106" s="37"/>
      <c r="AU106" s="48"/>
      <c r="AV106" s="49"/>
      <c r="AW106" s="48"/>
      <c r="AY106" s="45"/>
      <c r="AZ106" s="46"/>
      <c r="BA106" s="37"/>
      <c r="BB106" s="39"/>
      <c r="BC106" s="50"/>
      <c r="BE106" s="45"/>
      <c r="BF106" s="46"/>
      <c r="BG106" s="37"/>
      <c r="BH106" s="70"/>
      <c r="BI106" s="39"/>
      <c r="BJ106" s="39"/>
      <c r="BK106" s="50"/>
      <c r="BM106" s="45">
        <v>400</v>
      </c>
      <c r="BN106" s="46">
        <v>0.5</v>
      </c>
      <c r="BO106" s="37">
        <f>BM106*BN106</f>
        <v>200</v>
      </c>
      <c r="BP106" s="37">
        <v>200</v>
      </c>
      <c r="BQ106" s="92">
        <f>BO106-BA106</f>
        <v>200</v>
      </c>
      <c r="BR106" s="34" t="s">
        <v>178</v>
      </c>
      <c r="BS106" s="67" t="s">
        <v>179</v>
      </c>
      <c r="BU106" s="45">
        <v>400</v>
      </c>
      <c r="BV106" s="46">
        <v>0.5</v>
      </c>
      <c r="BW106" s="118">
        <f>BU106*BV106</f>
        <v>200</v>
      </c>
      <c r="BX106" s="118">
        <f>BW106-BO106</f>
        <v>0</v>
      </c>
      <c r="BY106" s="50"/>
      <c r="CA106" s="45">
        <v>400</v>
      </c>
      <c r="CB106" s="46">
        <v>0.5</v>
      </c>
      <c r="CC106" s="118">
        <f t="shared" ref="CC106:CC124" si="93">CA106*CB106</f>
        <v>200</v>
      </c>
      <c r="CD106" s="118"/>
      <c r="CE106" s="92">
        <f t="shared" ref="CE106:CE124" si="94">CC106-BW106</f>
        <v>0</v>
      </c>
      <c r="CF106" s="92">
        <f t="shared" ref="CF106:CF124" si="95">CC106-BO106</f>
        <v>0</v>
      </c>
      <c r="CG106" s="50"/>
      <c r="CI106" s="160">
        <v>400</v>
      </c>
      <c r="CJ106" s="164">
        <v>0.5</v>
      </c>
      <c r="CK106" s="165">
        <f t="shared" si="86"/>
        <v>200</v>
      </c>
      <c r="CL106" s="92">
        <f t="shared" ref="CL106:CL124" si="96">CK106-CC106</f>
        <v>0</v>
      </c>
      <c r="CM106" s="50"/>
      <c r="CN106" s="139"/>
      <c r="CO106" s="160">
        <v>400</v>
      </c>
      <c r="CP106" s="164">
        <v>0.5</v>
      </c>
      <c r="CQ106" s="165">
        <f t="shared" si="87"/>
        <v>200</v>
      </c>
      <c r="CR106" s="168">
        <f t="shared" si="88"/>
        <v>0</v>
      </c>
      <c r="CS106" s="139"/>
      <c r="CT106" s="139"/>
      <c r="CU106" s="160">
        <v>400</v>
      </c>
      <c r="CV106" s="164">
        <v>0.5</v>
      </c>
      <c r="CW106" s="165">
        <f t="shared" si="82"/>
        <v>200</v>
      </c>
      <c r="CX106" s="160">
        <v>0</v>
      </c>
      <c r="CY106" s="164">
        <v>0</v>
      </c>
      <c r="CZ106" s="165">
        <f t="shared" si="81"/>
        <v>0</v>
      </c>
      <c r="DA106" s="168">
        <f>CZ106-CQ106</f>
        <v>-200</v>
      </c>
      <c r="DB106" s="168">
        <f>CZ106-CW106</f>
        <v>-200</v>
      </c>
      <c r="DC106" s="168"/>
      <c r="DD106" s="139" t="s">
        <v>521</v>
      </c>
      <c r="DE106" s="139"/>
      <c r="DF106" s="160">
        <v>0</v>
      </c>
      <c r="DG106" s="164">
        <v>0</v>
      </c>
      <c r="DH106" s="165">
        <f t="shared" si="91"/>
        <v>0</v>
      </c>
      <c r="DI106" s="168">
        <f t="shared" si="69"/>
        <v>0</v>
      </c>
      <c r="DJ106" s="168">
        <f t="shared" si="70"/>
        <v>-200</v>
      </c>
      <c r="DK106" s="168"/>
      <c r="DL106" s="168"/>
      <c r="DM106" s="168"/>
      <c r="DN106" s="168">
        <f t="shared" si="92"/>
        <v>200</v>
      </c>
      <c r="DO106" s="165">
        <v>0</v>
      </c>
      <c r="DP106" s="165">
        <v>0</v>
      </c>
      <c r="DQ106" s="165">
        <v>0</v>
      </c>
      <c r="DR106" s="165">
        <v>0</v>
      </c>
      <c r="DS106" s="165">
        <v>0</v>
      </c>
      <c r="DT106" s="165">
        <v>0</v>
      </c>
      <c r="DU106" s="165">
        <v>0</v>
      </c>
      <c r="DV106" s="165">
        <v>100</v>
      </c>
      <c r="DW106" s="165">
        <v>0</v>
      </c>
      <c r="DX106" s="165">
        <v>100</v>
      </c>
      <c r="DY106" s="165">
        <v>0</v>
      </c>
      <c r="DZ106" s="165">
        <v>0</v>
      </c>
      <c r="EA106" s="168"/>
    </row>
    <row r="107" spans="1:131" s="50" customFormat="1" ht="16.25" hidden="1" customHeight="1" x14ac:dyDescent="0.35">
      <c r="A107" s="36" t="s">
        <v>97</v>
      </c>
      <c r="B107" s="36" t="s">
        <v>391</v>
      </c>
      <c r="C107" s="36" t="s">
        <v>15</v>
      </c>
      <c r="D107" s="53" t="s">
        <v>522</v>
      </c>
      <c r="E107" s="38" t="s">
        <v>523</v>
      </c>
      <c r="F107" s="38" t="s">
        <v>110</v>
      </c>
      <c r="G107" s="32" t="s">
        <v>263</v>
      </c>
      <c r="H107" s="32"/>
      <c r="I107" s="16"/>
      <c r="J107" s="15"/>
      <c r="K107" s="36"/>
      <c r="L107" s="37"/>
      <c r="M107" s="38"/>
      <c r="N107" s="32"/>
      <c r="O107" s="141"/>
      <c r="P107" s="36" t="s">
        <v>361</v>
      </c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36"/>
      <c r="AD107" s="37"/>
      <c r="AE107" s="37"/>
      <c r="AF107" s="39"/>
      <c r="AG107" s="39"/>
      <c r="AH107" s="61"/>
      <c r="AI107" s="62"/>
      <c r="AJ107" s="37"/>
      <c r="AK107" s="46"/>
      <c r="AL107" s="47"/>
      <c r="AM107" s="47"/>
      <c r="AN107" s="39"/>
      <c r="AO107" s="97"/>
      <c r="AP107" s="39"/>
      <c r="AQ107" s="62"/>
      <c r="AR107" s="63"/>
      <c r="AS107" s="64"/>
      <c r="AT107" s="63"/>
      <c r="AU107" s="65"/>
      <c r="AV107" s="66"/>
      <c r="AW107" s="65"/>
      <c r="AX107" s="61"/>
      <c r="AY107" s="63"/>
      <c r="AZ107" s="64"/>
      <c r="BA107" s="63"/>
      <c r="BB107" s="39"/>
      <c r="BD107" s="34"/>
      <c r="BE107" s="45"/>
      <c r="BF107" s="52"/>
      <c r="BG107" s="45"/>
      <c r="BH107" s="45"/>
      <c r="BI107" s="39"/>
      <c r="BJ107" s="39"/>
      <c r="BL107" s="34"/>
      <c r="BM107" s="45"/>
      <c r="BN107" s="52"/>
      <c r="BO107" s="45"/>
      <c r="BP107" s="45"/>
      <c r="BQ107" s="92"/>
      <c r="BR107" s="59"/>
      <c r="BT107" s="34"/>
      <c r="BU107" s="45"/>
      <c r="BV107" s="52"/>
      <c r="BW107" s="118"/>
      <c r="BX107" s="118"/>
      <c r="BZ107" s="34"/>
      <c r="CA107" s="45">
        <v>340</v>
      </c>
      <c r="CB107" s="52">
        <v>1</v>
      </c>
      <c r="CC107" s="118">
        <f t="shared" si="93"/>
        <v>340</v>
      </c>
      <c r="CD107" s="118"/>
      <c r="CE107" s="92">
        <f t="shared" si="94"/>
        <v>340</v>
      </c>
      <c r="CF107" s="92">
        <f t="shared" si="95"/>
        <v>340</v>
      </c>
      <c r="CH107" s="34"/>
      <c r="CI107" s="45">
        <v>340</v>
      </c>
      <c r="CJ107" s="52">
        <v>0</v>
      </c>
      <c r="CK107" s="118">
        <f t="shared" si="86"/>
        <v>0</v>
      </c>
      <c r="CL107" s="118">
        <f t="shared" si="96"/>
        <v>-340</v>
      </c>
      <c r="CM107" s="34" t="s">
        <v>524</v>
      </c>
      <c r="CN107" s="17"/>
      <c r="CO107" s="45">
        <v>340</v>
      </c>
      <c r="CP107" s="52">
        <v>0</v>
      </c>
      <c r="CQ107" s="118">
        <f t="shared" si="87"/>
        <v>0</v>
      </c>
      <c r="CR107" s="92">
        <f t="shared" si="88"/>
        <v>0</v>
      </c>
      <c r="CS107" s="17"/>
      <c r="CT107" s="17"/>
      <c r="CU107" s="45">
        <v>0</v>
      </c>
      <c r="CV107" s="52">
        <v>0</v>
      </c>
      <c r="CW107" s="118">
        <f t="shared" si="82"/>
        <v>0</v>
      </c>
      <c r="CX107" s="45">
        <v>0</v>
      </c>
      <c r="CY107" s="52">
        <v>0</v>
      </c>
      <c r="CZ107" s="118">
        <f t="shared" si="81"/>
        <v>0</v>
      </c>
      <c r="DA107" s="92">
        <f>CW107-CQ107</f>
        <v>0</v>
      </c>
      <c r="DB107" s="92"/>
      <c r="DC107" s="92"/>
      <c r="DD107" s="17"/>
      <c r="DE107" s="17"/>
      <c r="DF107" s="45">
        <v>0</v>
      </c>
      <c r="DG107" s="52">
        <v>0</v>
      </c>
      <c r="DH107" s="118">
        <f t="shared" si="91"/>
        <v>0</v>
      </c>
      <c r="DI107" s="168">
        <f t="shared" si="69"/>
        <v>0</v>
      </c>
      <c r="DJ107" s="168">
        <f t="shared" si="70"/>
        <v>0</v>
      </c>
      <c r="DK107" s="17"/>
      <c r="DL107" s="17"/>
      <c r="DM107" s="17"/>
      <c r="DN107" s="92">
        <f t="shared" si="92"/>
        <v>0</v>
      </c>
    </row>
    <row r="108" spans="1:131" s="91" customFormat="1" ht="16.25" hidden="1" customHeight="1" x14ac:dyDescent="0.4">
      <c r="A108" s="32" t="s">
        <v>97</v>
      </c>
      <c r="B108" s="32" t="s">
        <v>391</v>
      </c>
      <c r="C108" s="32" t="s">
        <v>15</v>
      </c>
      <c r="D108" s="16" t="s">
        <v>522</v>
      </c>
      <c r="E108" s="87" t="s">
        <v>1021</v>
      </c>
      <c r="F108" s="87" t="s">
        <v>110</v>
      </c>
      <c r="G108" s="32" t="s">
        <v>101</v>
      </c>
      <c r="H108" s="32" t="s">
        <v>224</v>
      </c>
      <c r="I108" s="51" t="s">
        <v>15</v>
      </c>
      <c r="J108" s="38" t="s">
        <v>525</v>
      </c>
      <c r="K108" s="36"/>
      <c r="L108" s="36"/>
      <c r="M108" s="36" t="s">
        <v>526</v>
      </c>
      <c r="N108" s="36" t="s">
        <v>149</v>
      </c>
      <c r="O108" s="33" t="s">
        <v>527</v>
      </c>
      <c r="P108" s="171" t="s">
        <v>230</v>
      </c>
      <c r="Q108" s="129"/>
      <c r="R108" s="129"/>
      <c r="S108" s="50"/>
      <c r="T108" s="129">
        <f>CK108</f>
        <v>100</v>
      </c>
      <c r="U108" s="129"/>
      <c r="V108" s="129"/>
      <c r="W108" s="129"/>
      <c r="X108" s="129"/>
      <c r="Y108" s="129"/>
      <c r="Z108" s="129"/>
      <c r="AA108" s="129"/>
      <c r="AB108" s="129"/>
      <c r="AC108" s="32"/>
      <c r="AD108" s="37"/>
      <c r="AE108" s="37"/>
      <c r="AF108" s="39"/>
      <c r="AG108" s="39"/>
      <c r="AH108" s="87"/>
      <c r="AI108" s="159"/>
      <c r="AJ108" s="37">
        <v>0</v>
      </c>
      <c r="AK108" s="46">
        <v>0</v>
      </c>
      <c r="AL108" s="47">
        <f>AJ108*AK108</f>
        <v>0</v>
      </c>
      <c r="AM108" s="162"/>
      <c r="AN108" s="39"/>
      <c r="AO108" s="97">
        <v>0</v>
      </c>
      <c r="AP108" s="39">
        <v>0</v>
      </c>
      <c r="AQ108" s="159"/>
      <c r="AR108" s="45">
        <v>340</v>
      </c>
      <c r="AS108" s="52">
        <v>0.9</v>
      </c>
      <c r="AT108" s="45">
        <f>AR108*AS108</f>
        <v>306</v>
      </c>
      <c r="AU108" s="48"/>
      <c r="AV108" s="49">
        <f>AU108*AS108</f>
        <v>0</v>
      </c>
      <c r="AW108" s="48"/>
      <c r="AY108" s="45">
        <v>340</v>
      </c>
      <c r="AZ108" s="52">
        <v>0.9</v>
      </c>
      <c r="BA108" s="45">
        <f>AY108*AZ108</f>
        <v>306</v>
      </c>
      <c r="BB108" s="39">
        <f>BA108-AT108</f>
        <v>0</v>
      </c>
      <c r="BC108" s="50"/>
      <c r="BE108" s="45">
        <v>340</v>
      </c>
      <c r="BF108" s="52">
        <v>0.9</v>
      </c>
      <c r="BG108" s="45">
        <f>BE108*BF108</f>
        <v>306</v>
      </c>
      <c r="BH108" s="45"/>
      <c r="BI108" s="39">
        <f>BG108-BA108</f>
        <v>0</v>
      </c>
      <c r="BJ108" s="39"/>
      <c r="BK108" s="50"/>
      <c r="BM108" s="45">
        <v>340</v>
      </c>
      <c r="BN108" s="52">
        <v>0.9</v>
      </c>
      <c r="BO108" s="45">
        <f>BM108*BN108</f>
        <v>306</v>
      </c>
      <c r="BP108" s="45">
        <v>306</v>
      </c>
      <c r="BQ108" s="92">
        <f>BO108-BA108</f>
        <v>0</v>
      </c>
      <c r="BR108" s="59"/>
      <c r="BS108" s="50"/>
      <c r="BU108" s="45">
        <v>340</v>
      </c>
      <c r="BV108" s="52">
        <v>0.9</v>
      </c>
      <c r="BW108" s="118">
        <f>BU108*BV108</f>
        <v>306</v>
      </c>
      <c r="BX108" s="118">
        <f>BW108-BO108</f>
        <v>0</v>
      </c>
      <c r="BY108" s="50"/>
      <c r="CA108" s="45">
        <v>340</v>
      </c>
      <c r="CB108" s="52">
        <v>0</v>
      </c>
      <c r="CC108" s="118">
        <f t="shared" si="93"/>
        <v>0</v>
      </c>
      <c r="CD108" s="118"/>
      <c r="CE108" s="92">
        <f t="shared" si="94"/>
        <v>-306</v>
      </c>
      <c r="CF108" s="92">
        <f t="shared" si="95"/>
        <v>-306</v>
      </c>
      <c r="CG108" s="50" t="s">
        <v>528</v>
      </c>
      <c r="CI108" s="160">
        <v>200</v>
      </c>
      <c r="CJ108" s="167">
        <v>0.5</v>
      </c>
      <c r="CK108" s="165">
        <f t="shared" si="86"/>
        <v>100</v>
      </c>
      <c r="CL108" s="92">
        <f t="shared" si="96"/>
        <v>100</v>
      </c>
      <c r="CM108" s="50" t="s">
        <v>529</v>
      </c>
      <c r="CN108" s="139"/>
      <c r="CO108" s="160">
        <v>300</v>
      </c>
      <c r="CP108" s="167">
        <v>0.9</v>
      </c>
      <c r="CQ108" s="165">
        <f t="shared" si="87"/>
        <v>270</v>
      </c>
      <c r="CR108" s="168">
        <f t="shared" si="88"/>
        <v>170</v>
      </c>
      <c r="CS108" s="91" t="s">
        <v>530</v>
      </c>
      <c r="CT108" s="139"/>
      <c r="CU108" s="160">
        <v>300</v>
      </c>
      <c r="CV108" s="167">
        <v>0.9</v>
      </c>
      <c r="CW108" s="165">
        <f t="shared" si="82"/>
        <v>270</v>
      </c>
      <c r="CX108" s="160">
        <v>300</v>
      </c>
      <c r="CY108" s="167">
        <v>0.9</v>
      </c>
      <c r="CZ108" s="165">
        <f t="shared" si="81"/>
        <v>270</v>
      </c>
      <c r="DA108" s="168">
        <f>CZ108-CQ108</f>
        <v>0</v>
      </c>
      <c r="DB108" s="168">
        <f>CZ108-CW108</f>
        <v>0</v>
      </c>
      <c r="DC108" s="168"/>
      <c r="DD108" s="91" t="s">
        <v>531</v>
      </c>
      <c r="DF108" s="160">
        <v>140</v>
      </c>
      <c r="DG108" s="167">
        <v>0.9</v>
      </c>
      <c r="DH108" s="165">
        <f t="shared" si="91"/>
        <v>126</v>
      </c>
      <c r="DI108" s="168">
        <f t="shared" si="69"/>
        <v>-144</v>
      </c>
      <c r="DJ108" s="168">
        <f t="shared" si="70"/>
        <v>-144</v>
      </c>
      <c r="DK108" s="168" t="s">
        <v>532</v>
      </c>
      <c r="DL108" s="168"/>
      <c r="DM108" s="168"/>
      <c r="DN108" s="168">
        <f t="shared" si="92"/>
        <v>270</v>
      </c>
      <c r="DO108" s="165">
        <v>0</v>
      </c>
      <c r="DP108" s="165">
        <v>0</v>
      </c>
      <c r="DQ108" s="165">
        <v>0</v>
      </c>
      <c r="DR108" s="165">
        <v>0</v>
      </c>
      <c r="DS108" s="165">
        <v>0</v>
      </c>
      <c r="DT108" s="165">
        <v>0</v>
      </c>
      <c r="DU108" s="165">
        <v>0</v>
      </c>
      <c r="DV108" s="165">
        <v>0</v>
      </c>
      <c r="DW108" s="165">
        <v>0</v>
      </c>
      <c r="DX108" s="165">
        <v>170</v>
      </c>
      <c r="DY108" s="165">
        <v>0</v>
      </c>
      <c r="DZ108" s="165">
        <v>100</v>
      </c>
      <c r="EA108" s="168"/>
    </row>
    <row r="109" spans="1:131" s="91" customFormat="1" ht="16.25" hidden="1" customHeight="1" x14ac:dyDescent="0.4">
      <c r="A109" s="32" t="s">
        <v>97</v>
      </c>
      <c r="B109" s="32" t="s">
        <v>391</v>
      </c>
      <c r="C109" s="32" t="s">
        <v>15</v>
      </c>
      <c r="D109" s="16" t="s">
        <v>533</v>
      </c>
      <c r="E109" s="87" t="s">
        <v>507</v>
      </c>
      <c r="F109" s="87" t="s">
        <v>100</v>
      </c>
      <c r="G109" s="32" t="s">
        <v>101</v>
      </c>
      <c r="H109" s="32" t="s">
        <v>214</v>
      </c>
      <c r="I109" s="16"/>
      <c r="J109" s="184" t="s">
        <v>225</v>
      </c>
      <c r="K109" s="36"/>
      <c r="L109" s="37"/>
      <c r="M109" s="38"/>
      <c r="N109" s="32"/>
      <c r="O109" s="184" t="s">
        <v>225</v>
      </c>
      <c r="P109" s="32" t="s">
        <v>230</v>
      </c>
      <c r="Q109" s="129"/>
      <c r="R109" s="129"/>
      <c r="S109" s="129"/>
      <c r="T109" s="129"/>
      <c r="U109" s="129"/>
      <c r="V109" s="129"/>
      <c r="W109" s="129">
        <f>CK109</f>
        <v>250</v>
      </c>
      <c r="X109" s="129"/>
      <c r="Y109" s="129"/>
      <c r="Z109" s="129"/>
      <c r="AA109" s="129"/>
      <c r="AB109" s="129"/>
      <c r="AC109" s="32"/>
      <c r="AD109" s="37"/>
      <c r="AE109" s="37"/>
      <c r="AF109" s="39"/>
      <c r="AG109" s="39"/>
      <c r="AH109" s="142"/>
      <c r="AI109" s="174"/>
      <c r="AJ109" s="37">
        <v>0</v>
      </c>
      <c r="AK109" s="46">
        <v>0</v>
      </c>
      <c r="AL109" s="47">
        <f>AJ109*AK109</f>
        <v>0</v>
      </c>
      <c r="AM109" s="162"/>
      <c r="AN109" s="39">
        <v>0</v>
      </c>
      <c r="AO109" s="97">
        <v>0</v>
      </c>
      <c r="AP109" s="39">
        <v>0</v>
      </c>
      <c r="AQ109" s="174"/>
      <c r="AR109" s="63">
        <v>500</v>
      </c>
      <c r="AS109" s="64">
        <v>0.5</v>
      </c>
      <c r="AT109" s="63">
        <f>AR109*AS109</f>
        <v>250</v>
      </c>
      <c r="AU109" s="65"/>
      <c r="AV109" s="66">
        <f>AU109*AS109</f>
        <v>0</v>
      </c>
      <c r="AW109" s="65"/>
      <c r="AX109" s="139"/>
      <c r="AY109" s="63">
        <v>500</v>
      </c>
      <c r="AZ109" s="64">
        <v>0.5</v>
      </c>
      <c r="BA109" s="63">
        <f>AY109*AZ109</f>
        <v>250</v>
      </c>
      <c r="BB109" s="39">
        <f>BA109-AT109</f>
        <v>0</v>
      </c>
      <c r="BC109" s="50"/>
      <c r="BE109" s="45">
        <v>500</v>
      </c>
      <c r="BF109" s="52">
        <v>0.5</v>
      </c>
      <c r="BG109" s="45">
        <f>BE109*BF109</f>
        <v>250</v>
      </c>
      <c r="BH109" s="45"/>
      <c r="BI109" s="39">
        <f>BG109-BA109</f>
        <v>0</v>
      </c>
      <c r="BJ109" s="39"/>
      <c r="BK109" s="50"/>
      <c r="BM109" s="45">
        <v>500</v>
      </c>
      <c r="BN109" s="52">
        <v>0.5</v>
      </c>
      <c r="BO109" s="45">
        <f>BM109*BN109</f>
        <v>250</v>
      </c>
      <c r="BP109" s="45">
        <v>250</v>
      </c>
      <c r="BQ109" s="92">
        <f>BO109-BA109</f>
        <v>0</v>
      </c>
      <c r="BR109" s="59"/>
      <c r="BS109" s="50"/>
      <c r="BU109" s="45">
        <v>500</v>
      </c>
      <c r="BV109" s="52">
        <v>0.5</v>
      </c>
      <c r="BW109" s="118">
        <f>BU109*BV109</f>
        <v>250</v>
      </c>
      <c r="BX109" s="118">
        <f>BW109-BO109</f>
        <v>0</v>
      </c>
      <c r="BY109" s="50"/>
      <c r="CA109" s="45">
        <v>500</v>
      </c>
      <c r="CB109" s="52">
        <v>0.5</v>
      </c>
      <c r="CC109" s="118">
        <f t="shared" si="93"/>
        <v>250</v>
      </c>
      <c r="CD109" s="118"/>
      <c r="CE109" s="92">
        <f t="shared" si="94"/>
        <v>0</v>
      </c>
      <c r="CF109" s="92">
        <f t="shared" si="95"/>
        <v>0</v>
      </c>
      <c r="CG109" s="50"/>
      <c r="CI109" s="160">
        <v>500</v>
      </c>
      <c r="CJ109" s="167">
        <v>0.5</v>
      </c>
      <c r="CK109" s="165">
        <f t="shared" si="86"/>
        <v>250</v>
      </c>
      <c r="CL109" s="92">
        <f t="shared" si="96"/>
        <v>0</v>
      </c>
      <c r="CM109" s="50"/>
      <c r="CN109" s="139"/>
      <c r="CO109" s="160">
        <v>500</v>
      </c>
      <c r="CP109" s="167">
        <v>0.5</v>
      </c>
      <c r="CQ109" s="165">
        <f t="shared" si="87"/>
        <v>250</v>
      </c>
      <c r="CR109" s="168">
        <f t="shared" si="88"/>
        <v>0</v>
      </c>
      <c r="CT109" s="139"/>
      <c r="CU109" s="160">
        <v>500</v>
      </c>
      <c r="CV109" s="167">
        <v>0.5</v>
      </c>
      <c r="CW109" s="165">
        <f t="shared" si="82"/>
        <v>250</v>
      </c>
      <c r="CX109" s="160">
        <v>400</v>
      </c>
      <c r="CY109" s="167">
        <v>0.5</v>
      </c>
      <c r="CZ109" s="165">
        <f t="shared" si="81"/>
        <v>200</v>
      </c>
      <c r="DA109" s="168">
        <f>CZ109-CQ109</f>
        <v>-50</v>
      </c>
      <c r="DB109" s="168">
        <f>CZ109-CW109</f>
        <v>-50</v>
      </c>
      <c r="DC109" s="168"/>
      <c r="DF109" s="160">
        <v>400</v>
      </c>
      <c r="DG109" s="167">
        <v>0.5</v>
      </c>
      <c r="DH109" s="165">
        <f t="shared" si="91"/>
        <v>200</v>
      </c>
      <c r="DI109" s="168">
        <f t="shared" si="69"/>
        <v>0</v>
      </c>
      <c r="DJ109" s="168">
        <f t="shared" si="70"/>
        <v>-50</v>
      </c>
      <c r="DK109" s="168"/>
      <c r="DL109" s="168"/>
      <c r="DM109" s="168"/>
      <c r="DN109" s="168">
        <f t="shared" si="92"/>
        <v>200</v>
      </c>
      <c r="DO109" s="165">
        <v>0</v>
      </c>
      <c r="DP109" s="165">
        <v>0</v>
      </c>
      <c r="DQ109" s="165">
        <v>0</v>
      </c>
      <c r="DR109" s="165">
        <v>0</v>
      </c>
      <c r="DS109" s="165">
        <v>0</v>
      </c>
      <c r="DT109" s="165">
        <v>0</v>
      </c>
      <c r="DU109" s="165">
        <v>0</v>
      </c>
      <c r="DV109" s="165">
        <v>0</v>
      </c>
      <c r="DW109" s="165">
        <v>0</v>
      </c>
      <c r="DX109" s="165">
        <v>200</v>
      </c>
      <c r="DY109" s="165">
        <v>0</v>
      </c>
      <c r="DZ109" s="165">
        <v>0</v>
      </c>
      <c r="EA109" s="168"/>
    </row>
    <row r="110" spans="1:131" s="91" customFormat="1" ht="16.25" hidden="1" customHeight="1" x14ac:dyDescent="0.4">
      <c r="A110" s="32" t="s">
        <v>97</v>
      </c>
      <c r="B110" s="32" t="s">
        <v>391</v>
      </c>
      <c r="C110" s="32" t="s">
        <v>15</v>
      </c>
      <c r="D110" s="32" t="s">
        <v>534</v>
      </c>
      <c r="E110" s="87" t="s">
        <v>538</v>
      </c>
      <c r="F110" s="87" t="s">
        <v>110</v>
      </c>
      <c r="G110" s="32" t="s">
        <v>101</v>
      </c>
      <c r="H110" s="32" t="s">
        <v>271</v>
      </c>
      <c r="I110" s="16" t="s">
        <v>15</v>
      </c>
      <c r="J110" s="33" t="s">
        <v>539</v>
      </c>
      <c r="K110" s="36"/>
      <c r="L110" s="36"/>
      <c r="M110" s="36"/>
      <c r="N110" s="36" t="s">
        <v>294</v>
      </c>
      <c r="O110" s="33" t="s">
        <v>540</v>
      </c>
      <c r="P110" s="32" t="s">
        <v>193</v>
      </c>
      <c r="Q110" s="129"/>
      <c r="R110" s="129"/>
      <c r="S110" s="129"/>
      <c r="T110" s="129"/>
      <c r="U110" s="129"/>
      <c r="V110" s="129"/>
      <c r="W110" s="129">
        <f>CC110</f>
        <v>0</v>
      </c>
      <c r="X110" s="129"/>
      <c r="Y110" s="129"/>
      <c r="Z110" s="129"/>
      <c r="AA110" s="129"/>
      <c r="AB110" s="129"/>
      <c r="AC110" s="171"/>
      <c r="AD110" s="37"/>
      <c r="AE110" s="37"/>
      <c r="AF110" s="41"/>
      <c r="AG110" s="41"/>
      <c r="AH110" s="87"/>
      <c r="AI110" s="161"/>
      <c r="AJ110" s="37">
        <v>0</v>
      </c>
      <c r="AK110" s="46">
        <v>0</v>
      </c>
      <c r="AL110" s="47">
        <f>AJ110*AK110</f>
        <v>0</v>
      </c>
      <c r="AM110" s="162"/>
      <c r="AN110" s="39">
        <v>0</v>
      </c>
      <c r="AO110" s="97">
        <v>0</v>
      </c>
      <c r="AP110" s="39">
        <v>0</v>
      </c>
      <c r="AQ110" s="161"/>
      <c r="AR110" s="45">
        <v>300</v>
      </c>
      <c r="AS110" s="52">
        <v>0.5</v>
      </c>
      <c r="AT110" s="45">
        <f>AR110*AS110</f>
        <v>150</v>
      </c>
      <c r="AU110" s="48"/>
      <c r="AV110" s="49">
        <f>AU110*AS110</f>
        <v>0</v>
      </c>
      <c r="AW110" s="48"/>
      <c r="AY110" s="45">
        <v>300</v>
      </c>
      <c r="AZ110" s="52">
        <v>0.5</v>
      </c>
      <c r="BA110" s="45">
        <f>AY110*AZ110</f>
        <v>150</v>
      </c>
      <c r="BB110" s="39">
        <f>BA110-AT110</f>
        <v>0</v>
      </c>
      <c r="BC110" s="50"/>
      <c r="BE110" s="45">
        <v>300</v>
      </c>
      <c r="BF110" s="52">
        <v>0.5</v>
      </c>
      <c r="BG110" s="45">
        <f>BE110*BF110</f>
        <v>150</v>
      </c>
      <c r="BH110" s="45"/>
      <c r="BI110" s="39">
        <f>BG110-BA110</f>
        <v>0</v>
      </c>
      <c r="BJ110" s="39"/>
      <c r="BK110" s="50"/>
      <c r="BM110" s="45">
        <v>300</v>
      </c>
      <c r="BN110" s="52">
        <v>0.5</v>
      </c>
      <c r="BO110" s="45">
        <f>BM110*BN110</f>
        <v>150</v>
      </c>
      <c r="BP110" s="45">
        <v>150</v>
      </c>
      <c r="BQ110" s="92">
        <f>BO110-BA110</f>
        <v>0</v>
      </c>
      <c r="BR110" s="59"/>
      <c r="BS110" s="50"/>
      <c r="BU110" s="45">
        <v>300</v>
      </c>
      <c r="BV110" s="52">
        <v>0.5</v>
      </c>
      <c r="BW110" s="118">
        <f>BU110*BV110</f>
        <v>150</v>
      </c>
      <c r="BX110" s="118">
        <f>BW110-BO110</f>
        <v>0</v>
      </c>
      <c r="BY110" s="50"/>
      <c r="CA110" s="45">
        <v>300</v>
      </c>
      <c r="CB110" s="52">
        <v>0</v>
      </c>
      <c r="CC110" s="118">
        <f t="shared" si="93"/>
        <v>0</v>
      </c>
      <c r="CD110" s="118"/>
      <c r="CE110" s="92">
        <f t="shared" si="94"/>
        <v>-150</v>
      </c>
      <c r="CF110" s="92">
        <f t="shared" si="95"/>
        <v>-150</v>
      </c>
      <c r="CG110" s="50"/>
      <c r="CI110" s="160">
        <v>300</v>
      </c>
      <c r="CJ110" s="167">
        <v>0</v>
      </c>
      <c r="CK110" s="165">
        <f t="shared" si="86"/>
        <v>0</v>
      </c>
      <c r="CL110" s="92">
        <f t="shared" si="96"/>
        <v>0</v>
      </c>
      <c r="CM110" s="50"/>
      <c r="CN110" s="139"/>
      <c r="CO110" s="160">
        <v>300</v>
      </c>
      <c r="CP110" s="167">
        <v>0</v>
      </c>
      <c r="CQ110" s="165">
        <f t="shared" si="87"/>
        <v>0</v>
      </c>
      <c r="CR110" s="168">
        <f t="shared" si="88"/>
        <v>0</v>
      </c>
      <c r="CT110" s="139"/>
      <c r="CU110" s="160">
        <v>300</v>
      </c>
      <c r="CV110" s="167">
        <v>0</v>
      </c>
      <c r="CW110" s="165">
        <f t="shared" si="82"/>
        <v>0</v>
      </c>
      <c r="CX110" s="160">
        <v>300</v>
      </c>
      <c r="CY110" s="167">
        <v>0</v>
      </c>
      <c r="CZ110" s="165">
        <f t="shared" si="81"/>
        <v>0</v>
      </c>
      <c r="DA110" s="168">
        <f>CZ110-CQ110</f>
        <v>0</v>
      </c>
      <c r="DB110" s="168">
        <f>CZ110-CW110</f>
        <v>0</v>
      </c>
      <c r="DC110" s="168"/>
      <c r="DF110" s="160">
        <v>300</v>
      </c>
      <c r="DG110" s="167">
        <v>0</v>
      </c>
      <c r="DH110" s="165">
        <f t="shared" si="91"/>
        <v>0</v>
      </c>
      <c r="DI110" s="168">
        <f t="shared" si="69"/>
        <v>0</v>
      </c>
      <c r="DJ110" s="168">
        <f t="shared" si="70"/>
        <v>0</v>
      </c>
      <c r="DK110" s="168"/>
      <c r="DL110" s="168"/>
      <c r="DM110" s="168"/>
      <c r="DN110" s="168">
        <f t="shared" si="92"/>
        <v>0</v>
      </c>
      <c r="DO110" s="165">
        <v>0</v>
      </c>
      <c r="DP110" s="165">
        <v>0</v>
      </c>
      <c r="DQ110" s="165">
        <v>0</v>
      </c>
      <c r="DR110" s="165">
        <v>0</v>
      </c>
      <c r="DS110" s="165">
        <v>0</v>
      </c>
      <c r="DT110" s="165">
        <v>0</v>
      </c>
      <c r="DU110" s="165">
        <v>0</v>
      </c>
      <c r="DV110" s="165">
        <v>0</v>
      </c>
      <c r="DW110" s="165">
        <v>0</v>
      </c>
      <c r="DX110" s="165">
        <v>0</v>
      </c>
      <c r="DY110" s="165">
        <v>0</v>
      </c>
      <c r="DZ110" s="165">
        <v>0</v>
      </c>
    </row>
    <row r="111" spans="1:131" s="50" customFormat="1" ht="16.25" hidden="1" customHeight="1" x14ac:dyDescent="0.35">
      <c r="A111" s="36" t="s">
        <v>97</v>
      </c>
      <c r="B111" s="36" t="s">
        <v>391</v>
      </c>
      <c r="C111" s="36" t="s">
        <v>15</v>
      </c>
      <c r="D111" s="36" t="s">
        <v>534</v>
      </c>
      <c r="E111" s="38" t="s">
        <v>535</v>
      </c>
      <c r="F111" s="38" t="s">
        <v>110</v>
      </c>
      <c r="G111" s="32" t="s">
        <v>263</v>
      </c>
      <c r="H111" s="32"/>
      <c r="I111" s="83"/>
      <c r="J111" s="34" t="s">
        <v>536</v>
      </c>
      <c r="K111" s="36"/>
      <c r="L111" s="36"/>
      <c r="M111" s="36"/>
      <c r="N111" s="36"/>
      <c r="O111" s="38"/>
      <c r="P111" s="36" t="s">
        <v>361</v>
      </c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36"/>
      <c r="AD111" s="37"/>
      <c r="AE111" s="37"/>
      <c r="AF111" s="37"/>
      <c r="AG111" s="37"/>
      <c r="AH111" s="34"/>
      <c r="AI111" s="34"/>
      <c r="AJ111" s="71"/>
      <c r="AK111" s="72"/>
      <c r="AL111" s="89"/>
      <c r="AM111" s="47"/>
      <c r="AN111" s="73"/>
      <c r="AO111" s="97"/>
      <c r="AP111" s="39"/>
      <c r="AQ111" s="45"/>
      <c r="AR111" s="45"/>
      <c r="AS111" s="46"/>
      <c r="AT111" s="37"/>
      <c r="AU111" s="48"/>
      <c r="AV111" s="49"/>
      <c r="AW111" s="48"/>
      <c r="AX111" s="34"/>
      <c r="AY111" s="73"/>
      <c r="AZ111" s="46"/>
      <c r="BA111" s="71"/>
      <c r="BB111" s="82"/>
      <c r="BC111" s="59"/>
      <c r="BD111" s="34"/>
      <c r="BE111" s="73"/>
      <c r="BF111" s="72"/>
      <c r="BG111" s="71"/>
      <c r="BH111" s="71"/>
      <c r="BI111" s="82"/>
      <c r="BJ111" s="82"/>
      <c r="BK111" s="59"/>
      <c r="BL111" s="34"/>
      <c r="BM111" s="73"/>
      <c r="BN111" s="120"/>
      <c r="BO111" s="71"/>
      <c r="BP111" s="71"/>
      <c r="BQ111" s="92"/>
      <c r="BR111" s="59"/>
      <c r="BS111" s="59"/>
      <c r="BT111" s="34"/>
      <c r="BU111" s="73"/>
      <c r="BV111" s="120"/>
      <c r="BW111" s="92"/>
      <c r="BX111" s="118"/>
      <c r="BZ111" s="34"/>
      <c r="CA111" s="100">
        <v>300</v>
      </c>
      <c r="CB111" s="120">
        <v>1</v>
      </c>
      <c r="CC111" s="118">
        <f t="shared" si="93"/>
        <v>300</v>
      </c>
      <c r="CD111" s="118"/>
      <c r="CE111" s="92">
        <f t="shared" si="94"/>
        <v>300</v>
      </c>
      <c r="CF111" s="92">
        <f t="shared" si="95"/>
        <v>300</v>
      </c>
      <c r="CH111" s="34"/>
      <c r="CI111" s="39">
        <v>300</v>
      </c>
      <c r="CJ111" s="136">
        <v>1</v>
      </c>
      <c r="CK111" s="118">
        <f t="shared" si="86"/>
        <v>300</v>
      </c>
      <c r="CL111" s="118">
        <f t="shared" si="96"/>
        <v>0</v>
      </c>
      <c r="CM111" s="34" t="s">
        <v>537</v>
      </c>
      <c r="CN111" s="17"/>
      <c r="CO111" s="39">
        <v>0</v>
      </c>
      <c r="CP111" s="136">
        <v>1</v>
      </c>
      <c r="CQ111" s="118">
        <f t="shared" si="87"/>
        <v>0</v>
      </c>
      <c r="CR111" s="92">
        <f t="shared" si="88"/>
        <v>-300</v>
      </c>
      <c r="CS111" s="91"/>
      <c r="CT111" s="17"/>
      <c r="CU111" s="39">
        <v>0</v>
      </c>
      <c r="CV111" s="136">
        <v>1</v>
      </c>
      <c r="CW111" s="118">
        <f t="shared" si="82"/>
        <v>0</v>
      </c>
      <c r="CX111" s="39">
        <v>0</v>
      </c>
      <c r="CY111" s="136">
        <v>1</v>
      </c>
      <c r="CZ111" s="118">
        <f t="shared" si="81"/>
        <v>0</v>
      </c>
      <c r="DA111" s="92">
        <f>CW111-CQ111</f>
        <v>0</v>
      </c>
      <c r="DB111" s="92"/>
      <c r="DC111" s="92"/>
      <c r="DD111" s="91"/>
      <c r="DE111" s="91"/>
      <c r="DF111" s="39">
        <v>0</v>
      </c>
      <c r="DG111" s="136">
        <v>1</v>
      </c>
      <c r="DH111" s="118">
        <f t="shared" si="91"/>
        <v>0</v>
      </c>
      <c r="DI111" s="168">
        <f t="shared" si="69"/>
        <v>0</v>
      </c>
      <c r="DJ111" s="168">
        <f t="shared" si="70"/>
        <v>0</v>
      </c>
      <c r="DK111" s="91"/>
      <c r="DL111" s="91"/>
      <c r="DM111" s="91"/>
      <c r="DN111" s="92">
        <f t="shared" si="92"/>
        <v>0</v>
      </c>
    </row>
    <row r="112" spans="1:131" s="91" customFormat="1" ht="16.25" hidden="1" customHeight="1" x14ac:dyDescent="0.4">
      <c r="A112" s="32" t="s">
        <v>97</v>
      </c>
      <c r="B112" s="32" t="s">
        <v>391</v>
      </c>
      <c r="C112" s="32" t="s">
        <v>15</v>
      </c>
      <c r="D112" s="16" t="s">
        <v>541</v>
      </c>
      <c r="E112" s="87" t="s">
        <v>542</v>
      </c>
      <c r="F112" s="87" t="s">
        <v>114</v>
      </c>
      <c r="G112" s="32" t="s">
        <v>101</v>
      </c>
      <c r="H112" s="32"/>
      <c r="I112" s="51" t="s">
        <v>193</v>
      </c>
      <c r="J112" s="38" t="s">
        <v>543</v>
      </c>
      <c r="K112" s="36"/>
      <c r="L112" s="36"/>
      <c r="M112" s="36"/>
      <c r="N112" s="36" t="s">
        <v>294</v>
      </c>
      <c r="O112" s="33" t="s">
        <v>544</v>
      </c>
      <c r="P112" s="32" t="s">
        <v>193</v>
      </c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32"/>
      <c r="AD112" s="37"/>
      <c r="AE112" s="37"/>
      <c r="AF112" s="39"/>
      <c r="AG112" s="39"/>
      <c r="AH112" s="87"/>
      <c r="AI112" s="161"/>
      <c r="AJ112" s="37">
        <v>0</v>
      </c>
      <c r="AK112" s="46">
        <v>0</v>
      </c>
      <c r="AL112" s="47">
        <f>AJ112*AK112</f>
        <v>0</v>
      </c>
      <c r="AM112" s="162"/>
      <c r="AN112" s="39">
        <v>0</v>
      </c>
      <c r="AO112" s="97">
        <v>0</v>
      </c>
      <c r="AP112" s="39">
        <v>0</v>
      </c>
      <c r="AQ112" s="159"/>
      <c r="AR112" s="45">
        <v>50</v>
      </c>
      <c r="AS112" s="52">
        <v>1</v>
      </c>
      <c r="AT112" s="45">
        <f>AR112*AS112</f>
        <v>50</v>
      </c>
      <c r="AU112" s="48"/>
      <c r="AV112" s="49">
        <f>AU112*AS112</f>
        <v>0</v>
      </c>
      <c r="AW112" s="48"/>
      <c r="AY112" s="45">
        <v>70</v>
      </c>
      <c r="AZ112" s="52">
        <v>1</v>
      </c>
      <c r="BA112" s="45">
        <f>AY112*AZ112</f>
        <v>70</v>
      </c>
      <c r="BB112" s="39">
        <f>BA112-AT112</f>
        <v>20</v>
      </c>
      <c r="BC112" s="50"/>
      <c r="BE112" s="45">
        <v>0</v>
      </c>
      <c r="BF112" s="52">
        <v>1</v>
      </c>
      <c r="BG112" s="45">
        <f>BE112*BF112</f>
        <v>0</v>
      </c>
      <c r="BH112" s="45"/>
      <c r="BI112" s="39">
        <f>BG112-BA112</f>
        <v>-70</v>
      </c>
      <c r="BJ112" s="39"/>
      <c r="BK112" s="50"/>
      <c r="BM112" s="45">
        <v>0</v>
      </c>
      <c r="BN112" s="52">
        <v>1</v>
      </c>
      <c r="BO112" s="45">
        <f>BM112*BN112</f>
        <v>0</v>
      </c>
      <c r="BP112" s="45"/>
      <c r="BQ112" s="92">
        <f>BO112-BA112</f>
        <v>-70</v>
      </c>
      <c r="BR112" s="34" t="s">
        <v>106</v>
      </c>
      <c r="BS112" s="50"/>
      <c r="BU112" s="45">
        <v>0</v>
      </c>
      <c r="BV112" s="52">
        <v>1</v>
      </c>
      <c r="BW112" s="118">
        <f t="shared" ref="BW112:BW124" si="97">BU112*BV112</f>
        <v>0</v>
      </c>
      <c r="BX112" s="118">
        <f t="shared" ref="BX112:BX118" si="98">BW112-BO112</f>
        <v>0</v>
      </c>
      <c r="BY112" s="50"/>
      <c r="CA112" s="45">
        <v>0</v>
      </c>
      <c r="CB112" s="52">
        <v>1</v>
      </c>
      <c r="CC112" s="118">
        <f t="shared" si="93"/>
        <v>0</v>
      </c>
      <c r="CD112" s="118"/>
      <c r="CE112" s="92">
        <f t="shared" si="94"/>
        <v>0</v>
      </c>
      <c r="CF112" s="92">
        <f t="shared" si="95"/>
        <v>0</v>
      </c>
      <c r="CG112" s="50"/>
      <c r="CI112" s="160">
        <v>0</v>
      </c>
      <c r="CJ112" s="167">
        <v>1</v>
      </c>
      <c r="CK112" s="165">
        <f t="shared" si="86"/>
        <v>0</v>
      </c>
      <c r="CL112" s="92">
        <f t="shared" si="96"/>
        <v>0</v>
      </c>
      <c r="CM112" s="50"/>
      <c r="CN112" s="139"/>
      <c r="CO112" s="160">
        <v>0</v>
      </c>
      <c r="CP112" s="167">
        <v>0</v>
      </c>
      <c r="CQ112" s="165">
        <f t="shared" si="87"/>
        <v>0</v>
      </c>
      <c r="CR112" s="168">
        <f t="shared" si="88"/>
        <v>0</v>
      </c>
      <c r="CT112" s="139"/>
      <c r="CU112" s="160">
        <v>0</v>
      </c>
      <c r="CV112" s="167">
        <v>0</v>
      </c>
      <c r="CW112" s="165">
        <f t="shared" si="82"/>
        <v>0</v>
      </c>
      <c r="CX112" s="160">
        <v>0</v>
      </c>
      <c r="CY112" s="167">
        <v>0</v>
      </c>
      <c r="CZ112" s="165">
        <f t="shared" ref="CZ112:CZ124" si="99">CX112*CY112</f>
        <v>0</v>
      </c>
      <c r="DA112" s="168">
        <f t="shared" ref="DA112:DA117" si="100">CZ112-CQ112</f>
        <v>0</v>
      </c>
      <c r="DB112" s="168">
        <f t="shared" ref="DB112:DB117" si="101">CZ112-CW112</f>
        <v>0</v>
      </c>
      <c r="DC112" s="168"/>
      <c r="DF112" s="160">
        <v>0</v>
      </c>
      <c r="DG112" s="167">
        <v>0</v>
      </c>
      <c r="DH112" s="165">
        <f t="shared" si="91"/>
        <v>0</v>
      </c>
      <c r="DI112" s="168">
        <f t="shared" si="69"/>
        <v>0</v>
      </c>
      <c r="DJ112" s="168">
        <f t="shared" si="70"/>
        <v>0</v>
      </c>
      <c r="DK112" s="168"/>
      <c r="DL112" s="168"/>
      <c r="DM112" s="168"/>
      <c r="DN112" s="168">
        <f t="shared" si="92"/>
        <v>0</v>
      </c>
      <c r="DO112" s="165">
        <v>0</v>
      </c>
      <c r="DP112" s="165">
        <v>0</v>
      </c>
      <c r="DQ112" s="165">
        <v>0</v>
      </c>
      <c r="DR112" s="165">
        <v>0</v>
      </c>
      <c r="DS112" s="165">
        <v>0</v>
      </c>
      <c r="DT112" s="165">
        <v>0</v>
      </c>
      <c r="DU112" s="165">
        <v>0</v>
      </c>
      <c r="DV112" s="165">
        <v>0</v>
      </c>
      <c r="DW112" s="165">
        <v>0</v>
      </c>
      <c r="DX112" s="165">
        <v>0</v>
      </c>
      <c r="DY112" s="165">
        <v>0</v>
      </c>
      <c r="DZ112" s="165">
        <v>0</v>
      </c>
    </row>
    <row r="113" spans="1:131" s="91" customFormat="1" ht="16.25" hidden="1" customHeight="1" x14ac:dyDescent="0.4">
      <c r="A113" s="32" t="s">
        <v>97</v>
      </c>
      <c r="B113" s="32" t="s">
        <v>391</v>
      </c>
      <c r="C113" s="32" t="s">
        <v>15</v>
      </c>
      <c r="D113" s="16" t="s">
        <v>545</v>
      </c>
      <c r="E113" s="87" t="s">
        <v>444</v>
      </c>
      <c r="F113" s="87" t="s">
        <v>213</v>
      </c>
      <c r="G113" s="32" t="s">
        <v>101</v>
      </c>
      <c r="H113" s="36" t="s">
        <v>214</v>
      </c>
      <c r="I113" s="51"/>
      <c r="J113" s="38"/>
      <c r="K113" s="36"/>
      <c r="L113" s="36"/>
      <c r="M113" s="36"/>
      <c r="N113" s="36"/>
      <c r="O113" s="33"/>
      <c r="P113" s="32" t="s">
        <v>193</v>
      </c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32"/>
      <c r="AD113" s="37"/>
      <c r="AE113" s="37"/>
      <c r="AF113" s="39"/>
      <c r="AG113" s="39"/>
      <c r="AH113" s="87"/>
      <c r="AI113" s="161"/>
      <c r="AJ113" s="37"/>
      <c r="AK113" s="46"/>
      <c r="AL113" s="47"/>
      <c r="AM113" s="162"/>
      <c r="AN113" s="39"/>
      <c r="AO113" s="97"/>
      <c r="AP113" s="39"/>
      <c r="AQ113" s="159"/>
      <c r="AR113" s="45"/>
      <c r="AS113" s="52"/>
      <c r="AT113" s="45"/>
      <c r="AU113" s="48"/>
      <c r="AV113" s="49"/>
      <c r="AW113" s="48"/>
      <c r="AY113" s="45"/>
      <c r="AZ113" s="52"/>
      <c r="BA113" s="45"/>
      <c r="BB113" s="39"/>
      <c r="BC113" s="50"/>
      <c r="BE113" s="45"/>
      <c r="BF113" s="52"/>
      <c r="BG113" s="45"/>
      <c r="BH113" s="45"/>
      <c r="BI113" s="39"/>
      <c r="BJ113" s="39"/>
      <c r="BK113" s="50"/>
      <c r="BM113" s="45"/>
      <c r="BN113" s="52"/>
      <c r="BO113" s="45"/>
      <c r="BP113" s="45"/>
      <c r="BQ113" s="92"/>
      <c r="BR113" s="34"/>
      <c r="BS113" s="50"/>
      <c r="BU113" s="45">
        <v>0</v>
      </c>
      <c r="BV113" s="52">
        <v>1</v>
      </c>
      <c r="BW113" s="118">
        <f t="shared" si="97"/>
        <v>0</v>
      </c>
      <c r="BX113" s="118">
        <f t="shared" si="98"/>
        <v>0</v>
      </c>
      <c r="BY113" s="50"/>
      <c r="CA113" s="45">
        <v>0</v>
      </c>
      <c r="CB113" s="52">
        <v>1</v>
      </c>
      <c r="CC113" s="118">
        <f t="shared" si="93"/>
        <v>0</v>
      </c>
      <c r="CD113" s="118"/>
      <c r="CE113" s="92">
        <f t="shared" si="94"/>
        <v>0</v>
      </c>
      <c r="CF113" s="92">
        <f t="shared" si="95"/>
        <v>0</v>
      </c>
      <c r="CG113" s="50" t="s">
        <v>546</v>
      </c>
      <c r="CI113" s="160">
        <v>0</v>
      </c>
      <c r="CJ113" s="167">
        <v>1</v>
      </c>
      <c r="CK113" s="165">
        <f t="shared" si="86"/>
        <v>0</v>
      </c>
      <c r="CL113" s="92">
        <f t="shared" si="96"/>
        <v>0</v>
      </c>
      <c r="CM113" s="50"/>
      <c r="CN113" s="139"/>
      <c r="CO113" s="160">
        <v>0</v>
      </c>
      <c r="CP113" s="167">
        <v>0</v>
      </c>
      <c r="CQ113" s="165">
        <f t="shared" si="87"/>
        <v>0</v>
      </c>
      <c r="CR113" s="168">
        <f t="shared" si="88"/>
        <v>0</v>
      </c>
      <c r="CT113" s="139"/>
      <c r="CU113" s="160">
        <v>0</v>
      </c>
      <c r="CV113" s="167">
        <v>0</v>
      </c>
      <c r="CW113" s="165">
        <f t="shared" si="82"/>
        <v>0</v>
      </c>
      <c r="CX113" s="160">
        <v>0</v>
      </c>
      <c r="CY113" s="167">
        <v>0</v>
      </c>
      <c r="CZ113" s="165">
        <f t="shared" si="99"/>
        <v>0</v>
      </c>
      <c r="DA113" s="168">
        <f t="shared" si="100"/>
        <v>0</v>
      </c>
      <c r="DB113" s="168">
        <f t="shared" si="101"/>
        <v>0</v>
      </c>
      <c r="DC113" s="168"/>
      <c r="DF113" s="160">
        <v>0</v>
      </c>
      <c r="DG113" s="167">
        <v>0</v>
      </c>
      <c r="DH113" s="165">
        <f t="shared" si="91"/>
        <v>0</v>
      </c>
      <c r="DI113" s="168">
        <f t="shared" si="69"/>
        <v>0</v>
      </c>
      <c r="DJ113" s="168">
        <f t="shared" si="70"/>
        <v>0</v>
      </c>
      <c r="DK113" s="168"/>
      <c r="DL113" s="168"/>
      <c r="DM113" s="168"/>
      <c r="DN113" s="168">
        <f t="shared" si="92"/>
        <v>0</v>
      </c>
      <c r="DO113" s="165">
        <v>0</v>
      </c>
      <c r="DP113" s="165">
        <v>0</v>
      </c>
      <c r="DQ113" s="165">
        <v>0</v>
      </c>
      <c r="DR113" s="165">
        <v>0</v>
      </c>
      <c r="DS113" s="165">
        <v>0</v>
      </c>
      <c r="DT113" s="165">
        <v>0</v>
      </c>
      <c r="DU113" s="165">
        <v>0</v>
      </c>
      <c r="DV113" s="165">
        <v>0</v>
      </c>
      <c r="DW113" s="165">
        <v>0</v>
      </c>
      <c r="DX113" s="165">
        <v>0</v>
      </c>
      <c r="DY113" s="165">
        <v>0</v>
      </c>
      <c r="DZ113" s="165">
        <v>0</v>
      </c>
    </row>
    <row r="114" spans="1:131" s="91" customFormat="1" ht="16.25" hidden="1" customHeight="1" x14ac:dyDescent="0.4">
      <c r="A114" s="32" t="s">
        <v>97</v>
      </c>
      <c r="B114" s="32" t="s">
        <v>391</v>
      </c>
      <c r="C114" s="32" t="s">
        <v>172</v>
      </c>
      <c r="D114" s="32" t="s">
        <v>547</v>
      </c>
      <c r="E114" s="87" t="s">
        <v>212</v>
      </c>
      <c r="F114" s="87" t="s">
        <v>213</v>
      </c>
      <c r="G114" s="32" t="s">
        <v>101</v>
      </c>
      <c r="H114" s="36" t="s">
        <v>214</v>
      </c>
      <c r="I114" s="16"/>
      <c r="J114" s="38"/>
      <c r="K114" s="36"/>
      <c r="L114" s="36"/>
      <c r="M114" s="36"/>
      <c r="N114" s="36"/>
      <c r="O114" s="38"/>
      <c r="P114" s="32" t="s">
        <v>193</v>
      </c>
      <c r="Q114" s="129"/>
      <c r="R114" s="129"/>
      <c r="S114" s="129"/>
      <c r="T114" s="129"/>
      <c r="U114" s="129"/>
      <c r="V114" s="129">
        <f>25%*CC114</f>
        <v>0</v>
      </c>
      <c r="W114" s="129"/>
      <c r="X114" s="129"/>
      <c r="Y114" s="129">
        <f>40%*CC114</f>
        <v>0</v>
      </c>
      <c r="Z114" s="129"/>
      <c r="AA114" s="129">
        <f>10%*CC114</f>
        <v>0</v>
      </c>
      <c r="AB114" s="129"/>
      <c r="AC114" s="32"/>
      <c r="AD114" s="37"/>
      <c r="AE114" s="37"/>
      <c r="AF114" s="37"/>
      <c r="AG114" s="37"/>
      <c r="AH114" s="158"/>
      <c r="AI114" s="158"/>
      <c r="AJ114" s="37">
        <v>0</v>
      </c>
      <c r="AK114" s="46">
        <v>0</v>
      </c>
      <c r="AL114" s="47">
        <f>AJ114*AK114</f>
        <v>0</v>
      </c>
      <c r="AM114" s="162"/>
      <c r="AN114" s="39">
        <v>0</v>
      </c>
      <c r="AO114" s="97">
        <v>0</v>
      </c>
      <c r="AP114" s="39">
        <v>0</v>
      </c>
      <c r="AQ114" s="160"/>
      <c r="AR114" s="45">
        <v>190</v>
      </c>
      <c r="AS114" s="46">
        <v>1</v>
      </c>
      <c r="AT114" s="45">
        <f>AR114*AS114</f>
        <v>190</v>
      </c>
      <c r="AU114" s="48"/>
      <c r="AV114" s="49">
        <f>AU114*AS114</f>
        <v>0</v>
      </c>
      <c r="AW114" s="48"/>
      <c r="AY114" s="45">
        <v>190</v>
      </c>
      <c r="AZ114" s="46">
        <v>1</v>
      </c>
      <c r="BA114" s="45">
        <f>AY114*AZ114</f>
        <v>190</v>
      </c>
      <c r="BB114" s="39">
        <f>BA114-AT114</f>
        <v>0</v>
      </c>
      <c r="BC114" s="50"/>
      <c r="BE114" s="45">
        <v>400</v>
      </c>
      <c r="BF114" s="52">
        <v>1</v>
      </c>
      <c r="BG114" s="45">
        <f>BE114*BF114</f>
        <v>400</v>
      </c>
      <c r="BH114" s="76">
        <v>535</v>
      </c>
      <c r="BI114" s="39">
        <f>BG114-BA114</f>
        <v>210</v>
      </c>
      <c r="BJ114" s="39"/>
      <c r="BK114" s="50"/>
      <c r="BM114" s="45">
        <v>400</v>
      </c>
      <c r="BN114" s="52">
        <v>1</v>
      </c>
      <c r="BO114" s="45">
        <f>BM114*BN114</f>
        <v>400</v>
      </c>
      <c r="BP114" s="100">
        <v>810</v>
      </c>
      <c r="BQ114" s="92">
        <f>BO114-BA114</f>
        <v>210</v>
      </c>
      <c r="BR114" s="34" t="s">
        <v>153</v>
      </c>
      <c r="BS114" s="50"/>
      <c r="BU114" s="45">
        <v>400</v>
      </c>
      <c r="BV114" s="52">
        <v>1</v>
      </c>
      <c r="BW114" s="118">
        <f t="shared" si="97"/>
        <v>400</v>
      </c>
      <c r="BX114" s="118">
        <f t="shared" si="98"/>
        <v>0</v>
      </c>
      <c r="BY114" s="50"/>
      <c r="CA114" s="45">
        <v>0</v>
      </c>
      <c r="CB114" s="52">
        <v>0</v>
      </c>
      <c r="CC114" s="118">
        <f t="shared" si="93"/>
        <v>0</v>
      </c>
      <c r="CD114" s="118"/>
      <c r="CE114" s="92">
        <f t="shared" si="94"/>
        <v>-400</v>
      </c>
      <c r="CF114" s="92">
        <f t="shared" si="95"/>
        <v>-400</v>
      </c>
      <c r="CG114" s="50"/>
      <c r="CI114" s="160">
        <v>0</v>
      </c>
      <c r="CJ114" s="167">
        <v>0</v>
      </c>
      <c r="CK114" s="165">
        <f t="shared" si="86"/>
        <v>0</v>
      </c>
      <c r="CL114" s="92">
        <f t="shared" si="96"/>
        <v>0</v>
      </c>
      <c r="CM114" s="50"/>
      <c r="CN114" s="139"/>
      <c r="CO114" s="160">
        <v>0</v>
      </c>
      <c r="CP114" s="167">
        <v>0</v>
      </c>
      <c r="CQ114" s="165">
        <f t="shared" si="87"/>
        <v>0</v>
      </c>
      <c r="CR114" s="168">
        <f t="shared" si="88"/>
        <v>0</v>
      </c>
      <c r="CT114" s="139"/>
      <c r="CU114" s="160">
        <v>0</v>
      </c>
      <c r="CV114" s="167">
        <v>0</v>
      </c>
      <c r="CW114" s="165">
        <f t="shared" si="82"/>
        <v>0</v>
      </c>
      <c r="CX114" s="160">
        <v>0</v>
      </c>
      <c r="CY114" s="167">
        <v>0</v>
      </c>
      <c r="CZ114" s="165">
        <f t="shared" si="99"/>
        <v>0</v>
      </c>
      <c r="DA114" s="168">
        <f t="shared" si="100"/>
        <v>0</v>
      </c>
      <c r="DB114" s="168">
        <f t="shared" si="101"/>
        <v>0</v>
      </c>
      <c r="DC114" s="168"/>
      <c r="DF114" s="160">
        <v>0</v>
      </c>
      <c r="DG114" s="167">
        <v>0</v>
      </c>
      <c r="DH114" s="165">
        <f t="shared" si="91"/>
        <v>0</v>
      </c>
      <c r="DI114" s="168">
        <f t="shared" si="69"/>
        <v>0</v>
      </c>
      <c r="DJ114" s="168">
        <f t="shared" si="70"/>
        <v>0</v>
      </c>
      <c r="DK114" s="168"/>
      <c r="DL114" s="168"/>
      <c r="DM114" s="168"/>
      <c r="DN114" s="168">
        <f t="shared" si="92"/>
        <v>0</v>
      </c>
      <c r="DO114" s="165">
        <v>0</v>
      </c>
      <c r="DP114" s="165">
        <v>0</v>
      </c>
      <c r="DQ114" s="165">
        <v>0</v>
      </c>
      <c r="DR114" s="165">
        <v>0</v>
      </c>
      <c r="DS114" s="165">
        <v>0</v>
      </c>
      <c r="DT114" s="165">
        <v>0</v>
      </c>
      <c r="DU114" s="165">
        <v>0</v>
      </c>
      <c r="DV114" s="165">
        <v>0</v>
      </c>
      <c r="DW114" s="165">
        <v>0</v>
      </c>
      <c r="DX114" s="165">
        <v>0</v>
      </c>
      <c r="DY114" s="165">
        <v>0</v>
      </c>
      <c r="DZ114" s="165">
        <v>0</v>
      </c>
    </row>
    <row r="115" spans="1:131" s="91" customFormat="1" ht="16.25" hidden="1" customHeight="1" x14ac:dyDescent="0.4">
      <c r="A115" s="32" t="s">
        <v>97</v>
      </c>
      <c r="B115" s="32" t="s">
        <v>391</v>
      </c>
      <c r="C115" s="32" t="s">
        <v>172</v>
      </c>
      <c r="D115" s="16" t="s">
        <v>549</v>
      </c>
      <c r="E115" s="87" t="s">
        <v>550</v>
      </c>
      <c r="F115" s="87" t="s">
        <v>213</v>
      </c>
      <c r="G115" s="32" t="s">
        <v>101</v>
      </c>
      <c r="H115" s="36" t="s">
        <v>214</v>
      </c>
      <c r="I115" s="51" t="s">
        <v>551</v>
      </c>
      <c r="J115" s="38" t="s">
        <v>552</v>
      </c>
      <c r="K115" s="36"/>
      <c r="L115" s="36"/>
      <c r="M115" s="38" t="s">
        <v>553</v>
      </c>
      <c r="N115" s="36"/>
      <c r="O115" s="38"/>
      <c r="P115" s="32" t="s">
        <v>230</v>
      </c>
      <c r="Q115" s="129"/>
      <c r="R115" s="129"/>
      <c r="S115" s="129"/>
      <c r="T115" s="129"/>
      <c r="V115" s="129">
        <v>500</v>
      </c>
      <c r="W115" s="129"/>
      <c r="X115" s="129"/>
      <c r="Y115" s="129"/>
      <c r="Z115" s="129"/>
      <c r="AA115" s="129"/>
      <c r="AB115" s="129"/>
      <c r="AC115" s="32"/>
      <c r="AD115" s="37">
        <v>1800</v>
      </c>
      <c r="AE115" s="37">
        <f>AD115*85%</f>
        <v>1530</v>
      </c>
      <c r="AF115" s="37"/>
      <c r="AG115" s="37"/>
      <c r="AH115" s="158"/>
      <c r="AI115" s="158"/>
      <c r="AJ115" s="37">
        <v>545</v>
      </c>
      <c r="AK115" s="46">
        <v>1</v>
      </c>
      <c r="AL115" s="47">
        <f>AJ115*AK115</f>
        <v>545</v>
      </c>
      <c r="AM115" s="162"/>
      <c r="AN115" s="39" t="e">
        <f>VLOOKUP(D115,'May FF'!B$2:E$201,2,0)</f>
        <v>#N/A</v>
      </c>
      <c r="AO115" s="97" t="e">
        <f>VLOOKUP(D115,'May FF'!B36:E235,3,0)</f>
        <v>#N/A</v>
      </c>
      <c r="AP115" s="39" t="e">
        <f>VLOOKUP($D115,'May FF'!$B$2:$E$201,4,0)</f>
        <v>#N/A</v>
      </c>
      <c r="AQ115" s="160"/>
      <c r="AR115" s="45">
        <f>(AE115*85%-400)*50%</f>
        <v>450.25</v>
      </c>
      <c r="AS115" s="52">
        <v>0.9</v>
      </c>
      <c r="AT115" s="45">
        <f>AR115*AS115</f>
        <v>405.22500000000002</v>
      </c>
      <c r="AU115" s="48"/>
      <c r="AV115" s="49"/>
      <c r="AW115" s="48" t="s">
        <v>554</v>
      </c>
      <c r="AY115" s="45">
        <v>450.25</v>
      </c>
      <c r="AZ115" s="52">
        <v>0.9</v>
      </c>
      <c r="BA115" s="45">
        <f>AY115*AZ115</f>
        <v>405.22500000000002</v>
      </c>
      <c r="BB115" s="39">
        <f>BA115-AT115</f>
        <v>0</v>
      </c>
      <c r="BC115" s="50"/>
      <c r="BE115" s="45">
        <v>600</v>
      </c>
      <c r="BF115" s="52">
        <v>0.5</v>
      </c>
      <c r="BG115" s="45">
        <f>BE115*BF115</f>
        <v>300</v>
      </c>
      <c r="BH115" s="76">
        <v>1394</v>
      </c>
      <c r="BI115" s="39">
        <f>BG115-BA115</f>
        <v>-105.22500000000002</v>
      </c>
      <c r="BJ115" s="39" t="s">
        <v>555</v>
      </c>
      <c r="BK115" s="50"/>
      <c r="BM115" s="45">
        <v>400</v>
      </c>
      <c r="BN115" s="52">
        <v>0.5</v>
      </c>
      <c r="BO115" s="45">
        <f>BM115*BN115</f>
        <v>200</v>
      </c>
      <c r="BP115" s="76"/>
      <c r="BQ115" s="92">
        <f>BO115-BA115</f>
        <v>-205.22500000000002</v>
      </c>
      <c r="BR115" s="34" t="s">
        <v>556</v>
      </c>
      <c r="BS115" s="50" t="s">
        <v>557</v>
      </c>
      <c r="BU115" s="45">
        <v>400</v>
      </c>
      <c r="BV115" s="52">
        <v>0.5</v>
      </c>
      <c r="BW115" s="118">
        <f t="shared" si="97"/>
        <v>200</v>
      </c>
      <c r="BX115" s="118">
        <f t="shared" si="98"/>
        <v>0</v>
      </c>
      <c r="BY115" s="50"/>
      <c r="CA115" s="45">
        <v>400</v>
      </c>
      <c r="CB115" s="52">
        <v>0.5</v>
      </c>
      <c r="CC115" s="118">
        <f t="shared" si="93"/>
        <v>200</v>
      </c>
      <c r="CD115" s="118"/>
      <c r="CE115" s="92">
        <f t="shared" si="94"/>
        <v>0</v>
      </c>
      <c r="CF115" s="92">
        <f t="shared" si="95"/>
        <v>0</v>
      </c>
      <c r="CG115" s="50"/>
      <c r="CI115" s="160">
        <v>800</v>
      </c>
      <c r="CJ115" s="167">
        <v>0.5</v>
      </c>
      <c r="CK115" s="165">
        <f t="shared" si="86"/>
        <v>400</v>
      </c>
      <c r="CL115" s="92">
        <f t="shared" si="96"/>
        <v>200</v>
      </c>
      <c r="CM115" s="50"/>
      <c r="CN115" s="139"/>
      <c r="CO115" s="160">
        <v>1000</v>
      </c>
      <c r="CP115" s="167">
        <v>0.5</v>
      </c>
      <c r="CQ115" s="165">
        <f t="shared" si="87"/>
        <v>500</v>
      </c>
      <c r="CR115" s="168">
        <f t="shared" si="88"/>
        <v>100</v>
      </c>
      <c r="CT115" s="139"/>
      <c r="CU115" s="160">
        <v>1000</v>
      </c>
      <c r="CV115" s="167">
        <v>0.5</v>
      </c>
      <c r="CW115" s="165">
        <f t="shared" si="82"/>
        <v>500</v>
      </c>
      <c r="CX115" s="160">
        <v>1000</v>
      </c>
      <c r="CY115" s="167">
        <v>0.5</v>
      </c>
      <c r="CZ115" s="165">
        <f t="shared" si="99"/>
        <v>500</v>
      </c>
      <c r="DA115" s="168">
        <f t="shared" si="100"/>
        <v>0</v>
      </c>
      <c r="DB115" s="168">
        <f t="shared" si="101"/>
        <v>0</v>
      </c>
      <c r="DC115" s="168"/>
      <c r="DF115" s="203">
        <v>600</v>
      </c>
      <c r="DG115" s="204">
        <v>0.5</v>
      </c>
      <c r="DH115" s="173">
        <f t="shared" si="91"/>
        <v>300</v>
      </c>
      <c r="DI115" s="168">
        <f t="shared" si="69"/>
        <v>-200</v>
      </c>
      <c r="DJ115" s="168">
        <f t="shared" si="70"/>
        <v>-200</v>
      </c>
      <c r="DK115" s="168"/>
      <c r="DL115" s="168"/>
      <c r="DM115" s="168"/>
      <c r="DN115" s="168">
        <f t="shared" si="92"/>
        <v>500</v>
      </c>
      <c r="DO115" s="165">
        <v>0</v>
      </c>
      <c r="DP115" s="165">
        <v>0</v>
      </c>
      <c r="DQ115" s="165">
        <v>0</v>
      </c>
      <c r="DR115" s="165">
        <v>0</v>
      </c>
      <c r="DS115" s="165">
        <v>0</v>
      </c>
      <c r="DT115" s="165">
        <v>0</v>
      </c>
      <c r="DU115" s="165">
        <v>0</v>
      </c>
      <c r="DV115" s="165">
        <v>0</v>
      </c>
      <c r="DW115" s="165">
        <v>0</v>
      </c>
      <c r="DX115" s="165">
        <v>0</v>
      </c>
      <c r="DY115" s="165">
        <v>300</v>
      </c>
      <c r="DZ115" s="165">
        <v>200</v>
      </c>
      <c r="EA115" s="168" t="s">
        <v>1022</v>
      </c>
    </row>
    <row r="116" spans="1:131" s="91" customFormat="1" ht="16.25" hidden="1" customHeight="1" x14ac:dyDescent="0.4">
      <c r="A116" s="32" t="s">
        <v>97</v>
      </c>
      <c r="B116" s="32" t="s">
        <v>391</v>
      </c>
      <c r="C116" s="32" t="s">
        <v>15</v>
      </c>
      <c r="D116" s="16" t="s">
        <v>1023</v>
      </c>
      <c r="E116" s="87" t="s">
        <v>559</v>
      </c>
      <c r="F116" s="87" t="s">
        <v>114</v>
      </c>
      <c r="G116" s="32" t="s">
        <v>101</v>
      </c>
      <c r="H116" s="32" t="s">
        <v>182</v>
      </c>
      <c r="I116" s="51"/>
      <c r="J116" s="33"/>
      <c r="K116" s="36"/>
      <c r="L116" s="36"/>
      <c r="M116" s="36" t="s">
        <v>1019</v>
      </c>
      <c r="N116" s="36"/>
      <c r="O116" s="33"/>
      <c r="P116" s="32" t="s">
        <v>230</v>
      </c>
      <c r="Q116" s="129"/>
      <c r="R116" s="129"/>
      <c r="S116" s="129"/>
      <c r="T116" s="129"/>
      <c r="U116" s="129"/>
      <c r="V116" s="129"/>
      <c r="W116" s="129">
        <f>CK116</f>
        <v>150</v>
      </c>
      <c r="X116" s="129"/>
      <c r="Y116" s="129"/>
      <c r="Z116" s="129"/>
      <c r="AA116" s="129"/>
      <c r="AB116" s="129"/>
      <c r="AC116" s="32"/>
      <c r="AD116" s="37">
        <v>900</v>
      </c>
      <c r="AE116" s="37"/>
      <c r="AF116" s="37"/>
      <c r="AG116" s="37"/>
      <c r="AH116" s="158"/>
      <c r="AI116" s="158"/>
      <c r="AJ116" s="37"/>
      <c r="AK116" s="46"/>
      <c r="AL116" s="47"/>
      <c r="AM116" s="162"/>
      <c r="AN116" s="39"/>
      <c r="AO116" s="97"/>
      <c r="AP116" s="39"/>
      <c r="AQ116" s="160"/>
      <c r="AR116" s="45"/>
      <c r="AS116" s="52"/>
      <c r="AT116" s="45"/>
      <c r="AU116" s="48"/>
      <c r="AV116" s="49"/>
      <c r="AW116" s="48"/>
      <c r="AY116" s="45"/>
      <c r="AZ116" s="52"/>
      <c r="BA116" s="45"/>
      <c r="BB116" s="39"/>
      <c r="BC116" s="50"/>
      <c r="BE116" s="45"/>
      <c r="BF116" s="52"/>
      <c r="BG116" s="45"/>
      <c r="BH116" s="45"/>
      <c r="BI116" s="39"/>
      <c r="BJ116" s="39"/>
      <c r="BK116" s="50"/>
      <c r="BM116" s="45">
        <v>760</v>
      </c>
      <c r="BN116" s="52">
        <v>0.5</v>
      </c>
      <c r="BO116" s="45">
        <f>BM116*BN116</f>
        <v>380</v>
      </c>
      <c r="BP116" s="45"/>
      <c r="BQ116" s="92">
        <f>BO116-BA116</f>
        <v>380</v>
      </c>
      <c r="BR116" s="34" t="s">
        <v>178</v>
      </c>
      <c r="BS116" s="67" t="s">
        <v>179</v>
      </c>
      <c r="BU116" s="45">
        <v>760</v>
      </c>
      <c r="BV116" s="52">
        <v>0.5</v>
      </c>
      <c r="BW116" s="118">
        <f t="shared" si="97"/>
        <v>380</v>
      </c>
      <c r="BX116" s="118">
        <f t="shared" si="98"/>
        <v>0</v>
      </c>
      <c r="BY116" s="50"/>
      <c r="CA116" s="45">
        <v>300</v>
      </c>
      <c r="CB116" s="52">
        <v>0.5</v>
      </c>
      <c r="CC116" s="118">
        <f t="shared" si="93"/>
        <v>150</v>
      </c>
      <c r="CD116" s="118"/>
      <c r="CE116" s="92">
        <f t="shared" si="94"/>
        <v>-230</v>
      </c>
      <c r="CF116" s="92">
        <f t="shared" si="95"/>
        <v>-230</v>
      </c>
      <c r="CG116" s="50"/>
      <c r="CI116" s="160">
        <v>300</v>
      </c>
      <c r="CJ116" s="167">
        <v>0.5</v>
      </c>
      <c r="CK116" s="165">
        <f t="shared" si="86"/>
        <v>150</v>
      </c>
      <c r="CL116" s="92">
        <f t="shared" si="96"/>
        <v>0</v>
      </c>
      <c r="CM116" s="50"/>
      <c r="CN116" s="139"/>
      <c r="CO116" s="160">
        <v>300</v>
      </c>
      <c r="CP116" s="167">
        <v>0.5</v>
      </c>
      <c r="CQ116" s="165">
        <f t="shared" si="87"/>
        <v>150</v>
      </c>
      <c r="CR116" s="168">
        <f t="shared" si="88"/>
        <v>0</v>
      </c>
      <c r="CT116" s="139"/>
      <c r="CU116" s="160">
        <v>180</v>
      </c>
      <c r="CV116" s="167">
        <v>0.9</v>
      </c>
      <c r="CW116" s="165">
        <f t="shared" si="82"/>
        <v>162</v>
      </c>
      <c r="CX116" s="160">
        <v>300</v>
      </c>
      <c r="CY116" s="167">
        <v>0.5</v>
      </c>
      <c r="CZ116" s="165">
        <f t="shared" si="99"/>
        <v>150</v>
      </c>
      <c r="DA116" s="168">
        <f t="shared" si="100"/>
        <v>0</v>
      </c>
      <c r="DB116" s="168">
        <f t="shared" si="101"/>
        <v>-12</v>
      </c>
      <c r="DC116" s="168"/>
      <c r="DD116" s="196" t="s">
        <v>560</v>
      </c>
      <c r="DF116" s="160">
        <v>300</v>
      </c>
      <c r="DG116" s="167">
        <v>0.5</v>
      </c>
      <c r="DH116" s="165">
        <f t="shared" si="91"/>
        <v>150</v>
      </c>
      <c r="DI116" s="168">
        <f t="shared" si="69"/>
        <v>0</v>
      </c>
      <c r="DJ116" s="168">
        <f t="shared" si="70"/>
        <v>-12</v>
      </c>
      <c r="DK116" s="168"/>
      <c r="DL116" s="168"/>
      <c r="DM116" s="168"/>
      <c r="DN116" s="168">
        <f t="shared" si="92"/>
        <v>150</v>
      </c>
      <c r="DO116" s="165">
        <v>0</v>
      </c>
      <c r="DP116" s="165">
        <v>0</v>
      </c>
      <c r="DQ116" s="165">
        <v>0</v>
      </c>
      <c r="DR116" s="165">
        <v>0</v>
      </c>
      <c r="DS116" s="165">
        <v>0</v>
      </c>
      <c r="DT116" s="165">
        <v>0</v>
      </c>
      <c r="DU116" s="165">
        <v>0</v>
      </c>
      <c r="DV116" s="165">
        <v>150</v>
      </c>
      <c r="DW116" s="165">
        <v>0</v>
      </c>
      <c r="DX116" s="165">
        <v>0</v>
      </c>
      <c r="DY116" s="165">
        <v>0</v>
      </c>
      <c r="DZ116" s="165">
        <v>0</v>
      </c>
      <c r="EA116" s="168"/>
    </row>
    <row r="117" spans="1:131" s="91" customFormat="1" ht="16.25" hidden="1" customHeight="1" x14ac:dyDescent="0.4">
      <c r="A117" s="32" t="s">
        <v>97</v>
      </c>
      <c r="B117" s="32" t="s">
        <v>391</v>
      </c>
      <c r="C117" s="32" t="s">
        <v>172</v>
      </c>
      <c r="D117" s="16" t="s">
        <v>561</v>
      </c>
      <c r="E117" s="87" t="s">
        <v>562</v>
      </c>
      <c r="F117" s="87" t="s">
        <v>213</v>
      </c>
      <c r="G117" s="32" t="s">
        <v>101</v>
      </c>
      <c r="H117" s="36" t="s">
        <v>214</v>
      </c>
      <c r="I117" s="51" t="s">
        <v>551</v>
      </c>
      <c r="J117" s="33" t="s">
        <v>563</v>
      </c>
      <c r="K117" s="36"/>
      <c r="L117" s="36"/>
      <c r="M117" s="36"/>
      <c r="N117" s="36" t="s">
        <v>294</v>
      </c>
      <c r="O117" s="33" t="s">
        <v>564</v>
      </c>
      <c r="P117" s="32" t="s">
        <v>361</v>
      </c>
      <c r="Q117" s="129"/>
      <c r="R117" s="129"/>
      <c r="S117" s="129"/>
      <c r="T117" s="129"/>
      <c r="U117" s="129"/>
      <c r="V117" s="129">
        <v>510</v>
      </c>
      <c r="W117" s="129"/>
      <c r="X117" s="129"/>
      <c r="Y117" s="129"/>
      <c r="Z117" s="129"/>
      <c r="AA117" s="129"/>
      <c r="AB117" s="129"/>
      <c r="AC117" s="32"/>
      <c r="AD117" s="37"/>
      <c r="AE117" s="37"/>
      <c r="AF117" s="37"/>
      <c r="AG117" s="37"/>
      <c r="AH117" s="158"/>
      <c r="AI117" s="158"/>
      <c r="AJ117" s="37">
        <v>0</v>
      </c>
      <c r="AK117" s="46">
        <v>0</v>
      </c>
      <c r="AL117" s="47">
        <f>AJ117*AK117</f>
        <v>0</v>
      </c>
      <c r="AM117" s="162"/>
      <c r="AN117" s="39">
        <v>0</v>
      </c>
      <c r="AO117" s="97">
        <v>0</v>
      </c>
      <c r="AP117" s="39">
        <v>0</v>
      </c>
      <c r="AQ117" s="160"/>
      <c r="AR117" s="45">
        <v>820</v>
      </c>
      <c r="AS117" s="52">
        <v>0.5</v>
      </c>
      <c r="AT117" s="45">
        <f>AR117*AS117</f>
        <v>410</v>
      </c>
      <c r="AU117" s="48"/>
      <c r="AV117" s="49">
        <f>AU117*AS117</f>
        <v>0</v>
      </c>
      <c r="AW117" s="48"/>
      <c r="AY117" s="45">
        <v>820</v>
      </c>
      <c r="AZ117" s="52">
        <v>0.5</v>
      </c>
      <c r="BA117" s="45">
        <f>AY117*AZ117</f>
        <v>410</v>
      </c>
      <c r="BB117" s="39">
        <f>BA117-AT117</f>
        <v>0</v>
      </c>
      <c r="BC117" s="50"/>
      <c r="BE117" s="45">
        <v>820</v>
      </c>
      <c r="BF117" s="52">
        <v>0.5</v>
      </c>
      <c r="BG117" s="45">
        <f>BE117*BF117</f>
        <v>410</v>
      </c>
      <c r="BH117" s="45"/>
      <c r="BI117" s="39">
        <f>BG117-BA117</f>
        <v>0</v>
      </c>
      <c r="BJ117" s="39"/>
      <c r="BK117" s="50"/>
      <c r="BM117" s="45">
        <v>820</v>
      </c>
      <c r="BN117" s="52">
        <v>0.5</v>
      </c>
      <c r="BO117" s="45">
        <f>BM117*BN117</f>
        <v>410</v>
      </c>
      <c r="BP117" s="100"/>
      <c r="BQ117" s="92">
        <f>BO117-BA117</f>
        <v>0</v>
      </c>
      <c r="BR117" s="59"/>
      <c r="BS117" s="50"/>
      <c r="BU117" s="45">
        <v>820</v>
      </c>
      <c r="BV117" s="52">
        <v>0.5</v>
      </c>
      <c r="BW117" s="118">
        <f t="shared" si="97"/>
        <v>410</v>
      </c>
      <c r="BX117" s="118">
        <f t="shared" si="98"/>
        <v>0</v>
      </c>
      <c r="BY117" s="50"/>
      <c r="CA117" s="45">
        <v>820</v>
      </c>
      <c r="CB117" s="52">
        <v>0.5</v>
      </c>
      <c r="CC117" s="118">
        <f t="shared" si="93"/>
        <v>410</v>
      </c>
      <c r="CD117" s="118"/>
      <c r="CE117" s="92">
        <f t="shared" si="94"/>
        <v>0</v>
      </c>
      <c r="CF117" s="92">
        <f t="shared" si="95"/>
        <v>0</v>
      </c>
      <c r="CG117" s="50"/>
      <c r="CI117" s="160">
        <v>820</v>
      </c>
      <c r="CJ117" s="167">
        <v>0.5</v>
      </c>
      <c r="CK117" s="165">
        <f t="shared" si="86"/>
        <v>410</v>
      </c>
      <c r="CL117" s="92">
        <f t="shared" si="96"/>
        <v>0</v>
      </c>
      <c r="CM117" s="50"/>
      <c r="CN117" s="139"/>
      <c r="CO117" s="160">
        <v>1020</v>
      </c>
      <c r="CP117" s="167">
        <v>0.5</v>
      </c>
      <c r="CQ117" s="165">
        <f t="shared" si="87"/>
        <v>510</v>
      </c>
      <c r="CR117" s="168">
        <f t="shared" si="88"/>
        <v>100</v>
      </c>
      <c r="CT117" s="139"/>
      <c r="CU117" s="160">
        <v>1020</v>
      </c>
      <c r="CV117" s="167">
        <v>0.5</v>
      </c>
      <c r="CW117" s="165">
        <f t="shared" ref="CW117:CW124" si="102">CU117*CV117</f>
        <v>510</v>
      </c>
      <c r="CX117" s="160">
        <v>1020</v>
      </c>
      <c r="CY117" s="167">
        <v>0.5</v>
      </c>
      <c r="CZ117" s="165">
        <f t="shared" si="99"/>
        <v>510</v>
      </c>
      <c r="DA117" s="168">
        <f t="shared" si="100"/>
        <v>0</v>
      </c>
      <c r="DB117" s="168">
        <f t="shared" si="101"/>
        <v>0</v>
      </c>
      <c r="DC117" s="168"/>
      <c r="DF117" s="203">
        <v>600</v>
      </c>
      <c r="DG117" s="204">
        <v>0.5</v>
      </c>
      <c r="DH117" s="173">
        <f t="shared" si="91"/>
        <v>300</v>
      </c>
      <c r="DI117" s="168">
        <f t="shared" si="69"/>
        <v>-210</v>
      </c>
      <c r="DJ117" s="168">
        <f t="shared" si="70"/>
        <v>-210</v>
      </c>
      <c r="DK117" s="168"/>
      <c r="DL117" s="168"/>
      <c r="DM117" s="168"/>
      <c r="DN117" s="168">
        <f t="shared" si="92"/>
        <v>510</v>
      </c>
      <c r="DO117" s="165">
        <v>0</v>
      </c>
      <c r="DP117" s="165">
        <v>0</v>
      </c>
      <c r="DQ117" s="165">
        <v>0</v>
      </c>
      <c r="DR117" s="165">
        <v>0</v>
      </c>
      <c r="DS117" s="165">
        <v>0</v>
      </c>
      <c r="DT117" s="165">
        <v>0</v>
      </c>
      <c r="DU117" s="165">
        <v>0</v>
      </c>
      <c r="DV117" s="165">
        <v>0</v>
      </c>
      <c r="DW117" s="165">
        <v>200</v>
      </c>
      <c r="DX117" s="165">
        <v>100</v>
      </c>
      <c r="DY117" s="165">
        <v>0</v>
      </c>
      <c r="DZ117" s="165">
        <v>210</v>
      </c>
      <c r="EA117" s="168"/>
    </row>
    <row r="118" spans="1:131" s="50" customFormat="1" ht="16.25" hidden="1" customHeight="1" x14ac:dyDescent="0.35">
      <c r="A118" s="36" t="s">
        <v>97</v>
      </c>
      <c r="B118" s="36" t="s">
        <v>391</v>
      </c>
      <c r="C118" s="36" t="s">
        <v>15</v>
      </c>
      <c r="D118" s="53" t="s">
        <v>565</v>
      </c>
      <c r="E118" s="38" t="s">
        <v>566</v>
      </c>
      <c r="F118" s="38" t="s">
        <v>114</v>
      </c>
      <c r="G118" s="32" t="s">
        <v>263</v>
      </c>
      <c r="H118" s="32"/>
      <c r="I118" s="51"/>
      <c r="J118" s="33" t="s">
        <v>567</v>
      </c>
      <c r="K118" s="36"/>
      <c r="L118" s="36"/>
      <c r="M118" s="36"/>
      <c r="N118" s="36"/>
      <c r="O118" s="33"/>
      <c r="P118" s="36" t="s">
        <v>361</v>
      </c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36"/>
      <c r="AD118" s="37"/>
      <c r="AE118" s="37"/>
      <c r="AF118" s="37"/>
      <c r="AG118" s="37"/>
      <c r="AH118" s="34"/>
      <c r="AI118" s="34"/>
      <c r="AJ118" s="37"/>
      <c r="AK118" s="46"/>
      <c r="AL118" s="47"/>
      <c r="AM118" s="47"/>
      <c r="AN118" s="39"/>
      <c r="AO118" s="97"/>
      <c r="AP118" s="39"/>
      <c r="AQ118" s="45"/>
      <c r="AR118" s="45"/>
      <c r="AS118" s="52"/>
      <c r="AT118" s="45"/>
      <c r="AU118" s="48"/>
      <c r="AV118" s="49"/>
      <c r="AW118" s="48"/>
      <c r="AX118" s="34"/>
      <c r="AY118" s="45"/>
      <c r="AZ118" s="46">
        <v>0</v>
      </c>
      <c r="BA118" s="45"/>
      <c r="BB118" s="39"/>
      <c r="BD118" s="34"/>
      <c r="BE118" s="45"/>
      <c r="BF118" s="52"/>
      <c r="BG118" s="45"/>
      <c r="BH118" s="45"/>
      <c r="BI118" s="39"/>
      <c r="BJ118" s="39"/>
      <c r="BL118" s="34"/>
      <c r="BM118" s="45">
        <v>110</v>
      </c>
      <c r="BN118" s="52">
        <v>1</v>
      </c>
      <c r="BO118" s="45">
        <f>BM118*BN118</f>
        <v>110</v>
      </c>
      <c r="BP118" s="45">
        <v>150</v>
      </c>
      <c r="BQ118" s="92">
        <f>BO118-BA118</f>
        <v>110</v>
      </c>
      <c r="BR118" s="59"/>
      <c r="BT118" s="34"/>
      <c r="BU118" s="45">
        <v>110</v>
      </c>
      <c r="BV118" s="52">
        <v>1</v>
      </c>
      <c r="BW118" s="118">
        <f t="shared" si="97"/>
        <v>110</v>
      </c>
      <c r="BX118" s="118">
        <f t="shared" si="98"/>
        <v>0</v>
      </c>
      <c r="BZ118" s="34"/>
      <c r="CA118" s="45">
        <v>130</v>
      </c>
      <c r="CB118" s="52">
        <v>1</v>
      </c>
      <c r="CC118" s="118">
        <f t="shared" si="93"/>
        <v>130</v>
      </c>
      <c r="CD118" s="118"/>
      <c r="CE118" s="92">
        <f t="shared" si="94"/>
        <v>20</v>
      </c>
      <c r="CF118" s="92">
        <f t="shared" si="95"/>
        <v>20</v>
      </c>
      <c r="CH118" s="34"/>
      <c r="CI118" s="45">
        <v>130</v>
      </c>
      <c r="CJ118" s="52">
        <v>1</v>
      </c>
      <c r="CK118" s="118">
        <f t="shared" si="86"/>
        <v>130</v>
      </c>
      <c r="CL118" s="118">
        <f t="shared" si="96"/>
        <v>0</v>
      </c>
      <c r="CM118" s="34" t="s">
        <v>568</v>
      </c>
      <c r="CN118" s="17"/>
      <c r="CO118" s="45">
        <v>130</v>
      </c>
      <c r="CP118" s="52">
        <v>1</v>
      </c>
      <c r="CQ118" s="118">
        <f t="shared" si="87"/>
        <v>130</v>
      </c>
      <c r="CR118" s="92">
        <f t="shared" si="88"/>
        <v>0</v>
      </c>
      <c r="CS118" s="91"/>
      <c r="CT118" s="17"/>
      <c r="CU118" s="45">
        <v>130</v>
      </c>
      <c r="CV118" s="52">
        <v>1</v>
      </c>
      <c r="CW118" s="118">
        <f t="shared" si="102"/>
        <v>130</v>
      </c>
      <c r="CX118" s="45">
        <v>130</v>
      </c>
      <c r="CY118" s="52">
        <v>1</v>
      </c>
      <c r="CZ118" s="118">
        <f t="shared" si="99"/>
        <v>130</v>
      </c>
      <c r="DA118" s="92">
        <f>CW118-CQ118</f>
        <v>0</v>
      </c>
      <c r="DB118" s="92"/>
      <c r="DC118" s="92"/>
      <c r="DD118" s="91"/>
      <c r="DE118" s="91"/>
      <c r="DF118" s="45">
        <v>130</v>
      </c>
      <c r="DG118" s="52">
        <v>1</v>
      </c>
      <c r="DH118" s="118">
        <f t="shared" si="91"/>
        <v>130</v>
      </c>
      <c r="DI118" s="168">
        <f t="shared" si="69"/>
        <v>0</v>
      </c>
      <c r="DJ118" s="168">
        <f t="shared" si="70"/>
        <v>0</v>
      </c>
      <c r="DK118" s="91"/>
      <c r="DL118" s="91"/>
      <c r="DM118" s="91"/>
      <c r="DN118" s="92">
        <f t="shared" si="92"/>
        <v>0</v>
      </c>
    </row>
    <row r="119" spans="1:131" s="91" customFormat="1" ht="16.25" hidden="1" customHeight="1" x14ac:dyDescent="0.4">
      <c r="A119" s="32" t="s">
        <v>97</v>
      </c>
      <c r="B119" s="32" t="s">
        <v>391</v>
      </c>
      <c r="C119" s="32" t="s">
        <v>15</v>
      </c>
      <c r="D119" s="16" t="s">
        <v>569</v>
      </c>
      <c r="E119" s="87" t="s">
        <v>570</v>
      </c>
      <c r="F119" s="87" t="s">
        <v>114</v>
      </c>
      <c r="G119" s="32" t="s">
        <v>101</v>
      </c>
      <c r="H119" s="32" t="s">
        <v>182</v>
      </c>
      <c r="I119" s="51"/>
      <c r="J119" s="33" t="s">
        <v>457</v>
      </c>
      <c r="K119" s="33"/>
      <c r="L119" s="36"/>
      <c r="M119" s="36"/>
      <c r="N119" s="36"/>
      <c r="O119" s="33"/>
      <c r="P119" s="32" t="s">
        <v>193</v>
      </c>
      <c r="Q119" s="129"/>
      <c r="R119" s="129"/>
      <c r="S119" s="129"/>
      <c r="T119" s="129">
        <f>CK119</f>
        <v>157.5</v>
      </c>
      <c r="U119" s="129"/>
      <c r="V119" s="129"/>
      <c r="W119" s="129"/>
      <c r="X119" s="129"/>
      <c r="Y119" s="129"/>
      <c r="Z119" s="129"/>
      <c r="AA119" s="129"/>
      <c r="AB119" s="129"/>
      <c r="AC119" s="32"/>
      <c r="AD119" s="37"/>
      <c r="AE119" s="37"/>
      <c r="AF119" s="37"/>
      <c r="AG119" s="37"/>
      <c r="AH119" s="158"/>
      <c r="AI119" s="158"/>
      <c r="AJ119" s="37"/>
      <c r="AK119" s="46"/>
      <c r="AL119" s="47"/>
      <c r="AM119" s="162"/>
      <c r="AN119" s="39"/>
      <c r="AO119" s="97"/>
      <c r="AP119" s="39"/>
      <c r="AQ119" s="160"/>
      <c r="AR119" s="45"/>
      <c r="AS119" s="52"/>
      <c r="AT119" s="45"/>
      <c r="AU119" s="48"/>
      <c r="AV119" s="49"/>
      <c r="AW119" s="48"/>
      <c r="AY119" s="45"/>
      <c r="AZ119" s="46"/>
      <c r="BA119" s="45"/>
      <c r="BB119" s="39"/>
      <c r="BC119" s="50"/>
      <c r="BE119" s="45"/>
      <c r="BF119" s="52"/>
      <c r="BG119" s="45"/>
      <c r="BH119" s="45"/>
      <c r="BI119" s="39"/>
      <c r="BJ119" s="39"/>
      <c r="BK119" s="50"/>
      <c r="BM119" s="45"/>
      <c r="BN119" s="52"/>
      <c r="BO119" s="45"/>
      <c r="BP119" s="45"/>
      <c r="BQ119" s="92"/>
      <c r="BR119" s="59"/>
      <c r="BS119" s="50"/>
      <c r="BU119" s="45">
        <v>350</v>
      </c>
      <c r="BV119" s="52">
        <v>0.5</v>
      </c>
      <c r="BW119" s="118">
        <f t="shared" si="97"/>
        <v>175</v>
      </c>
      <c r="BX119" s="118"/>
      <c r="BY119" s="50"/>
      <c r="CA119" s="45">
        <v>150</v>
      </c>
      <c r="CB119" s="52">
        <v>0.75</v>
      </c>
      <c r="CC119" s="118">
        <f t="shared" si="93"/>
        <v>112.5</v>
      </c>
      <c r="CD119" s="118"/>
      <c r="CE119" s="92">
        <f t="shared" si="94"/>
        <v>-62.5</v>
      </c>
      <c r="CF119" s="92">
        <f t="shared" si="95"/>
        <v>112.5</v>
      </c>
      <c r="CG119" s="50"/>
      <c r="CI119" s="160">
        <v>175</v>
      </c>
      <c r="CJ119" s="167">
        <v>0.9</v>
      </c>
      <c r="CK119" s="165">
        <f t="shared" ref="CK119:CK124" si="103">CI119*CJ119</f>
        <v>157.5</v>
      </c>
      <c r="CL119" s="92">
        <f t="shared" si="96"/>
        <v>45</v>
      </c>
      <c r="CM119" s="50"/>
      <c r="CN119" s="139"/>
      <c r="CO119" s="160">
        <v>175</v>
      </c>
      <c r="CP119" s="167">
        <v>0.9</v>
      </c>
      <c r="CQ119" s="165">
        <f t="shared" ref="CQ119:CQ124" si="104">CO119*CP119</f>
        <v>157.5</v>
      </c>
      <c r="CR119" s="168">
        <f t="shared" ref="CR119:CR124" si="105">CQ119-CK119</f>
        <v>0</v>
      </c>
      <c r="CS119" s="91" t="s">
        <v>571</v>
      </c>
      <c r="CT119" s="139"/>
      <c r="CU119" s="160">
        <v>185</v>
      </c>
      <c r="CV119" s="167">
        <v>0.9</v>
      </c>
      <c r="CW119" s="165">
        <f t="shared" si="102"/>
        <v>166.5</v>
      </c>
      <c r="CX119" s="160">
        <v>185</v>
      </c>
      <c r="CY119" s="167">
        <v>0.9</v>
      </c>
      <c r="CZ119" s="165">
        <f t="shared" si="99"/>
        <v>166.5</v>
      </c>
      <c r="DA119" s="168">
        <f>CZ119-CQ119</f>
        <v>9</v>
      </c>
      <c r="DB119" s="168">
        <f>CZ119-CW119</f>
        <v>0</v>
      </c>
      <c r="DC119" s="168"/>
      <c r="DF119" s="160">
        <v>185</v>
      </c>
      <c r="DG119" s="167">
        <v>0.9</v>
      </c>
      <c r="DH119" s="165">
        <f t="shared" si="91"/>
        <v>166.5</v>
      </c>
      <c r="DI119" s="168">
        <f t="shared" si="69"/>
        <v>0</v>
      </c>
      <c r="DJ119" s="168">
        <f t="shared" si="70"/>
        <v>0</v>
      </c>
      <c r="DK119" s="168"/>
      <c r="DL119" s="168"/>
      <c r="DM119" s="168"/>
      <c r="DN119" s="168">
        <f t="shared" si="92"/>
        <v>0</v>
      </c>
      <c r="DO119" s="165">
        <v>0</v>
      </c>
      <c r="DP119" s="165">
        <v>0</v>
      </c>
      <c r="DQ119" s="165">
        <v>0</v>
      </c>
      <c r="DR119" s="165">
        <v>0</v>
      </c>
      <c r="DS119" s="165">
        <v>0</v>
      </c>
      <c r="DT119" s="165">
        <v>0</v>
      </c>
      <c r="DU119" s="165">
        <v>0</v>
      </c>
      <c r="DV119" s="165">
        <v>0</v>
      </c>
      <c r="DW119" s="165">
        <v>0</v>
      </c>
      <c r="DX119" s="165">
        <v>0</v>
      </c>
      <c r="DY119" s="165">
        <v>0</v>
      </c>
      <c r="DZ119" s="165">
        <v>0</v>
      </c>
      <c r="EA119" s="168"/>
    </row>
    <row r="120" spans="1:131" s="50" customFormat="1" ht="16.25" hidden="1" customHeight="1" x14ac:dyDescent="0.35">
      <c r="A120" s="36" t="s">
        <v>97</v>
      </c>
      <c r="B120" s="36" t="s">
        <v>391</v>
      </c>
      <c r="C120" s="36" t="s">
        <v>15</v>
      </c>
      <c r="D120" s="53" t="s">
        <v>363</v>
      </c>
      <c r="E120" s="38" t="s">
        <v>572</v>
      </c>
      <c r="F120" s="38" t="s">
        <v>114</v>
      </c>
      <c r="G120" s="32" t="s">
        <v>263</v>
      </c>
      <c r="H120" s="32"/>
      <c r="I120" s="51"/>
      <c r="J120" s="33"/>
      <c r="K120" s="36"/>
      <c r="L120" s="36"/>
      <c r="M120" s="36"/>
      <c r="N120" s="36"/>
      <c r="O120" s="33" t="s">
        <v>573</v>
      </c>
      <c r="P120" s="36" t="s">
        <v>361</v>
      </c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36"/>
      <c r="AD120" s="37"/>
      <c r="AE120" s="37"/>
      <c r="AF120" s="37"/>
      <c r="AG120" s="37"/>
      <c r="AH120" s="34"/>
      <c r="AI120" s="34"/>
      <c r="AJ120" s="37"/>
      <c r="AK120" s="46"/>
      <c r="AL120" s="47"/>
      <c r="AM120" s="47"/>
      <c r="AN120" s="39"/>
      <c r="AO120" s="97"/>
      <c r="AP120" s="39"/>
      <c r="AQ120" s="45"/>
      <c r="AR120" s="45"/>
      <c r="AS120" s="52"/>
      <c r="AT120" s="45"/>
      <c r="AU120" s="48"/>
      <c r="AV120" s="49"/>
      <c r="AW120" s="48"/>
      <c r="AX120" s="34"/>
      <c r="AY120" s="45"/>
      <c r="AZ120" s="46">
        <v>0</v>
      </c>
      <c r="BA120" s="45"/>
      <c r="BB120" s="39"/>
      <c r="BD120" s="34"/>
      <c r="BE120" s="45"/>
      <c r="BF120" s="52"/>
      <c r="BG120" s="45"/>
      <c r="BH120" s="45"/>
      <c r="BI120" s="39"/>
      <c r="BJ120" s="39"/>
      <c r="BL120" s="34"/>
      <c r="BM120" s="45">
        <v>200</v>
      </c>
      <c r="BN120" s="52">
        <v>1</v>
      </c>
      <c r="BO120" s="45">
        <f>BM120*BN120</f>
        <v>200</v>
      </c>
      <c r="BP120" s="45"/>
      <c r="BQ120" s="92">
        <f>BO120-BA120</f>
        <v>200</v>
      </c>
      <c r="BR120" s="59"/>
      <c r="BT120" s="34"/>
      <c r="BU120" s="45">
        <v>200</v>
      </c>
      <c r="BV120" s="52">
        <v>1</v>
      </c>
      <c r="BW120" s="118">
        <f t="shared" si="97"/>
        <v>200</v>
      </c>
      <c r="BX120" s="118">
        <f>BW120-BO120</f>
        <v>0</v>
      </c>
      <c r="BZ120" s="34"/>
      <c r="CA120" s="45">
        <v>200</v>
      </c>
      <c r="CB120" s="52">
        <v>1</v>
      </c>
      <c r="CC120" s="118">
        <f t="shared" si="93"/>
        <v>200</v>
      </c>
      <c r="CD120" s="118"/>
      <c r="CE120" s="92">
        <f t="shared" si="94"/>
        <v>0</v>
      </c>
      <c r="CF120" s="92">
        <f t="shared" si="95"/>
        <v>0</v>
      </c>
      <c r="CH120" s="34"/>
      <c r="CI120" s="45">
        <v>200</v>
      </c>
      <c r="CJ120" s="52">
        <v>1</v>
      </c>
      <c r="CK120" s="118">
        <f t="shared" si="103"/>
        <v>200</v>
      </c>
      <c r="CL120" s="118">
        <f t="shared" si="96"/>
        <v>0</v>
      </c>
      <c r="CM120" s="34" t="s">
        <v>574</v>
      </c>
      <c r="CN120" s="17"/>
      <c r="CO120" s="45">
        <v>200</v>
      </c>
      <c r="CP120" s="52">
        <v>1</v>
      </c>
      <c r="CQ120" s="118">
        <f t="shared" si="104"/>
        <v>200</v>
      </c>
      <c r="CR120" s="92">
        <f t="shared" si="105"/>
        <v>0</v>
      </c>
      <c r="CS120" s="91"/>
      <c r="CT120" s="17"/>
      <c r="CU120" s="45">
        <v>0</v>
      </c>
      <c r="CV120" s="52">
        <v>1</v>
      </c>
      <c r="CW120" s="118">
        <f t="shared" si="102"/>
        <v>0</v>
      </c>
      <c r="CX120" s="45">
        <v>0</v>
      </c>
      <c r="CY120" s="52">
        <v>1</v>
      </c>
      <c r="CZ120" s="118">
        <f t="shared" si="99"/>
        <v>0</v>
      </c>
      <c r="DA120" s="92">
        <f>CW120-CQ120</f>
        <v>-200</v>
      </c>
      <c r="DB120" s="92"/>
      <c r="DC120" s="92"/>
      <c r="DD120" s="91"/>
      <c r="DE120" s="91"/>
      <c r="DF120" s="45">
        <v>0</v>
      </c>
      <c r="DG120" s="52">
        <v>1</v>
      </c>
      <c r="DH120" s="118">
        <f t="shared" si="91"/>
        <v>0</v>
      </c>
      <c r="DI120" s="168">
        <f t="shared" si="69"/>
        <v>0</v>
      </c>
      <c r="DJ120" s="168">
        <f t="shared" si="70"/>
        <v>0</v>
      </c>
      <c r="DK120" s="91"/>
      <c r="DL120" s="91"/>
      <c r="DM120" s="91"/>
      <c r="DN120" s="92">
        <f t="shared" si="92"/>
        <v>0</v>
      </c>
    </row>
    <row r="121" spans="1:131" s="50" customFormat="1" ht="16.25" hidden="1" customHeight="1" x14ac:dyDescent="0.35">
      <c r="A121" s="36" t="s">
        <v>97</v>
      </c>
      <c r="B121" s="36" t="s">
        <v>391</v>
      </c>
      <c r="C121" s="36" t="s">
        <v>15</v>
      </c>
      <c r="D121" s="53" t="s">
        <v>363</v>
      </c>
      <c r="E121" s="38" t="s">
        <v>570</v>
      </c>
      <c r="F121" s="38" t="s">
        <v>114</v>
      </c>
      <c r="G121" s="32" t="s">
        <v>263</v>
      </c>
      <c r="H121" s="32"/>
      <c r="I121" s="51"/>
      <c r="J121" s="33" t="s">
        <v>575</v>
      </c>
      <c r="K121" s="36"/>
      <c r="L121" s="36"/>
      <c r="M121" s="36"/>
      <c r="N121" s="36"/>
      <c r="O121" s="33" t="s">
        <v>576</v>
      </c>
      <c r="P121" s="36" t="s">
        <v>361</v>
      </c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36"/>
      <c r="AD121" s="37"/>
      <c r="AE121" s="37"/>
      <c r="AF121" s="37"/>
      <c r="AG121" s="37"/>
      <c r="AH121" s="34"/>
      <c r="AI121" s="34"/>
      <c r="AJ121" s="37"/>
      <c r="AK121" s="46"/>
      <c r="AL121" s="47"/>
      <c r="AM121" s="47"/>
      <c r="AN121" s="39"/>
      <c r="AO121" s="97"/>
      <c r="AP121" s="39"/>
      <c r="AQ121" s="45"/>
      <c r="AR121" s="45"/>
      <c r="AS121" s="52"/>
      <c r="AT121" s="45"/>
      <c r="AU121" s="48"/>
      <c r="AV121" s="49"/>
      <c r="AW121" s="48"/>
      <c r="AX121" s="34"/>
      <c r="AY121" s="45"/>
      <c r="AZ121" s="46">
        <v>0</v>
      </c>
      <c r="BA121" s="45"/>
      <c r="BB121" s="39"/>
      <c r="BD121" s="34"/>
      <c r="BE121" s="45"/>
      <c r="BF121" s="52"/>
      <c r="BG121" s="45"/>
      <c r="BH121" s="45"/>
      <c r="BI121" s="39"/>
      <c r="BJ121" s="39"/>
      <c r="BL121" s="34"/>
      <c r="BM121" s="45">
        <f>700*25%</f>
        <v>175</v>
      </c>
      <c r="BN121" s="52">
        <v>1</v>
      </c>
      <c r="BO121" s="45">
        <f>BM121*BN121</f>
        <v>175</v>
      </c>
      <c r="BP121" s="45"/>
      <c r="BQ121" s="92">
        <f>BO121-BA121</f>
        <v>175</v>
      </c>
      <c r="BR121" s="59"/>
      <c r="BT121" s="34"/>
      <c r="BU121" s="45">
        <f>700*25%</f>
        <v>175</v>
      </c>
      <c r="BV121" s="52">
        <v>1</v>
      </c>
      <c r="BW121" s="118">
        <f t="shared" si="97"/>
        <v>175</v>
      </c>
      <c r="BX121" s="118">
        <f>BW121-BO121</f>
        <v>0</v>
      </c>
      <c r="BZ121" s="34"/>
      <c r="CA121" s="45">
        <f>700*25%</f>
        <v>175</v>
      </c>
      <c r="CB121" s="52">
        <v>1</v>
      </c>
      <c r="CC121" s="118">
        <f t="shared" si="93"/>
        <v>175</v>
      </c>
      <c r="CD121" s="118"/>
      <c r="CE121" s="92">
        <f t="shared" si="94"/>
        <v>0</v>
      </c>
      <c r="CF121" s="92">
        <f t="shared" si="95"/>
        <v>0</v>
      </c>
      <c r="CH121" s="34"/>
      <c r="CI121" s="45">
        <f>700*25%</f>
        <v>175</v>
      </c>
      <c r="CJ121" s="52">
        <v>0</v>
      </c>
      <c r="CK121" s="118">
        <f t="shared" si="103"/>
        <v>0</v>
      </c>
      <c r="CL121" s="118">
        <f t="shared" si="96"/>
        <v>-175</v>
      </c>
      <c r="CM121" s="34"/>
      <c r="CN121" s="17"/>
      <c r="CO121" s="45">
        <f>700*25%</f>
        <v>175</v>
      </c>
      <c r="CP121" s="52">
        <v>0</v>
      </c>
      <c r="CQ121" s="118">
        <f t="shared" si="104"/>
        <v>0</v>
      </c>
      <c r="CR121" s="92">
        <f t="shared" si="105"/>
        <v>0</v>
      </c>
      <c r="CS121" s="91"/>
      <c r="CT121" s="17"/>
      <c r="CU121" s="45">
        <v>0</v>
      </c>
      <c r="CV121" s="52">
        <v>0</v>
      </c>
      <c r="CW121" s="118">
        <f t="shared" si="102"/>
        <v>0</v>
      </c>
      <c r="CX121" s="45">
        <v>0</v>
      </c>
      <c r="CY121" s="52">
        <v>0</v>
      </c>
      <c r="CZ121" s="118">
        <f t="shared" si="99"/>
        <v>0</v>
      </c>
      <c r="DA121" s="92">
        <f>CW121-CQ121</f>
        <v>0</v>
      </c>
      <c r="DB121" s="92"/>
      <c r="DC121" s="92"/>
      <c r="DD121" s="91"/>
      <c r="DE121" s="91"/>
      <c r="DF121" s="45">
        <v>0</v>
      </c>
      <c r="DG121" s="52">
        <v>0</v>
      </c>
      <c r="DH121" s="118">
        <f t="shared" si="91"/>
        <v>0</v>
      </c>
      <c r="DI121" s="168">
        <f t="shared" si="69"/>
        <v>0</v>
      </c>
      <c r="DJ121" s="168">
        <f t="shared" si="70"/>
        <v>0</v>
      </c>
      <c r="DK121" s="91"/>
      <c r="DL121" s="91"/>
      <c r="DM121" s="91"/>
      <c r="DN121" s="92">
        <f t="shared" si="92"/>
        <v>0</v>
      </c>
    </row>
    <row r="122" spans="1:131" s="91" customFormat="1" ht="16.25" hidden="1" customHeight="1" x14ac:dyDescent="0.4">
      <c r="A122" s="32" t="s">
        <v>97</v>
      </c>
      <c r="B122" s="32" t="s">
        <v>391</v>
      </c>
      <c r="C122" s="32" t="s">
        <v>15</v>
      </c>
      <c r="D122" s="32" t="s">
        <v>193</v>
      </c>
      <c r="E122" s="87" t="s">
        <v>578</v>
      </c>
      <c r="F122" s="87" t="s">
        <v>114</v>
      </c>
      <c r="G122" s="32" t="s">
        <v>101</v>
      </c>
      <c r="H122" s="32"/>
      <c r="I122" s="51" t="s">
        <v>193</v>
      </c>
      <c r="J122" s="33" t="s">
        <v>579</v>
      </c>
      <c r="K122" s="36"/>
      <c r="L122" s="37"/>
      <c r="M122" s="38"/>
      <c r="N122" s="32" t="s">
        <v>149</v>
      </c>
      <c r="O122" s="51"/>
      <c r="P122" s="32" t="s">
        <v>193</v>
      </c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32"/>
      <c r="AD122" s="37"/>
      <c r="AE122" s="37"/>
      <c r="AF122" s="39"/>
      <c r="AG122" s="39"/>
      <c r="AH122" s="87"/>
      <c r="AI122" s="159"/>
      <c r="AJ122" s="37">
        <v>0</v>
      </c>
      <c r="AK122" s="46">
        <v>0</v>
      </c>
      <c r="AL122" s="47">
        <f>AJ122*AK122</f>
        <v>0</v>
      </c>
      <c r="AM122" s="162"/>
      <c r="AN122" s="39">
        <v>0</v>
      </c>
      <c r="AO122" s="97">
        <v>0</v>
      </c>
      <c r="AP122" s="39">
        <v>0</v>
      </c>
      <c r="AQ122" s="159"/>
      <c r="AR122" s="45">
        <v>200</v>
      </c>
      <c r="AS122" s="52">
        <v>0.9</v>
      </c>
      <c r="AT122" s="45">
        <f>AR122*AS122</f>
        <v>180</v>
      </c>
      <c r="AU122" s="48"/>
      <c r="AV122" s="49">
        <f>AU122*AS122</f>
        <v>0</v>
      </c>
      <c r="AW122" s="48"/>
      <c r="AY122" s="45">
        <v>200</v>
      </c>
      <c r="AZ122" s="52">
        <v>0.9</v>
      </c>
      <c r="BA122" s="45">
        <f>AY122*AZ122</f>
        <v>180</v>
      </c>
      <c r="BB122" s="39">
        <f>BA122-AT122</f>
        <v>0</v>
      </c>
      <c r="BC122" s="50"/>
      <c r="BE122" s="45">
        <v>0</v>
      </c>
      <c r="BF122" s="52">
        <v>0.9</v>
      </c>
      <c r="BG122" s="45">
        <f>BE122*BF122</f>
        <v>0</v>
      </c>
      <c r="BH122" s="45"/>
      <c r="BI122" s="39">
        <f>BG122-BA122</f>
        <v>-180</v>
      </c>
      <c r="BJ122" s="39"/>
      <c r="BK122" s="50"/>
      <c r="BM122" s="45">
        <v>0</v>
      </c>
      <c r="BN122" s="52">
        <v>0</v>
      </c>
      <c r="BO122" s="45">
        <f>BM122*BN122</f>
        <v>0</v>
      </c>
      <c r="BP122" s="45"/>
      <c r="BQ122" s="92">
        <f>BO122-BA122</f>
        <v>-180</v>
      </c>
      <c r="BR122" s="34" t="s">
        <v>106</v>
      </c>
      <c r="BS122" s="50"/>
      <c r="BU122" s="45">
        <v>0</v>
      </c>
      <c r="BV122" s="52">
        <v>0</v>
      </c>
      <c r="BW122" s="118">
        <f t="shared" si="97"/>
        <v>0</v>
      </c>
      <c r="BX122" s="118">
        <f>BW122-BO122</f>
        <v>0</v>
      </c>
      <c r="BY122" s="50"/>
      <c r="CA122" s="45">
        <v>0</v>
      </c>
      <c r="CB122" s="52">
        <v>0</v>
      </c>
      <c r="CC122" s="118">
        <f t="shared" si="93"/>
        <v>0</v>
      </c>
      <c r="CD122" s="118"/>
      <c r="CE122" s="92">
        <f t="shared" si="94"/>
        <v>0</v>
      </c>
      <c r="CF122" s="92">
        <f t="shared" si="95"/>
        <v>0</v>
      </c>
      <c r="CG122" s="50"/>
      <c r="CI122" s="160">
        <v>0</v>
      </c>
      <c r="CJ122" s="167">
        <v>0</v>
      </c>
      <c r="CK122" s="165">
        <f t="shared" si="103"/>
        <v>0</v>
      </c>
      <c r="CL122" s="92">
        <f t="shared" si="96"/>
        <v>0</v>
      </c>
      <c r="CM122" s="50"/>
      <c r="CN122" s="139"/>
      <c r="CO122" s="160">
        <v>0</v>
      </c>
      <c r="CP122" s="167">
        <v>0</v>
      </c>
      <c r="CQ122" s="165">
        <f t="shared" si="104"/>
        <v>0</v>
      </c>
      <c r="CR122" s="168">
        <f t="shared" si="105"/>
        <v>0</v>
      </c>
      <c r="CT122" s="139"/>
      <c r="CU122" s="160">
        <v>0</v>
      </c>
      <c r="CV122" s="167">
        <v>0</v>
      </c>
      <c r="CW122" s="165">
        <f t="shared" si="102"/>
        <v>0</v>
      </c>
      <c r="CX122" s="160">
        <v>0</v>
      </c>
      <c r="CY122" s="167">
        <v>0</v>
      </c>
      <c r="CZ122" s="165">
        <f t="shared" si="99"/>
        <v>0</v>
      </c>
      <c r="DA122" s="168">
        <f>CZ122-CQ122</f>
        <v>0</v>
      </c>
      <c r="DB122" s="168">
        <f>CZ122-CW122</f>
        <v>0</v>
      </c>
      <c r="DC122" s="168"/>
      <c r="DF122" s="160">
        <v>0</v>
      </c>
      <c r="DG122" s="167">
        <v>0</v>
      </c>
      <c r="DH122" s="165">
        <f t="shared" si="91"/>
        <v>0</v>
      </c>
      <c r="DI122" s="168">
        <f t="shared" si="69"/>
        <v>0</v>
      </c>
      <c r="DJ122" s="168">
        <f t="shared" si="70"/>
        <v>0</v>
      </c>
      <c r="DK122" s="168"/>
      <c r="DL122" s="168"/>
      <c r="DM122" s="168"/>
      <c r="DN122" s="168">
        <f t="shared" si="92"/>
        <v>0</v>
      </c>
    </row>
    <row r="123" spans="1:131" s="91" customFormat="1" ht="16.25" hidden="1" customHeight="1" x14ac:dyDescent="0.4">
      <c r="A123" s="32" t="s">
        <v>97</v>
      </c>
      <c r="B123" s="32" t="s">
        <v>580</v>
      </c>
      <c r="C123" s="32" t="s">
        <v>172</v>
      </c>
      <c r="D123" s="32" t="s">
        <v>581</v>
      </c>
      <c r="E123" s="87" t="s">
        <v>582</v>
      </c>
      <c r="F123" s="87" t="s">
        <v>175</v>
      </c>
      <c r="G123" s="32" t="s">
        <v>101</v>
      </c>
      <c r="H123" s="36" t="s">
        <v>224</v>
      </c>
      <c r="I123" s="51"/>
      <c r="J123" s="38"/>
      <c r="K123" s="36"/>
      <c r="L123" s="36"/>
      <c r="M123" s="36"/>
      <c r="N123" s="36"/>
      <c r="O123" s="38"/>
      <c r="P123" s="32" t="s">
        <v>193</v>
      </c>
      <c r="Q123" s="129"/>
      <c r="R123" s="129"/>
      <c r="S123" s="129"/>
      <c r="T123" s="129"/>
      <c r="U123" s="129"/>
      <c r="V123" s="129">
        <f>CC123</f>
        <v>0</v>
      </c>
      <c r="W123" s="129"/>
      <c r="X123" s="129"/>
      <c r="Y123" s="129"/>
      <c r="Z123" s="129"/>
      <c r="AA123" s="129"/>
      <c r="AB123" s="129"/>
      <c r="AC123" s="32"/>
      <c r="AD123" s="37"/>
      <c r="AE123" s="37"/>
      <c r="AF123" s="37"/>
      <c r="AG123" s="37"/>
      <c r="AH123" s="158"/>
      <c r="AI123" s="158"/>
      <c r="AJ123" s="37">
        <v>0</v>
      </c>
      <c r="AK123" s="46">
        <v>0</v>
      </c>
      <c r="AL123" s="47">
        <f>AJ123*AK123</f>
        <v>0</v>
      </c>
      <c r="AM123" s="162"/>
      <c r="AN123" s="39">
        <v>0</v>
      </c>
      <c r="AO123" s="97">
        <v>0</v>
      </c>
      <c r="AP123" s="39">
        <v>0</v>
      </c>
      <c r="AQ123" s="160"/>
      <c r="AR123" s="45">
        <v>300</v>
      </c>
      <c r="AS123" s="46">
        <v>1</v>
      </c>
      <c r="AT123" s="37">
        <f>AR123*AS123</f>
        <v>300</v>
      </c>
      <c r="AU123" s="48"/>
      <c r="AV123" s="49"/>
      <c r="AW123" s="48"/>
      <c r="AY123" s="45">
        <v>300</v>
      </c>
      <c r="AZ123" s="46">
        <v>1</v>
      </c>
      <c r="BA123" s="37">
        <f>AY123*AZ123</f>
        <v>300</v>
      </c>
      <c r="BB123" s="39">
        <f>BA123-AT123</f>
        <v>0</v>
      </c>
      <c r="BC123" s="50"/>
      <c r="BE123" s="45">
        <v>300</v>
      </c>
      <c r="BF123" s="46">
        <v>1</v>
      </c>
      <c r="BG123" s="37">
        <f>BE123*BF123</f>
        <v>300</v>
      </c>
      <c r="BH123" s="37"/>
      <c r="BI123" s="39">
        <f>BG123-BA123</f>
        <v>0</v>
      </c>
      <c r="BJ123" s="39"/>
      <c r="BK123" s="50"/>
      <c r="BM123" s="45">
        <v>300</v>
      </c>
      <c r="BN123" s="46">
        <v>1</v>
      </c>
      <c r="BO123" s="37">
        <f>BM123*BN123</f>
        <v>300</v>
      </c>
      <c r="BP123" s="37"/>
      <c r="BQ123" s="92">
        <f>BO123-BA123</f>
        <v>0</v>
      </c>
      <c r="BR123" s="59"/>
      <c r="BS123" s="50"/>
      <c r="BU123" s="45">
        <v>300</v>
      </c>
      <c r="BV123" s="46">
        <v>1</v>
      </c>
      <c r="BW123" s="118">
        <f t="shared" si="97"/>
        <v>300</v>
      </c>
      <c r="BX123" s="118">
        <f>BW123-BO123</f>
        <v>0</v>
      </c>
      <c r="BY123" s="50"/>
      <c r="CA123" s="45">
        <v>300</v>
      </c>
      <c r="CB123" s="46">
        <v>0</v>
      </c>
      <c r="CC123" s="118">
        <f t="shared" si="93"/>
        <v>0</v>
      </c>
      <c r="CD123" s="118"/>
      <c r="CE123" s="92">
        <f t="shared" si="94"/>
        <v>-300</v>
      </c>
      <c r="CF123" s="92">
        <f t="shared" si="95"/>
        <v>-300</v>
      </c>
      <c r="CG123" s="50"/>
      <c r="CI123" s="160">
        <v>300</v>
      </c>
      <c r="CJ123" s="164">
        <v>0</v>
      </c>
      <c r="CK123" s="165">
        <f t="shared" si="103"/>
        <v>0</v>
      </c>
      <c r="CL123" s="92">
        <f t="shared" si="96"/>
        <v>0</v>
      </c>
      <c r="CM123" s="50"/>
      <c r="CN123" s="139"/>
      <c r="CO123" s="160">
        <v>300</v>
      </c>
      <c r="CP123" s="164">
        <v>0</v>
      </c>
      <c r="CQ123" s="165">
        <f t="shared" si="104"/>
        <v>0</v>
      </c>
      <c r="CR123" s="168">
        <f t="shared" si="105"/>
        <v>0</v>
      </c>
      <c r="CT123" s="139"/>
      <c r="CU123" s="160">
        <v>0</v>
      </c>
      <c r="CV123" s="164">
        <v>0</v>
      </c>
      <c r="CW123" s="165">
        <f t="shared" si="102"/>
        <v>0</v>
      </c>
      <c r="CX123" s="160">
        <v>0</v>
      </c>
      <c r="CY123" s="164">
        <v>0</v>
      </c>
      <c r="CZ123" s="165">
        <f t="shared" si="99"/>
        <v>0</v>
      </c>
      <c r="DA123" s="168">
        <f>CZ123-CQ123</f>
        <v>0</v>
      </c>
      <c r="DB123" s="168">
        <f>CZ123-CW123</f>
        <v>0</v>
      </c>
      <c r="DC123" s="168"/>
      <c r="DF123" s="160">
        <v>0</v>
      </c>
      <c r="DG123" s="164">
        <v>0</v>
      </c>
      <c r="DH123" s="165">
        <f t="shared" si="91"/>
        <v>0</v>
      </c>
      <c r="DI123" s="168">
        <f t="shared" si="69"/>
        <v>0</v>
      </c>
      <c r="DJ123" s="168">
        <f t="shared" si="70"/>
        <v>0</v>
      </c>
      <c r="DK123" s="168"/>
      <c r="DL123" s="168"/>
      <c r="DM123" s="168"/>
      <c r="DN123" s="168">
        <f t="shared" si="92"/>
        <v>0</v>
      </c>
    </row>
    <row r="124" spans="1:131" s="50" customFormat="1" ht="16.25" hidden="1" customHeight="1" x14ac:dyDescent="0.35">
      <c r="A124" s="83" t="s">
        <v>97</v>
      </c>
      <c r="B124" s="83" t="s">
        <v>391</v>
      </c>
      <c r="C124" s="83" t="s">
        <v>172</v>
      </c>
      <c r="D124" s="83" t="s">
        <v>193</v>
      </c>
      <c r="E124" s="84" t="s">
        <v>577</v>
      </c>
      <c r="F124" s="84" t="s">
        <v>175</v>
      </c>
      <c r="G124" s="88" t="s">
        <v>263</v>
      </c>
      <c r="H124" s="88"/>
      <c r="I124" s="83"/>
      <c r="J124" s="34"/>
      <c r="K124" s="36"/>
      <c r="L124" s="36"/>
      <c r="M124" s="36"/>
      <c r="N124" s="36"/>
      <c r="O124" s="84"/>
      <c r="P124" s="36" t="s">
        <v>193</v>
      </c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83"/>
      <c r="AD124" s="37"/>
      <c r="AE124" s="37"/>
      <c r="AF124" s="37"/>
      <c r="AG124" s="37"/>
      <c r="AH124" s="59"/>
      <c r="AI124" s="59"/>
      <c r="AJ124" s="71"/>
      <c r="AK124" s="72"/>
      <c r="AL124" s="89"/>
      <c r="AM124" s="89"/>
      <c r="AN124" s="73"/>
      <c r="AO124" s="97" t="e">
        <f>VLOOKUP(D124,'May FF'!B128:E327,3,0)</f>
        <v>#N/A</v>
      </c>
      <c r="AP124" s="39" t="e">
        <f>VLOOKUP($D124,'May FF'!$B$2:$E$201,4,0)</f>
        <v>#N/A</v>
      </c>
      <c r="AQ124" s="73"/>
      <c r="AR124" s="45"/>
      <c r="AS124" s="46"/>
      <c r="AT124" s="37"/>
      <c r="AU124" s="48"/>
      <c r="AV124" s="49"/>
      <c r="AW124" s="48"/>
      <c r="AX124" s="59"/>
      <c r="AY124" s="73">
        <v>0</v>
      </c>
      <c r="AZ124" s="46">
        <v>0</v>
      </c>
      <c r="BA124" s="71">
        <f>AY124*AZ124</f>
        <v>0</v>
      </c>
      <c r="BB124" s="82"/>
      <c r="BC124" s="59"/>
      <c r="BD124" s="59"/>
      <c r="BE124" s="73">
        <v>1000</v>
      </c>
      <c r="BF124" s="72">
        <v>0.5</v>
      </c>
      <c r="BG124" s="71">
        <f>BE124*BF124</f>
        <v>500</v>
      </c>
      <c r="BH124" s="71"/>
      <c r="BI124" s="82">
        <f>BG124-BA124</f>
        <v>500</v>
      </c>
      <c r="BJ124" s="82"/>
      <c r="BK124" s="59"/>
      <c r="BL124" s="59"/>
      <c r="BM124" s="73">
        <v>500</v>
      </c>
      <c r="BN124" s="120">
        <v>1</v>
      </c>
      <c r="BO124" s="71">
        <f>BM124*BN124</f>
        <v>500</v>
      </c>
      <c r="BP124" s="71"/>
      <c r="BQ124" s="92">
        <f>BO124-BA124</f>
        <v>500</v>
      </c>
      <c r="BR124" s="59"/>
      <c r="BS124" s="59"/>
      <c r="BU124" s="73">
        <v>0</v>
      </c>
      <c r="BV124" s="120">
        <v>0</v>
      </c>
      <c r="BW124" s="92">
        <f t="shared" si="97"/>
        <v>0</v>
      </c>
      <c r="BX124" s="118">
        <f>BW124-BO124</f>
        <v>-500</v>
      </c>
      <c r="CA124" s="73">
        <v>0</v>
      </c>
      <c r="CB124" s="120">
        <v>0</v>
      </c>
      <c r="CC124" s="92">
        <f t="shared" si="93"/>
        <v>0</v>
      </c>
      <c r="CD124" s="92"/>
      <c r="CE124" s="92">
        <f t="shared" si="94"/>
        <v>0</v>
      </c>
      <c r="CF124" s="92">
        <f t="shared" si="95"/>
        <v>-500</v>
      </c>
      <c r="CI124" s="73">
        <v>0</v>
      </c>
      <c r="CJ124" s="120">
        <v>0</v>
      </c>
      <c r="CK124" s="92">
        <f t="shared" si="103"/>
        <v>0</v>
      </c>
      <c r="CL124" s="92">
        <f t="shared" si="96"/>
        <v>0</v>
      </c>
      <c r="CN124" s="17"/>
      <c r="CO124" s="73">
        <v>0</v>
      </c>
      <c r="CP124" s="120">
        <v>0</v>
      </c>
      <c r="CQ124" s="92">
        <f t="shared" si="104"/>
        <v>0</v>
      </c>
      <c r="CR124" s="92">
        <f t="shared" si="105"/>
        <v>0</v>
      </c>
      <c r="CS124" s="91"/>
      <c r="CT124" s="17"/>
      <c r="CU124" s="73">
        <v>0</v>
      </c>
      <c r="CV124" s="120">
        <v>0</v>
      </c>
      <c r="CW124" s="92">
        <f t="shared" si="102"/>
        <v>0</v>
      </c>
      <c r="CX124" s="73">
        <v>0</v>
      </c>
      <c r="CY124" s="120">
        <v>0</v>
      </c>
      <c r="CZ124" s="92">
        <f t="shared" si="99"/>
        <v>0</v>
      </c>
      <c r="DA124" s="92">
        <f>CW124-CQ124</f>
        <v>0</v>
      </c>
      <c r="DB124" s="92"/>
      <c r="DC124" s="92"/>
      <c r="DD124" s="91"/>
      <c r="DE124" s="91"/>
      <c r="DF124" s="73">
        <v>0</v>
      </c>
      <c r="DG124" s="120">
        <v>0</v>
      </c>
      <c r="DH124" s="92">
        <f t="shared" si="91"/>
        <v>0</v>
      </c>
      <c r="DI124" s="168">
        <f t="shared" si="69"/>
        <v>0</v>
      </c>
      <c r="DJ124" s="168">
        <f t="shared" si="70"/>
        <v>0</v>
      </c>
      <c r="DK124" s="91"/>
      <c r="DL124" s="91"/>
      <c r="DM124" s="91"/>
      <c r="DN124" s="92">
        <f t="shared" si="92"/>
        <v>0</v>
      </c>
    </row>
    <row r="125" spans="1:131" s="50" customFormat="1" ht="16.25" hidden="1" customHeight="1" x14ac:dyDescent="0.35">
      <c r="A125" s="32" t="s">
        <v>97</v>
      </c>
      <c r="B125" s="32" t="s">
        <v>584</v>
      </c>
      <c r="C125" s="32" t="s">
        <v>20</v>
      </c>
      <c r="D125" s="32" t="s">
        <v>1024</v>
      </c>
      <c r="E125" s="87" t="s">
        <v>586</v>
      </c>
      <c r="F125" s="87" t="s">
        <v>114</v>
      </c>
      <c r="G125" s="32" t="s">
        <v>101</v>
      </c>
      <c r="H125" s="88"/>
      <c r="I125" s="16" t="s">
        <v>103</v>
      </c>
      <c r="J125" s="34"/>
      <c r="K125" s="36"/>
      <c r="L125" s="36"/>
      <c r="M125" s="36"/>
      <c r="N125" s="36"/>
      <c r="O125" s="33" t="s">
        <v>103</v>
      </c>
      <c r="P125" s="32" t="s">
        <v>111</v>
      </c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83"/>
      <c r="AD125" s="37"/>
      <c r="AE125" s="37"/>
      <c r="AF125" s="37"/>
      <c r="AG125" s="37"/>
      <c r="AH125" s="59"/>
      <c r="AI125" s="59"/>
      <c r="AJ125" s="71"/>
      <c r="AK125" s="72"/>
      <c r="AL125" s="89"/>
      <c r="AM125" s="89"/>
      <c r="AN125" s="73"/>
      <c r="AO125" s="97"/>
      <c r="AP125" s="39"/>
      <c r="AQ125" s="73"/>
      <c r="AR125" s="45"/>
      <c r="AS125" s="46"/>
      <c r="AT125" s="37"/>
      <c r="AU125" s="48"/>
      <c r="AV125" s="49"/>
      <c r="AW125" s="48"/>
      <c r="AX125" s="59"/>
      <c r="AY125" s="73"/>
      <c r="AZ125" s="46"/>
      <c r="BA125" s="71"/>
      <c r="BB125" s="82"/>
      <c r="BC125" s="59"/>
      <c r="BD125" s="59"/>
      <c r="BE125" s="73"/>
      <c r="BF125" s="72"/>
      <c r="BG125" s="71"/>
      <c r="BH125" s="71"/>
      <c r="BI125" s="82"/>
      <c r="BJ125" s="82"/>
      <c r="BK125" s="59"/>
      <c r="BL125" s="59"/>
      <c r="BM125" s="73"/>
      <c r="BN125" s="120"/>
      <c r="BO125" s="71"/>
      <c r="BP125" s="71"/>
      <c r="BQ125" s="92"/>
      <c r="BR125" s="59"/>
      <c r="BS125" s="59"/>
      <c r="BU125" s="73"/>
      <c r="BV125" s="120"/>
      <c r="BW125" s="92"/>
      <c r="BX125" s="118"/>
      <c r="CA125" s="73"/>
      <c r="CB125" s="120"/>
      <c r="CC125" s="92"/>
      <c r="CD125" s="92"/>
      <c r="CE125" s="92"/>
      <c r="CF125" s="92"/>
      <c r="CI125" s="73"/>
      <c r="CJ125" s="120"/>
      <c r="CK125" s="92"/>
      <c r="CL125" s="92"/>
      <c r="CN125" s="17"/>
      <c r="CO125" s="73"/>
      <c r="CP125" s="120"/>
      <c r="CQ125" s="92"/>
      <c r="CR125" s="92"/>
      <c r="CS125" s="91"/>
      <c r="CT125" s="17"/>
      <c r="CU125" s="73"/>
      <c r="CV125" s="120"/>
      <c r="CW125" s="92"/>
      <c r="CX125" s="73"/>
      <c r="CY125" s="120"/>
      <c r="CZ125" s="92"/>
      <c r="DA125" s="92"/>
      <c r="DB125" s="92"/>
      <c r="DC125" s="92"/>
      <c r="DD125" s="91"/>
      <c r="DE125" s="91"/>
      <c r="DF125" s="163">
        <v>3.798</v>
      </c>
      <c r="DG125" s="170">
        <v>1</v>
      </c>
      <c r="DH125" s="165">
        <f t="shared" si="91"/>
        <v>3.798</v>
      </c>
      <c r="DI125" s="168">
        <f t="shared" si="69"/>
        <v>3.798</v>
      </c>
      <c r="DJ125" s="168">
        <f t="shared" si="70"/>
        <v>3.798</v>
      </c>
      <c r="DK125" s="91"/>
      <c r="DL125" s="91"/>
      <c r="DM125" s="201">
        <f>SUM(DO125:DS125)</f>
        <v>3.798</v>
      </c>
      <c r="DN125" s="168">
        <f t="shared" si="92"/>
        <v>3.798</v>
      </c>
      <c r="DO125" s="165">
        <v>0</v>
      </c>
      <c r="DP125" s="165">
        <v>0</v>
      </c>
      <c r="DQ125" s="165">
        <v>0</v>
      </c>
      <c r="DR125" s="165">
        <v>0</v>
      </c>
      <c r="DS125" s="165">
        <v>3.798</v>
      </c>
    </row>
    <row r="126" spans="1:131" s="91" customFormat="1" ht="16.25" hidden="1" customHeight="1" x14ac:dyDescent="0.4">
      <c r="A126" s="32" t="s">
        <v>97</v>
      </c>
      <c r="B126" s="32" t="s">
        <v>584</v>
      </c>
      <c r="C126" s="32" t="s">
        <v>20</v>
      </c>
      <c r="D126" s="16" t="s">
        <v>588</v>
      </c>
      <c r="E126" s="87" t="s">
        <v>589</v>
      </c>
      <c r="F126" s="87" t="s">
        <v>114</v>
      </c>
      <c r="G126" s="32" t="s">
        <v>101</v>
      </c>
      <c r="H126" s="32" t="s">
        <v>102</v>
      </c>
      <c r="I126" s="16" t="s">
        <v>103</v>
      </c>
      <c r="J126" s="33"/>
      <c r="K126" s="36"/>
      <c r="L126" s="36"/>
      <c r="M126" s="36"/>
      <c r="N126" s="36"/>
      <c r="O126" s="33" t="s">
        <v>103</v>
      </c>
      <c r="P126" s="32" t="s">
        <v>111</v>
      </c>
      <c r="Q126" s="129">
        <f>CZ126</f>
        <v>2.73</v>
      </c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32"/>
      <c r="AD126" s="37"/>
      <c r="AE126" s="37"/>
      <c r="AF126" s="37"/>
      <c r="AG126" s="37"/>
      <c r="AH126" s="158"/>
      <c r="AI126" s="158"/>
      <c r="AJ126" s="37">
        <v>288</v>
      </c>
      <c r="AK126" s="46">
        <v>0.9</v>
      </c>
      <c r="AL126" s="47">
        <v>278</v>
      </c>
      <c r="AM126" s="162"/>
      <c r="AN126" s="39" t="e">
        <f>VLOOKUP(D126,'May FF'!B$2:E$201,2,0)</f>
        <v>#N/A</v>
      </c>
      <c r="AO126" s="97" t="e">
        <f>VLOOKUP(D126,'May FF'!B68:E267,3,0)</f>
        <v>#N/A</v>
      </c>
      <c r="AP126" s="39" t="e">
        <f>VLOOKUP($D126,'May FF'!$B$2:$E$201,4,0)</f>
        <v>#N/A</v>
      </c>
      <c r="AQ126" s="160"/>
      <c r="AR126" s="37">
        <v>15</v>
      </c>
      <c r="AS126" s="46">
        <v>1</v>
      </c>
      <c r="AT126" s="70">
        <f>AR126*AS126</f>
        <v>15</v>
      </c>
      <c r="AU126" s="48"/>
      <c r="AV126" s="49"/>
      <c r="AW126" s="48"/>
      <c r="AY126" s="37">
        <v>15</v>
      </c>
      <c r="AZ126" s="46">
        <v>1</v>
      </c>
      <c r="BA126" s="37">
        <f>AY126*AZ126</f>
        <v>15</v>
      </c>
      <c r="BB126" s="39">
        <f>BA126-AT126</f>
        <v>0</v>
      </c>
      <c r="BC126" s="50"/>
      <c r="BE126" s="37">
        <v>26.28</v>
      </c>
      <c r="BF126" s="46">
        <v>1</v>
      </c>
      <c r="BG126" s="37">
        <f>BE126*BF126</f>
        <v>26.28</v>
      </c>
      <c r="BH126" s="37"/>
      <c r="BI126" s="39">
        <f>BG126-BA126</f>
        <v>11.280000000000001</v>
      </c>
      <c r="BJ126" s="39"/>
      <c r="BK126" s="50"/>
      <c r="BM126" s="37">
        <v>26.28</v>
      </c>
      <c r="BN126" s="46">
        <v>1</v>
      </c>
      <c r="BO126" s="37">
        <f>BM126*BN126</f>
        <v>26.28</v>
      </c>
      <c r="BP126" s="37">
        <v>26</v>
      </c>
      <c r="BQ126" s="92">
        <f>BO126-BA126</f>
        <v>11.280000000000001</v>
      </c>
      <c r="BR126" s="34" t="s">
        <v>106</v>
      </c>
      <c r="BS126" s="50"/>
      <c r="BU126" s="37">
        <v>26.28</v>
      </c>
      <c r="BV126" s="46">
        <v>1</v>
      </c>
      <c r="BW126" s="118">
        <f>BU126*BV126</f>
        <v>26.28</v>
      </c>
      <c r="BX126" s="118">
        <f>BW126-BO126</f>
        <v>0</v>
      </c>
      <c r="BY126" s="50"/>
      <c r="CA126" s="37">
        <v>2.73</v>
      </c>
      <c r="CB126" s="46">
        <v>1</v>
      </c>
      <c r="CC126" s="118">
        <f t="shared" ref="CC126:CC132" si="106">CA126*CB126</f>
        <v>2.73</v>
      </c>
      <c r="CD126" s="118"/>
      <c r="CE126" s="92">
        <f t="shared" ref="CE126:CE132" si="107">CC126-BW126</f>
        <v>-23.55</v>
      </c>
      <c r="CF126" s="92">
        <f t="shared" ref="CF126:CF132" si="108">CC126-BO126</f>
        <v>-23.55</v>
      </c>
      <c r="CG126" s="50"/>
      <c r="CI126" s="163">
        <v>2.73</v>
      </c>
      <c r="CJ126" s="164">
        <v>1</v>
      </c>
      <c r="CK126" s="165">
        <f t="shared" ref="CK126:CK131" si="109">CI126*CJ126</f>
        <v>2.73</v>
      </c>
      <c r="CL126" s="92">
        <f t="shared" ref="CL126:CL157" si="110">CK126-CC126</f>
        <v>0</v>
      </c>
      <c r="CM126" s="50"/>
      <c r="CN126" s="139"/>
      <c r="CO126" s="163">
        <v>2.73</v>
      </c>
      <c r="CP126" s="164">
        <v>1</v>
      </c>
      <c r="CQ126" s="165">
        <f t="shared" ref="CQ126:CQ160" si="111">CO126*CP126</f>
        <v>2.73</v>
      </c>
      <c r="CR126" s="168">
        <f t="shared" ref="CR126:CR157" si="112">CQ126-CK126</f>
        <v>0</v>
      </c>
      <c r="CT126" s="139"/>
      <c r="CU126" s="163">
        <v>2.73</v>
      </c>
      <c r="CV126" s="164">
        <v>1</v>
      </c>
      <c r="CW126" s="165">
        <f t="shared" ref="CW126:CW160" si="113">CU126*CV126</f>
        <v>2.73</v>
      </c>
      <c r="CX126" s="163">
        <v>2.73</v>
      </c>
      <c r="CY126" s="164">
        <v>1</v>
      </c>
      <c r="CZ126" s="165">
        <f t="shared" ref="CZ126:CZ160" si="114">CX126*CY126</f>
        <v>2.73</v>
      </c>
      <c r="DA126" s="168">
        <f>CZ126-CQ126</f>
        <v>0</v>
      </c>
      <c r="DB126" s="168">
        <f>CZ126-CW126</f>
        <v>0</v>
      </c>
      <c r="DC126" s="168"/>
      <c r="DF126" s="163">
        <v>2.73</v>
      </c>
      <c r="DG126" s="164">
        <v>1</v>
      </c>
      <c r="DH126" s="165">
        <f t="shared" si="91"/>
        <v>2.73</v>
      </c>
      <c r="DI126" s="168">
        <f t="shared" si="69"/>
        <v>0</v>
      </c>
      <c r="DJ126" s="168">
        <f t="shared" si="70"/>
        <v>0</v>
      </c>
      <c r="DK126" s="168"/>
      <c r="DL126" s="168"/>
      <c r="DM126" s="201">
        <f>SUM(DO126:DS126)</f>
        <v>2.73</v>
      </c>
      <c r="DN126" s="168">
        <f t="shared" si="92"/>
        <v>2.73</v>
      </c>
      <c r="DO126" s="165">
        <v>2.73</v>
      </c>
      <c r="DP126" s="165">
        <v>0</v>
      </c>
      <c r="DQ126" s="165">
        <v>0</v>
      </c>
      <c r="DR126" s="165">
        <v>0</v>
      </c>
      <c r="DS126" s="165">
        <v>0</v>
      </c>
      <c r="DT126" s="165">
        <v>0</v>
      </c>
      <c r="DU126" s="165">
        <v>0</v>
      </c>
      <c r="DV126" s="165">
        <v>0</v>
      </c>
      <c r="DW126" s="165">
        <v>0</v>
      </c>
      <c r="DX126" s="165">
        <v>0</v>
      </c>
      <c r="DY126" s="165">
        <v>0</v>
      </c>
      <c r="DZ126" s="165">
        <v>0</v>
      </c>
      <c r="EA126" s="168"/>
    </row>
    <row r="127" spans="1:131" s="50" customFormat="1" ht="16.25" hidden="1" customHeight="1" x14ac:dyDescent="0.35">
      <c r="A127" s="36" t="s">
        <v>97</v>
      </c>
      <c r="B127" s="36" t="s">
        <v>580</v>
      </c>
      <c r="C127" s="36" t="s">
        <v>172</v>
      </c>
      <c r="D127" s="36" t="s">
        <v>581</v>
      </c>
      <c r="E127" s="38" t="s">
        <v>582</v>
      </c>
      <c r="F127" s="38" t="s">
        <v>175</v>
      </c>
      <c r="G127" s="32" t="s">
        <v>263</v>
      </c>
      <c r="H127" s="36"/>
      <c r="I127" s="38"/>
      <c r="J127" s="38"/>
      <c r="K127" s="38"/>
      <c r="L127" s="38"/>
      <c r="M127" s="36"/>
      <c r="N127" s="36"/>
      <c r="O127" s="38"/>
      <c r="P127" s="36" t="s">
        <v>361</v>
      </c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36"/>
      <c r="AD127" s="37"/>
      <c r="AE127" s="37"/>
      <c r="AF127" s="46"/>
      <c r="AG127" s="46"/>
      <c r="AH127" s="34"/>
      <c r="AI127" s="34"/>
      <c r="AJ127" s="37"/>
      <c r="AK127" s="46"/>
      <c r="AL127" s="47"/>
      <c r="AM127" s="47"/>
      <c r="AN127" s="39"/>
      <c r="AO127" s="97"/>
      <c r="AP127" s="39"/>
      <c r="AQ127" s="45"/>
      <c r="AR127" s="45"/>
      <c r="AS127" s="46"/>
      <c r="AT127" s="45"/>
      <c r="AU127" s="48"/>
      <c r="AV127" s="49"/>
      <c r="AW127" s="48"/>
      <c r="AX127" s="34"/>
      <c r="AY127" s="45"/>
      <c r="AZ127" s="46"/>
      <c r="BA127" s="45"/>
      <c r="BB127" s="39"/>
      <c r="BD127" s="34"/>
      <c r="BE127" s="45"/>
      <c r="BF127" s="46"/>
      <c r="BG127" s="45"/>
      <c r="BH127" s="45"/>
      <c r="BI127" s="39"/>
      <c r="BJ127" s="39"/>
      <c r="BL127" s="34"/>
      <c r="BM127" s="45"/>
      <c r="BN127" s="46"/>
      <c r="BO127" s="45"/>
      <c r="BP127" s="45"/>
      <c r="BQ127" s="92"/>
      <c r="BR127" s="59"/>
      <c r="BT127" s="34"/>
      <c r="BU127" s="45"/>
      <c r="BV127" s="46"/>
      <c r="BW127" s="118"/>
      <c r="BX127" s="118"/>
      <c r="BZ127" s="34"/>
      <c r="CA127" s="45">
        <v>300</v>
      </c>
      <c r="CB127" s="46">
        <v>1</v>
      </c>
      <c r="CC127" s="118">
        <f t="shared" si="106"/>
        <v>300</v>
      </c>
      <c r="CD127" s="118"/>
      <c r="CE127" s="92">
        <f t="shared" si="107"/>
        <v>300</v>
      </c>
      <c r="CF127" s="92">
        <f t="shared" si="108"/>
        <v>300</v>
      </c>
      <c r="CH127" s="34"/>
      <c r="CI127" s="45">
        <v>300</v>
      </c>
      <c r="CJ127" s="46">
        <v>1</v>
      </c>
      <c r="CK127" s="118">
        <f t="shared" si="109"/>
        <v>300</v>
      </c>
      <c r="CL127" s="118">
        <f t="shared" si="110"/>
        <v>0</v>
      </c>
      <c r="CM127" s="34"/>
      <c r="CN127" s="17"/>
      <c r="CO127" s="45">
        <v>300</v>
      </c>
      <c r="CP127" s="46">
        <v>1</v>
      </c>
      <c r="CQ127" s="118">
        <f t="shared" si="111"/>
        <v>300</v>
      </c>
      <c r="CR127" s="92">
        <f t="shared" si="112"/>
        <v>0</v>
      </c>
      <c r="CS127" s="91"/>
      <c r="CT127" s="17"/>
      <c r="CU127" s="45">
        <v>0</v>
      </c>
      <c r="CV127" s="46">
        <v>1</v>
      </c>
      <c r="CW127" s="118">
        <f t="shared" si="113"/>
        <v>0</v>
      </c>
      <c r="CX127" s="45">
        <v>0</v>
      </c>
      <c r="CY127" s="46">
        <v>1</v>
      </c>
      <c r="CZ127" s="118">
        <f t="shared" si="114"/>
        <v>0</v>
      </c>
      <c r="DA127" s="92">
        <f>CW127-CQ127</f>
        <v>-300</v>
      </c>
      <c r="DB127" s="92"/>
      <c r="DC127" s="92"/>
      <c r="DD127" s="91"/>
      <c r="DE127" s="91"/>
      <c r="DF127" s="45">
        <v>0</v>
      </c>
      <c r="DG127" s="46">
        <v>1</v>
      </c>
      <c r="DH127" s="118">
        <f t="shared" si="91"/>
        <v>0</v>
      </c>
      <c r="DI127" s="168">
        <f t="shared" si="69"/>
        <v>0</v>
      </c>
      <c r="DJ127" s="168">
        <f t="shared" si="70"/>
        <v>0</v>
      </c>
      <c r="DK127" s="91"/>
      <c r="DL127" s="91"/>
      <c r="DM127" s="91"/>
      <c r="DN127" s="92">
        <f t="shared" si="92"/>
        <v>0</v>
      </c>
    </row>
    <row r="128" spans="1:131" s="50" customFormat="1" ht="16.25" hidden="1" customHeight="1" x14ac:dyDescent="0.35">
      <c r="A128" s="36" t="s">
        <v>97</v>
      </c>
      <c r="B128" s="36" t="s">
        <v>580</v>
      </c>
      <c r="C128" s="36" t="s">
        <v>20</v>
      </c>
      <c r="D128" s="36" t="s">
        <v>193</v>
      </c>
      <c r="E128" s="38" t="s">
        <v>583</v>
      </c>
      <c r="F128" s="38" t="s">
        <v>223</v>
      </c>
      <c r="G128" s="32" t="s">
        <v>263</v>
      </c>
      <c r="H128" s="32"/>
      <c r="I128" s="38"/>
      <c r="J128" s="33"/>
      <c r="K128" s="36"/>
      <c r="L128" s="36"/>
      <c r="M128" s="36"/>
      <c r="N128" s="36"/>
      <c r="O128" s="33"/>
      <c r="P128" s="36" t="s">
        <v>361</v>
      </c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36"/>
      <c r="AD128" s="37"/>
      <c r="AE128" s="37"/>
      <c r="AF128" s="37"/>
      <c r="AG128" s="37"/>
      <c r="AH128" s="34"/>
      <c r="AI128" s="34"/>
      <c r="AJ128" s="37"/>
      <c r="AK128" s="46"/>
      <c r="AL128" s="47"/>
      <c r="AM128" s="47"/>
      <c r="AN128" s="39"/>
      <c r="AO128" s="97"/>
      <c r="AP128" s="39"/>
      <c r="AQ128" s="45"/>
      <c r="AR128" s="45"/>
      <c r="AS128" s="46"/>
      <c r="AT128" s="37"/>
      <c r="AU128" s="48"/>
      <c r="AV128" s="49"/>
      <c r="AW128" s="48"/>
      <c r="AX128" s="34"/>
      <c r="AY128" s="45"/>
      <c r="AZ128" s="46"/>
      <c r="BA128" s="37"/>
      <c r="BB128" s="37"/>
      <c r="BD128" s="34"/>
      <c r="BE128" s="45"/>
      <c r="BF128" s="46"/>
      <c r="BG128" s="37"/>
      <c r="BH128" s="37"/>
      <c r="BI128" s="39"/>
      <c r="BJ128" s="39"/>
      <c r="BL128" s="34"/>
      <c r="BM128" s="45"/>
      <c r="BN128" s="120"/>
      <c r="BO128" s="37"/>
      <c r="BP128" s="37"/>
      <c r="BQ128" s="92"/>
      <c r="BR128" s="59"/>
      <c r="BT128" s="34"/>
      <c r="BU128" s="45"/>
      <c r="BV128" s="120"/>
      <c r="BW128" s="92"/>
      <c r="BX128" s="118"/>
      <c r="BZ128" s="34"/>
      <c r="CA128" s="45">
        <v>350</v>
      </c>
      <c r="CB128" s="120">
        <v>1</v>
      </c>
      <c r="CC128" s="118">
        <f t="shared" si="106"/>
        <v>350</v>
      </c>
      <c r="CD128" s="118"/>
      <c r="CE128" s="92">
        <f t="shared" si="107"/>
        <v>350</v>
      </c>
      <c r="CF128" s="92">
        <f t="shared" si="108"/>
        <v>350</v>
      </c>
      <c r="CH128" s="34"/>
      <c r="CI128" s="45">
        <v>350</v>
      </c>
      <c r="CJ128" s="120">
        <v>1</v>
      </c>
      <c r="CK128" s="118">
        <f t="shared" si="109"/>
        <v>350</v>
      </c>
      <c r="CL128" s="118">
        <f t="shared" si="110"/>
        <v>0</v>
      </c>
      <c r="CM128" s="34"/>
      <c r="CN128" s="17"/>
      <c r="CO128" s="45">
        <v>350</v>
      </c>
      <c r="CP128" s="120">
        <v>1</v>
      </c>
      <c r="CQ128" s="118">
        <f t="shared" si="111"/>
        <v>350</v>
      </c>
      <c r="CR128" s="92">
        <f t="shared" si="112"/>
        <v>0</v>
      </c>
      <c r="CS128" s="91"/>
      <c r="CT128" s="17"/>
      <c r="CU128" s="45">
        <v>0</v>
      </c>
      <c r="CV128" s="120">
        <v>0</v>
      </c>
      <c r="CW128" s="118">
        <f t="shared" si="113"/>
        <v>0</v>
      </c>
      <c r="CX128" s="45">
        <v>0</v>
      </c>
      <c r="CY128" s="120">
        <v>0</v>
      </c>
      <c r="CZ128" s="118">
        <f t="shared" si="114"/>
        <v>0</v>
      </c>
      <c r="DA128" s="92">
        <f>CW128-CQ128</f>
        <v>-350</v>
      </c>
      <c r="DB128" s="92"/>
      <c r="DC128" s="92"/>
      <c r="DD128" s="91"/>
      <c r="DE128" s="91"/>
      <c r="DF128" s="45">
        <v>0</v>
      </c>
      <c r="DG128" s="120">
        <v>0</v>
      </c>
      <c r="DH128" s="118">
        <f t="shared" si="91"/>
        <v>0</v>
      </c>
      <c r="DI128" s="168">
        <f t="shared" si="69"/>
        <v>0</v>
      </c>
      <c r="DJ128" s="168">
        <f t="shared" si="70"/>
        <v>0</v>
      </c>
      <c r="DK128" s="91"/>
      <c r="DL128" s="91"/>
      <c r="DM128" s="91"/>
      <c r="DN128" s="92">
        <f t="shared" si="92"/>
        <v>0</v>
      </c>
    </row>
    <row r="129" spans="1:131" s="91" customFormat="1" ht="16.25" hidden="1" customHeight="1" x14ac:dyDescent="0.4">
      <c r="A129" s="32" t="s">
        <v>97</v>
      </c>
      <c r="B129" s="32" t="s">
        <v>584</v>
      </c>
      <c r="C129" s="32" t="s">
        <v>20</v>
      </c>
      <c r="D129" s="16" t="s">
        <v>590</v>
      </c>
      <c r="E129" s="87" t="s">
        <v>591</v>
      </c>
      <c r="F129" s="87" t="s">
        <v>110</v>
      </c>
      <c r="G129" s="32" t="s">
        <v>101</v>
      </c>
      <c r="H129" s="32" t="s">
        <v>102</v>
      </c>
      <c r="I129" s="16" t="s">
        <v>103</v>
      </c>
      <c r="J129" s="33"/>
      <c r="K129" s="36"/>
      <c r="L129" s="36"/>
      <c r="M129" s="36"/>
      <c r="N129" s="36"/>
      <c r="O129" s="33" t="s">
        <v>103</v>
      </c>
      <c r="P129" s="32" t="s">
        <v>111</v>
      </c>
      <c r="Q129" s="129">
        <f t="shared" ref="Q129:Q134" si="115">CZ129</f>
        <v>10.488</v>
      </c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32"/>
      <c r="AD129" s="57">
        <v>650</v>
      </c>
      <c r="AE129" s="58">
        <f>8388000/14235</f>
        <v>589.25184404636457</v>
      </c>
      <c r="AF129" s="37"/>
      <c r="AG129" s="37"/>
      <c r="AH129" s="158"/>
      <c r="AI129" s="158"/>
      <c r="AJ129" s="37">
        <v>666</v>
      </c>
      <c r="AK129" s="46">
        <v>0.9</v>
      </c>
      <c r="AL129" s="47">
        <v>613</v>
      </c>
      <c r="AM129" s="162"/>
      <c r="AN129" s="39" t="e">
        <f>VLOOKUP(D129,'May FF'!B$2:E$201,2,0)</f>
        <v>#N/A</v>
      </c>
      <c r="AO129" s="97" t="e">
        <f>VLOOKUP(D129,'May FF'!B69:E268,3,0)</f>
        <v>#N/A</v>
      </c>
      <c r="AP129" s="39" t="e">
        <f>VLOOKUP($D129,'May FF'!$B$2:$E$201,4,0)</f>
        <v>#N/A</v>
      </c>
      <c r="AQ129" s="160"/>
      <c r="AR129" s="37">
        <v>30</v>
      </c>
      <c r="AS129" s="46">
        <v>1</v>
      </c>
      <c r="AT129" s="70">
        <f>AR129*AS129</f>
        <v>30</v>
      </c>
      <c r="AU129" s="48"/>
      <c r="AV129" s="49">
        <f>AU129*AS129</f>
        <v>0</v>
      </c>
      <c r="AW129" s="48"/>
      <c r="AY129" s="37">
        <v>30</v>
      </c>
      <c r="AZ129" s="46">
        <v>1</v>
      </c>
      <c r="BA129" s="37">
        <f>AY129*AZ129</f>
        <v>30</v>
      </c>
      <c r="BB129" s="39">
        <f>BA129-AT129</f>
        <v>0</v>
      </c>
      <c r="BC129" s="50"/>
      <c r="BE129" s="37">
        <v>0</v>
      </c>
      <c r="BF129" s="46">
        <v>1</v>
      </c>
      <c r="BG129" s="37">
        <f>BE129*BF129</f>
        <v>0</v>
      </c>
      <c r="BH129" s="37"/>
      <c r="BI129" s="39">
        <f>BG129-BA129</f>
        <v>-30</v>
      </c>
      <c r="BJ129" s="39"/>
      <c r="BK129" s="50"/>
      <c r="BM129" s="37">
        <v>16</v>
      </c>
      <c r="BN129" s="46">
        <v>1</v>
      </c>
      <c r="BO129" s="37">
        <f>BM129*BN129</f>
        <v>16</v>
      </c>
      <c r="BP129" s="37">
        <v>15.6</v>
      </c>
      <c r="BQ129" s="92">
        <f>BO129-BA129</f>
        <v>-14</v>
      </c>
      <c r="BR129" s="34" t="s">
        <v>106</v>
      </c>
      <c r="BS129" s="50"/>
      <c r="BU129" s="37">
        <v>10.805</v>
      </c>
      <c r="BV129" s="46">
        <v>1</v>
      </c>
      <c r="BW129" s="118">
        <f>BU129*BV129</f>
        <v>10.805</v>
      </c>
      <c r="BX129" s="118">
        <f>BW129-BO129</f>
        <v>-5.1950000000000003</v>
      </c>
      <c r="BY129" s="50"/>
      <c r="CA129" s="37">
        <v>8.7850000000000001</v>
      </c>
      <c r="CB129" s="46">
        <v>1</v>
      </c>
      <c r="CC129" s="118">
        <f t="shared" si="106"/>
        <v>8.7850000000000001</v>
      </c>
      <c r="CD129" s="118"/>
      <c r="CE129" s="92">
        <f t="shared" si="107"/>
        <v>-2.0199999999999996</v>
      </c>
      <c r="CF129" s="92">
        <f t="shared" si="108"/>
        <v>-7.2149999999999999</v>
      </c>
      <c r="CG129" s="50"/>
      <c r="CI129" s="163">
        <v>8.8960000000000008</v>
      </c>
      <c r="CJ129" s="164">
        <v>1</v>
      </c>
      <c r="CK129" s="165">
        <f t="shared" si="109"/>
        <v>8.8960000000000008</v>
      </c>
      <c r="CL129" s="92">
        <f t="shared" si="110"/>
        <v>0.11100000000000065</v>
      </c>
      <c r="CM129" s="50"/>
      <c r="CN129" s="139"/>
      <c r="CO129" s="163">
        <v>9.2929999999999993</v>
      </c>
      <c r="CP129" s="164">
        <v>1</v>
      </c>
      <c r="CQ129" s="165">
        <f t="shared" si="111"/>
        <v>9.2929999999999993</v>
      </c>
      <c r="CR129" s="168">
        <f t="shared" si="112"/>
        <v>0.39699999999999847</v>
      </c>
      <c r="CT129" s="139"/>
      <c r="CU129" s="163">
        <v>9.2929999999999993</v>
      </c>
      <c r="CV129" s="164">
        <v>1</v>
      </c>
      <c r="CW129" s="165">
        <f t="shared" si="113"/>
        <v>9.2929999999999993</v>
      </c>
      <c r="CX129" s="163">
        <v>10.488</v>
      </c>
      <c r="CY129" s="164">
        <v>1</v>
      </c>
      <c r="CZ129" s="165">
        <f t="shared" si="114"/>
        <v>10.488</v>
      </c>
      <c r="DA129" s="168">
        <f t="shared" ref="DA129:DA142" si="116">CZ129-CQ129</f>
        <v>1.1950000000000003</v>
      </c>
      <c r="DB129" s="168">
        <f t="shared" ref="DB129:DB142" si="117">CZ129-CW129</f>
        <v>1.1950000000000003</v>
      </c>
      <c r="DC129" s="168"/>
      <c r="DF129" s="163">
        <v>3.2430000000000003</v>
      </c>
      <c r="DG129" s="164">
        <v>1</v>
      </c>
      <c r="DH129" s="165">
        <f t="shared" si="91"/>
        <v>3.2430000000000003</v>
      </c>
      <c r="DI129" s="168">
        <f t="shared" si="69"/>
        <v>-7.2449999999999992</v>
      </c>
      <c r="DJ129" s="168">
        <f t="shared" si="70"/>
        <v>-6.0499999999999989</v>
      </c>
      <c r="DK129" s="168"/>
      <c r="DL129" s="168"/>
      <c r="DM129" s="201">
        <f t="shared" ref="DM129:DM142" si="118">SUM(DO129:DS129)</f>
        <v>3.2430000000000003</v>
      </c>
      <c r="DN129" s="168">
        <f t="shared" si="92"/>
        <v>3.2430000000000003</v>
      </c>
      <c r="DO129" s="165">
        <v>1.651</v>
      </c>
      <c r="DP129" s="165">
        <v>0</v>
      </c>
      <c r="DQ129" s="165">
        <v>0.39700000000000002</v>
      </c>
      <c r="DR129" s="165">
        <v>1.1950000000000001</v>
      </c>
      <c r="DS129" s="165">
        <v>0</v>
      </c>
      <c r="DT129" s="165">
        <v>0</v>
      </c>
      <c r="DU129" s="165">
        <v>0</v>
      </c>
      <c r="DV129" s="165">
        <v>0</v>
      </c>
      <c r="DW129" s="165">
        <v>0</v>
      </c>
      <c r="DX129" s="165">
        <v>0</v>
      </c>
      <c r="DY129" s="165">
        <v>0</v>
      </c>
      <c r="DZ129" s="165">
        <v>0</v>
      </c>
      <c r="EA129" s="168"/>
    </row>
    <row r="130" spans="1:131" s="91" customFormat="1" ht="16.25" hidden="1" customHeight="1" x14ac:dyDescent="0.4">
      <c r="A130" s="32" t="s">
        <v>97</v>
      </c>
      <c r="B130" s="32" t="s">
        <v>584</v>
      </c>
      <c r="C130" s="32" t="s">
        <v>20</v>
      </c>
      <c r="D130" s="32" t="s">
        <v>592</v>
      </c>
      <c r="E130" s="87" t="s">
        <v>593</v>
      </c>
      <c r="F130" s="87" t="s">
        <v>114</v>
      </c>
      <c r="G130" s="32" t="s">
        <v>101</v>
      </c>
      <c r="H130" s="32" t="s">
        <v>102</v>
      </c>
      <c r="I130" s="16" t="s">
        <v>103</v>
      </c>
      <c r="J130" s="35" t="s">
        <v>594</v>
      </c>
      <c r="K130" s="36"/>
      <c r="L130" s="36"/>
      <c r="M130" s="36" t="s">
        <v>201</v>
      </c>
      <c r="N130" s="36"/>
      <c r="O130" s="33" t="s">
        <v>103</v>
      </c>
      <c r="P130" s="32" t="s">
        <v>111</v>
      </c>
      <c r="Q130" s="129">
        <f t="shared" si="115"/>
        <v>164.37900000000002</v>
      </c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32"/>
      <c r="AD130" s="37">
        <v>2500</v>
      </c>
      <c r="AE130" s="37">
        <v>2300</v>
      </c>
      <c r="AF130" s="37"/>
      <c r="AG130" s="37"/>
      <c r="AH130" s="158"/>
      <c r="AI130" s="158"/>
      <c r="AJ130" s="37">
        <v>2043</v>
      </c>
      <c r="AK130" s="46">
        <v>1</v>
      </c>
      <c r="AL130" s="47">
        <f>AJ130*AK130</f>
        <v>2043</v>
      </c>
      <c r="AM130" s="162"/>
      <c r="AN130" s="39" t="e">
        <f>VLOOKUP(D130,'May FF'!B$2:E$201,2,0)</f>
        <v>#N/A</v>
      </c>
      <c r="AO130" s="97" t="e">
        <f>VLOOKUP(D130,'May FF'!B70:E269,3,0)</f>
        <v>#N/A</v>
      </c>
      <c r="AP130" s="39" t="e">
        <f>VLOOKUP($D130,'May FF'!$B$2:$E$201,4,0)</f>
        <v>#N/A</v>
      </c>
      <c r="AQ130" s="160"/>
      <c r="AR130" s="37">
        <v>300</v>
      </c>
      <c r="AS130" s="46">
        <v>0.9</v>
      </c>
      <c r="AT130" s="37">
        <f>AR130*AS130</f>
        <v>270</v>
      </c>
      <c r="AU130" s="48"/>
      <c r="AV130" s="49">
        <f>AU130*AS130</f>
        <v>0</v>
      </c>
      <c r="AW130" s="48"/>
      <c r="AY130" s="37">
        <v>300</v>
      </c>
      <c r="AZ130" s="46">
        <v>0.9</v>
      </c>
      <c r="BA130" s="37">
        <f>AY130*AZ130</f>
        <v>270</v>
      </c>
      <c r="BB130" s="39">
        <f>BA130-AT130</f>
        <v>0</v>
      </c>
      <c r="BC130" s="50"/>
      <c r="BE130" s="37">
        <v>250</v>
      </c>
      <c r="BF130" s="46">
        <v>1</v>
      </c>
      <c r="BG130" s="37">
        <f>BE130*BF130</f>
        <v>250</v>
      </c>
      <c r="BH130" s="37"/>
      <c r="BI130" s="39">
        <f>BG130-BA130</f>
        <v>-20</v>
      </c>
      <c r="BJ130" s="39"/>
      <c r="BK130" s="50"/>
      <c r="BM130" s="37">
        <v>258</v>
      </c>
      <c r="BN130" s="46">
        <v>1</v>
      </c>
      <c r="BO130" s="37">
        <f>BM130*BN130</f>
        <v>258</v>
      </c>
      <c r="BP130" s="37">
        <v>258</v>
      </c>
      <c r="BQ130" s="92">
        <f>BO130-BA130</f>
        <v>-12</v>
      </c>
      <c r="BR130" s="34" t="s">
        <v>106</v>
      </c>
      <c r="BS130" s="50"/>
      <c r="BU130" s="37">
        <v>180.2</v>
      </c>
      <c r="BV130" s="46">
        <v>1</v>
      </c>
      <c r="BW130" s="118">
        <f>BU130*BV130</f>
        <v>180.2</v>
      </c>
      <c r="BX130" s="118">
        <f>BW130-BO130</f>
        <v>-77.800000000000011</v>
      </c>
      <c r="BY130" s="50"/>
      <c r="CA130" s="37">
        <v>178.75200000000001</v>
      </c>
      <c r="CB130" s="46">
        <v>1</v>
      </c>
      <c r="CC130" s="118">
        <f t="shared" si="106"/>
        <v>178.75200000000001</v>
      </c>
      <c r="CD130" s="118"/>
      <c r="CE130" s="92">
        <f t="shared" si="107"/>
        <v>-1.4479999999999791</v>
      </c>
      <c r="CF130" s="92">
        <f t="shared" si="108"/>
        <v>-79.24799999999999</v>
      </c>
      <c r="CG130" s="50" t="s">
        <v>595</v>
      </c>
      <c r="CI130" s="163">
        <v>178.75200000000001</v>
      </c>
      <c r="CJ130" s="164">
        <v>1</v>
      </c>
      <c r="CK130" s="165">
        <f t="shared" si="109"/>
        <v>178.75200000000001</v>
      </c>
      <c r="CL130" s="92">
        <f t="shared" si="110"/>
        <v>0</v>
      </c>
      <c r="CM130" s="50" t="s">
        <v>595</v>
      </c>
      <c r="CN130" s="139"/>
      <c r="CO130" s="163">
        <v>201.30799999999999</v>
      </c>
      <c r="CP130" s="164">
        <v>1</v>
      </c>
      <c r="CQ130" s="165">
        <f t="shared" si="111"/>
        <v>201.30799999999999</v>
      </c>
      <c r="CR130" s="168">
        <f t="shared" si="112"/>
        <v>22.555999999999983</v>
      </c>
      <c r="CT130" s="139"/>
      <c r="CU130" s="163">
        <v>201.30799999999999</v>
      </c>
      <c r="CV130" s="164">
        <v>1</v>
      </c>
      <c r="CW130" s="165">
        <f t="shared" si="113"/>
        <v>201.30799999999999</v>
      </c>
      <c r="CX130" s="163">
        <v>164.37900000000002</v>
      </c>
      <c r="CY130" s="164">
        <v>1</v>
      </c>
      <c r="CZ130" s="165">
        <f t="shared" si="114"/>
        <v>164.37900000000002</v>
      </c>
      <c r="DA130" s="168">
        <f t="shared" si="116"/>
        <v>-36.928999999999974</v>
      </c>
      <c r="DB130" s="186">
        <f t="shared" si="117"/>
        <v>-36.928999999999974</v>
      </c>
      <c r="DC130" s="186"/>
      <c r="DD130" s="91" t="s">
        <v>521</v>
      </c>
      <c r="DF130" s="163">
        <v>185.786</v>
      </c>
      <c r="DG130" s="164">
        <v>1</v>
      </c>
      <c r="DH130" s="165">
        <f t="shared" si="91"/>
        <v>185.786</v>
      </c>
      <c r="DI130" s="168">
        <f t="shared" si="69"/>
        <v>21.406999999999982</v>
      </c>
      <c r="DJ130" s="168">
        <f t="shared" si="70"/>
        <v>-15.521999999999991</v>
      </c>
      <c r="DK130" s="168"/>
      <c r="DL130" s="168"/>
      <c r="DM130" s="201">
        <f t="shared" si="118"/>
        <v>51.786000000000001</v>
      </c>
      <c r="DN130" s="168">
        <f t="shared" si="92"/>
        <v>185.786</v>
      </c>
      <c r="DO130" s="165">
        <v>4.0469999999999997</v>
      </c>
      <c r="DP130" s="165">
        <v>2.0920000000000001</v>
      </c>
      <c r="DQ130" s="165">
        <v>36.268999999999998</v>
      </c>
      <c r="DR130" s="165">
        <v>-21.116</v>
      </c>
      <c r="DS130" s="165">
        <v>30.494</v>
      </c>
      <c r="DT130" s="165">
        <v>19</v>
      </c>
      <c r="DU130" s="165">
        <v>31</v>
      </c>
      <c r="DV130" s="165">
        <v>20</v>
      </c>
      <c r="DW130" s="165">
        <v>23</v>
      </c>
      <c r="DX130" s="165">
        <v>20</v>
      </c>
      <c r="DY130" s="165">
        <v>0</v>
      </c>
      <c r="DZ130" s="165">
        <v>21</v>
      </c>
      <c r="EA130" s="168"/>
    </row>
    <row r="131" spans="1:131" s="91" customFormat="1" ht="16.25" hidden="1" customHeight="1" x14ac:dyDescent="0.4">
      <c r="A131" s="32" t="s">
        <v>97</v>
      </c>
      <c r="B131" s="32" t="s">
        <v>584</v>
      </c>
      <c r="C131" s="32" t="s">
        <v>20</v>
      </c>
      <c r="D131" s="32" t="s">
        <v>596</v>
      </c>
      <c r="E131" s="87" t="s">
        <v>597</v>
      </c>
      <c r="F131" s="87" t="s">
        <v>114</v>
      </c>
      <c r="G131" s="32" t="s">
        <v>101</v>
      </c>
      <c r="H131" s="32" t="s">
        <v>102</v>
      </c>
      <c r="I131" s="16" t="s">
        <v>103</v>
      </c>
      <c r="J131" s="33" t="s">
        <v>598</v>
      </c>
      <c r="K131" s="36"/>
      <c r="L131" s="36"/>
      <c r="M131" s="36" t="s">
        <v>599</v>
      </c>
      <c r="N131" s="36"/>
      <c r="O131" s="33" t="s">
        <v>103</v>
      </c>
      <c r="P131" s="32" t="s">
        <v>111</v>
      </c>
      <c r="Q131" s="129">
        <f t="shared" si="115"/>
        <v>299.30100000000004</v>
      </c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32"/>
      <c r="AD131" s="37">
        <v>600</v>
      </c>
      <c r="AE131" s="37">
        <v>540</v>
      </c>
      <c r="AF131" s="37"/>
      <c r="AG131" s="37"/>
      <c r="AH131" s="158"/>
      <c r="AI131" s="158"/>
      <c r="AJ131" s="37">
        <v>223.53399999999999</v>
      </c>
      <c r="AK131" s="46">
        <v>1</v>
      </c>
      <c r="AL131" s="47">
        <f>AJ131*AK131</f>
        <v>223.53399999999999</v>
      </c>
      <c r="AM131" s="162"/>
      <c r="AN131" s="39" t="e">
        <f>VLOOKUP(D131,'May FF'!B$2:E$201,2,0)</f>
        <v>#N/A</v>
      </c>
      <c r="AO131" s="97" t="e">
        <f>VLOOKUP(D131,'May FF'!B71:E270,3,0)</f>
        <v>#N/A</v>
      </c>
      <c r="AP131" s="39" t="e">
        <f>VLOOKUP($D131,'May FF'!$B$2:$E$201,4,0)</f>
        <v>#N/A</v>
      </c>
      <c r="AQ131" s="160"/>
      <c r="AR131" s="45">
        <f>530-AL131</f>
        <v>306.46600000000001</v>
      </c>
      <c r="AS131" s="46">
        <v>0.9</v>
      </c>
      <c r="AT131" s="37">
        <f>AR131*AS131</f>
        <v>275.81940000000003</v>
      </c>
      <c r="AU131" s="48"/>
      <c r="AV131" s="49">
        <f>AU131*AS131</f>
        <v>0</v>
      </c>
      <c r="AW131" s="48"/>
      <c r="AY131" s="45">
        <v>242</v>
      </c>
      <c r="AZ131" s="46">
        <v>0.9</v>
      </c>
      <c r="BA131" s="37">
        <f>AY131*AZ131</f>
        <v>217.8</v>
      </c>
      <c r="BB131" s="39">
        <f>BA131-AT131</f>
        <v>-58.019400000000019</v>
      </c>
      <c r="BC131" s="50"/>
      <c r="BE131" s="45">
        <f>600-224</f>
        <v>376</v>
      </c>
      <c r="BF131" s="52">
        <v>0.9</v>
      </c>
      <c r="BG131" s="37">
        <f>BE131*BF131</f>
        <v>338.40000000000003</v>
      </c>
      <c r="BH131" s="37"/>
      <c r="BI131" s="39">
        <f>BG131-BA131</f>
        <v>120.60000000000002</v>
      </c>
      <c r="BJ131" s="39"/>
      <c r="BK131" s="50"/>
      <c r="BL131" s="139"/>
      <c r="BM131" s="45">
        <v>354</v>
      </c>
      <c r="BN131" s="52">
        <v>1</v>
      </c>
      <c r="BO131" s="37">
        <f>BM131*BN131</f>
        <v>354</v>
      </c>
      <c r="BP131" s="37">
        <v>354.29</v>
      </c>
      <c r="BQ131" s="92">
        <f>BO131-BA131</f>
        <v>136.19999999999999</v>
      </c>
      <c r="BR131" s="34" t="s">
        <v>106</v>
      </c>
      <c r="BS131" s="50"/>
      <c r="BU131" s="45">
        <v>322.39999999999998</v>
      </c>
      <c r="BV131" s="52">
        <v>1</v>
      </c>
      <c r="BW131" s="118">
        <f>BU131*BV131</f>
        <v>322.39999999999998</v>
      </c>
      <c r="BX131" s="118">
        <f>BW131-BO131</f>
        <v>-31.600000000000023</v>
      </c>
      <c r="BY131" s="50"/>
      <c r="CA131" s="45">
        <v>360.18</v>
      </c>
      <c r="CB131" s="52">
        <v>1</v>
      </c>
      <c r="CC131" s="118">
        <f t="shared" si="106"/>
        <v>360.18</v>
      </c>
      <c r="CD131" s="118"/>
      <c r="CE131" s="92">
        <f t="shared" si="107"/>
        <v>37.78000000000003</v>
      </c>
      <c r="CF131" s="92">
        <f t="shared" si="108"/>
        <v>6.1800000000000068</v>
      </c>
      <c r="CG131" s="50" t="s">
        <v>600</v>
      </c>
      <c r="CI131" s="160">
        <v>307.90300000000002</v>
      </c>
      <c r="CJ131" s="167">
        <v>1</v>
      </c>
      <c r="CK131" s="165">
        <f t="shared" si="109"/>
        <v>307.90300000000002</v>
      </c>
      <c r="CL131" s="92">
        <f t="shared" si="110"/>
        <v>-52.276999999999987</v>
      </c>
      <c r="CM131" s="50" t="s">
        <v>601</v>
      </c>
      <c r="CN131" s="139"/>
      <c r="CO131" s="160">
        <v>288.71100000000007</v>
      </c>
      <c r="CP131" s="167">
        <v>1</v>
      </c>
      <c r="CQ131" s="165">
        <f t="shared" si="111"/>
        <v>288.71100000000007</v>
      </c>
      <c r="CR131" s="168">
        <f t="shared" si="112"/>
        <v>-19.19199999999995</v>
      </c>
      <c r="CT131" s="139"/>
      <c r="CU131" s="160">
        <v>288.71100000000007</v>
      </c>
      <c r="CV131" s="167">
        <v>1</v>
      </c>
      <c r="CW131" s="165">
        <f t="shared" si="113"/>
        <v>288.71100000000007</v>
      </c>
      <c r="CX131" s="160">
        <v>299.30100000000004</v>
      </c>
      <c r="CY131" s="167">
        <v>1</v>
      </c>
      <c r="CZ131" s="165">
        <f t="shared" si="114"/>
        <v>299.30100000000004</v>
      </c>
      <c r="DA131" s="168">
        <f t="shared" si="116"/>
        <v>10.589999999999975</v>
      </c>
      <c r="DB131" s="168">
        <f t="shared" si="117"/>
        <v>10.589999999999975</v>
      </c>
      <c r="DC131" s="168"/>
      <c r="DF131" s="160">
        <v>299.30100000000004</v>
      </c>
      <c r="DG131" s="167">
        <v>1</v>
      </c>
      <c r="DH131" s="165">
        <f t="shared" ref="DH131:DH162" si="119">DF131*DG131</f>
        <v>299.30100000000004</v>
      </c>
      <c r="DI131" s="168">
        <f t="shared" ref="DI131:DI194" si="120">DH131-CZ131</f>
        <v>0</v>
      </c>
      <c r="DJ131" s="168">
        <f t="shared" ref="DJ131:DJ194" si="121">DH131-CW131</f>
        <v>10.589999999999975</v>
      </c>
      <c r="DK131" s="168"/>
      <c r="DL131" s="168"/>
      <c r="DM131" s="201">
        <f t="shared" si="118"/>
        <v>266.89699999999999</v>
      </c>
      <c r="DN131" s="168">
        <f t="shared" ref="DN131:DN162" si="122">SUM(DO131:DZ131)</f>
        <v>311.17300000000006</v>
      </c>
      <c r="DO131" s="165">
        <v>4.5960000000000001</v>
      </c>
      <c r="DP131" s="165">
        <v>160.273</v>
      </c>
      <c r="DQ131" s="165">
        <v>63.244999999999997</v>
      </c>
      <c r="DR131" s="165">
        <v>26.911000000000001</v>
      </c>
      <c r="DS131" s="165">
        <v>11.872</v>
      </c>
      <c r="DT131" s="165">
        <v>12.052</v>
      </c>
      <c r="DU131" s="165">
        <v>4.016</v>
      </c>
      <c r="DV131" s="165">
        <v>13.692</v>
      </c>
      <c r="DW131" s="165">
        <v>10.5</v>
      </c>
      <c r="DX131" s="165">
        <v>4.016</v>
      </c>
      <c r="DY131" s="165">
        <v>0</v>
      </c>
      <c r="DZ131" s="165">
        <v>0</v>
      </c>
      <c r="EA131" s="168"/>
    </row>
    <row r="132" spans="1:131" s="91" customFormat="1" ht="16.25" hidden="1" customHeight="1" x14ac:dyDescent="0.4">
      <c r="A132" s="32" t="s">
        <v>97</v>
      </c>
      <c r="B132" s="32" t="s">
        <v>584</v>
      </c>
      <c r="C132" s="32" t="s">
        <v>172</v>
      </c>
      <c r="D132" s="32" t="s">
        <v>602</v>
      </c>
      <c r="E132" s="87" t="s">
        <v>603</v>
      </c>
      <c r="F132" s="87" t="s">
        <v>175</v>
      </c>
      <c r="G132" s="32" t="s">
        <v>101</v>
      </c>
      <c r="H132" s="32" t="s">
        <v>102</v>
      </c>
      <c r="I132" s="16" t="s">
        <v>103</v>
      </c>
      <c r="J132" s="33"/>
      <c r="K132" s="36"/>
      <c r="L132" s="36"/>
      <c r="M132" s="36"/>
      <c r="N132" s="36"/>
      <c r="O132" s="38" t="s">
        <v>103</v>
      </c>
      <c r="P132" s="32" t="s">
        <v>189</v>
      </c>
      <c r="Q132" s="129">
        <f t="shared" si="115"/>
        <v>17.358000000000004</v>
      </c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32"/>
      <c r="AD132" s="37"/>
      <c r="AE132" s="37"/>
      <c r="AF132" s="37"/>
      <c r="AG132" s="37"/>
      <c r="AH132" s="158"/>
      <c r="AI132" s="158"/>
      <c r="AJ132" s="37"/>
      <c r="AK132" s="46"/>
      <c r="AL132" s="47"/>
      <c r="AM132" s="162"/>
      <c r="AN132" s="39"/>
      <c r="AO132" s="97"/>
      <c r="AP132" s="39"/>
      <c r="AQ132" s="160"/>
      <c r="AR132" s="45"/>
      <c r="AS132" s="46"/>
      <c r="AT132" s="37"/>
      <c r="AU132" s="48"/>
      <c r="AV132" s="49"/>
      <c r="AW132" s="48"/>
      <c r="AY132" s="45"/>
      <c r="AZ132" s="46"/>
      <c r="BA132" s="37"/>
      <c r="BB132" s="39"/>
      <c r="BC132" s="50"/>
      <c r="BE132" s="45"/>
      <c r="BF132" s="52"/>
      <c r="BG132" s="37"/>
      <c r="BH132" s="37"/>
      <c r="BI132" s="39"/>
      <c r="BJ132" s="39"/>
      <c r="BK132" s="50"/>
      <c r="BL132" s="139"/>
      <c r="BM132" s="45">
        <v>0</v>
      </c>
      <c r="BN132" s="52">
        <v>0</v>
      </c>
      <c r="BO132" s="118">
        <f>BM132*BN132</f>
        <v>0</v>
      </c>
      <c r="BP132" s="37"/>
      <c r="BQ132" s="92"/>
      <c r="BR132" s="34"/>
      <c r="BS132" s="50"/>
      <c r="BU132" s="45">
        <v>0</v>
      </c>
      <c r="BV132" s="52">
        <v>0</v>
      </c>
      <c r="BW132" s="118">
        <f>BU132*BV132</f>
        <v>0</v>
      </c>
      <c r="BX132" s="118"/>
      <c r="BY132" s="50"/>
      <c r="CA132" s="45">
        <v>3.46</v>
      </c>
      <c r="CB132" s="52">
        <v>1</v>
      </c>
      <c r="CC132" s="118">
        <f t="shared" si="106"/>
        <v>3.46</v>
      </c>
      <c r="CD132" s="118"/>
      <c r="CE132" s="92">
        <f t="shared" si="107"/>
        <v>3.46</v>
      </c>
      <c r="CF132" s="92">
        <f t="shared" si="108"/>
        <v>3.46</v>
      </c>
      <c r="CG132" s="50"/>
      <c r="CI132" s="160">
        <v>16.940000000000001</v>
      </c>
      <c r="CJ132" s="167">
        <v>1</v>
      </c>
      <c r="CK132" s="165">
        <v>3</v>
      </c>
      <c r="CL132" s="92">
        <f t="shared" si="110"/>
        <v>-0.45999999999999996</v>
      </c>
      <c r="CM132" s="50"/>
      <c r="CN132" s="139"/>
      <c r="CO132" s="160">
        <v>17.322000000000003</v>
      </c>
      <c r="CP132" s="167">
        <v>1</v>
      </c>
      <c r="CQ132" s="165">
        <f t="shared" si="111"/>
        <v>17.322000000000003</v>
      </c>
      <c r="CR132" s="168">
        <f t="shared" si="112"/>
        <v>14.322000000000003</v>
      </c>
      <c r="CT132" s="139"/>
      <c r="CU132" s="160">
        <v>17.322000000000003</v>
      </c>
      <c r="CV132" s="167">
        <v>1</v>
      </c>
      <c r="CW132" s="165">
        <f t="shared" si="113"/>
        <v>17.322000000000003</v>
      </c>
      <c r="CX132" s="160">
        <v>17.358000000000004</v>
      </c>
      <c r="CY132" s="167">
        <v>1</v>
      </c>
      <c r="CZ132" s="165">
        <f t="shared" si="114"/>
        <v>17.358000000000004</v>
      </c>
      <c r="DA132" s="168">
        <f t="shared" si="116"/>
        <v>3.6000000000001364E-2</v>
      </c>
      <c r="DB132" s="168">
        <f t="shared" si="117"/>
        <v>3.6000000000001364E-2</v>
      </c>
      <c r="DC132" s="168"/>
      <c r="DF132" s="160">
        <v>17.358000000000004</v>
      </c>
      <c r="DG132" s="167">
        <v>1</v>
      </c>
      <c r="DH132" s="165">
        <f t="shared" si="119"/>
        <v>17.358000000000004</v>
      </c>
      <c r="DI132" s="168">
        <f t="shared" si="120"/>
        <v>0</v>
      </c>
      <c r="DJ132" s="168">
        <f t="shared" si="121"/>
        <v>3.6000000000001364E-2</v>
      </c>
      <c r="DK132" s="168"/>
      <c r="DL132" s="168"/>
      <c r="DM132" s="201">
        <f t="shared" si="118"/>
        <v>17.013000000000005</v>
      </c>
      <c r="DN132" s="168">
        <f t="shared" si="122"/>
        <v>17.013000000000005</v>
      </c>
      <c r="DO132" s="165">
        <v>3.46</v>
      </c>
      <c r="DP132" s="165">
        <v>13.48</v>
      </c>
      <c r="DQ132" s="165">
        <v>0.38200000000000001</v>
      </c>
      <c r="DR132" s="165">
        <v>3.5999999999999997E-2</v>
      </c>
      <c r="DS132" s="165">
        <f>-345/1000</f>
        <v>-0.34499999999999997</v>
      </c>
      <c r="DT132" s="165">
        <v>0</v>
      </c>
      <c r="DU132" s="165">
        <v>0</v>
      </c>
      <c r="DV132" s="165">
        <v>0</v>
      </c>
      <c r="DW132" s="165">
        <v>0</v>
      </c>
      <c r="DX132" s="165">
        <v>0</v>
      </c>
      <c r="DY132" s="165">
        <v>0</v>
      </c>
      <c r="DZ132" s="165">
        <v>0</v>
      </c>
      <c r="EA132" s="168"/>
    </row>
    <row r="133" spans="1:131" s="91" customFormat="1" ht="16.25" hidden="1" customHeight="1" x14ac:dyDescent="0.4">
      <c r="A133" s="32" t="s">
        <v>97</v>
      </c>
      <c r="B133" s="32" t="s">
        <v>584</v>
      </c>
      <c r="C133" s="32" t="s">
        <v>172</v>
      </c>
      <c r="D133" s="32" t="s">
        <v>604</v>
      </c>
      <c r="E133" s="87" t="s">
        <v>605</v>
      </c>
      <c r="F133" s="87" t="s">
        <v>213</v>
      </c>
      <c r="G133" s="32" t="s">
        <v>101</v>
      </c>
      <c r="H133" s="32" t="s">
        <v>102</v>
      </c>
      <c r="I133" s="16"/>
      <c r="J133" s="33"/>
      <c r="K133" s="36"/>
      <c r="L133" s="36"/>
      <c r="M133" s="36"/>
      <c r="N133" s="36"/>
      <c r="O133" s="38" t="s">
        <v>103</v>
      </c>
      <c r="P133" s="32" t="s">
        <v>189</v>
      </c>
      <c r="Q133" s="129">
        <f t="shared" si="115"/>
        <v>3.301999999999996</v>
      </c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32"/>
      <c r="AD133" s="37"/>
      <c r="AE133" s="37"/>
      <c r="AF133" s="37"/>
      <c r="AG133" s="37"/>
      <c r="AH133" s="158"/>
      <c r="AI133" s="158"/>
      <c r="AJ133" s="37"/>
      <c r="AK133" s="46"/>
      <c r="AL133" s="47"/>
      <c r="AM133" s="162"/>
      <c r="AN133" s="39"/>
      <c r="AO133" s="97"/>
      <c r="AP133" s="39"/>
      <c r="AQ133" s="160"/>
      <c r="AR133" s="45"/>
      <c r="AS133" s="46"/>
      <c r="AT133" s="37"/>
      <c r="AU133" s="48"/>
      <c r="AV133" s="49"/>
      <c r="AW133" s="48"/>
      <c r="AY133" s="45"/>
      <c r="AZ133" s="46"/>
      <c r="BA133" s="37"/>
      <c r="BB133" s="39"/>
      <c r="BC133" s="50"/>
      <c r="BE133" s="45"/>
      <c r="BF133" s="52"/>
      <c r="BG133" s="37"/>
      <c r="BH133" s="37"/>
      <c r="BI133" s="39"/>
      <c r="BJ133" s="39"/>
      <c r="BK133" s="50"/>
      <c r="BL133" s="139"/>
      <c r="BM133" s="45"/>
      <c r="BN133" s="52"/>
      <c r="BO133" s="118"/>
      <c r="BP133" s="37"/>
      <c r="BQ133" s="92"/>
      <c r="BR133" s="34"/>
      <c r="BS133" s="50"/>
      <c r="BU133" s="45"/>
      <c r="BV133" s="52"/>
      <c r="BW133" s="118"/>
      <c r="BX133" s="118"/>
      <c r="BY133" s="50"/>
      <c r="CA133" s="45"/>
      <c r="CB133" s="52"/>
      <c r="CC133" s="118"/>
      <c r="CD133" s="118"/>
      <c r="CE133" s="92"/>
      <c r="CF133" s="92"/>
      <c r="CG133" s="50"/>
      <c r="CI133" s="160">
        <v>-0.51300000000000001</v>
      </c>
      <c r="CJ133" s="167">
        <v>1</v>
      </c>
      <c r="CK133" s="165">
        <f t="shared" ref="CK133:CK164" si="123">CI133*CJ133</f>
        <v>-0.51300000000000001</v>
      </c>
      <c r="CL133" s="92">
        <f t="shared" si="110"/>
        <v>-0.51300000000000001</v>
      </c>
      <c r="CM133" s="50"/>
      <c r="CN133" s="139"/>
      <c r="CO133" s="160">
        <v>30.293999999999997</v>
      </c>
      <c r="CP133" s="167">
        <v>1</v>
      </c>
      <c r="CQ133" s="165">
        <f t="shared" si="111"/>
        <v>30.293999999999997</v>
      </c>
      <c r="CR133" s="168">
        <f t="shared" si="112"/>
        <v>30.806999999999999</v>
      </c>
      <c r="CT133" s="139"/>
      <c r="CU133" s="160">
        <v>30.293999999999997</v>
      </c>
      <c r="CV133" s="167">
        <v>1</v>
      </c>
      <c r="CW133" s="165">
        <f t="shared" si="113"/>
        <v>30.293999999999997</v>
      </c>
      <c r="CX133" s="160">
        <v>3.301999999999996</v>
      </c>
      <c r="CY133" s="167">
        <v>1</v>
      </c>
      <c r="CZ133" s="165">
        <f t="shared" si="114"/>
        <v>3.301999999999996</v>
      </c>
      <c r="DA133" s="168">
        <f t="shared" si="116"/>
        <v>-26.992000000000001</v>
      </c>
      <c r="DB133" s="168">
        <f t="shared" si="117"/>
        <v>-26.992000000000001</v>
      </c>
      <c r="DC133" s="168"/>
      <c r="DF133" s="160">
        <v>24.431999999999995</v>
      </c>
      <c r="DG133" s="167">
        <v>1</v>
      </c>
      <c r="DH133" s="165">
        <f t="shared" si="119"/>
        <v>24.431999999999995</v>
      </c>
      <c r="DI133" s="168">
        <f t="shared" si="120"/>
        <v>21.13</v>
      </c>
      <c r="DJ133" s="168">
        <f t="shared" si="121"/>
        <v>-5.8620000000000019</v>
      </c>
      <c r="DK133" s="168"/>
      <c r="DL133" s="168"/>
      <c r="DM133" s="201">
        <f t="shared" si="118"/>
        <v>24.431999999999995</v>
      </c>
      <c r="DN133" s="168">
        <f t="shared" si="122"/>
        <v>24.431999999999995</v>
      </c>
      <c r="DO133" s="165">
        <v>0</v>
      </c>
      <c r="DP133" s="165">
        <v>-0.51300000000000001</v>
      </c>
      <c r="DQ133" s="165">
        <v>30.806999999999999</v>
      </c>
      <c r="DR133" s="165">
        <v>-26.992000000000001</v>
      </c>
      <c r="DS133" s="165">
        <v>21.13</v>
      </c>
      <c r="DT133" s="165">
        <v>0</v>
      </c>
      <c r="DU133" s="165">
        <v>0</v>
      </c>
      <c r="DV133" s="165">
        <v>0</v>
      </c>
      <c r="DW133" s="165">
        <v>0</v>
      </c>
      <c r="DX133" s="165">
        <v>0</v>
      </c>
      <c r="DY133" s="165">
        <v>0</v>
      </c>
      <c r="DZ133" s="165">
        <v>0</v>
      </c>
      <c r="EA133" s="168"/>
    </row>
    <row r="134" spans="1:131" s="91" customFormat="1" ht="16.25" hidden="1" customHeight="1" x14ac:dyDescent="0.4">
      <c r="A134" s="32" t="s">
        <v>97</v>
      </c>
      <c r="B134" s="32" t="s">
        <v>584</v>
      </c>
      <c r="C134" s="32" t="s">
        <v>20</v>
      </c>
      <c r="D134" s="32" t="s">
        <v>606</v>
      </c>
      <c r="E134" s="87" t="s">
        <v>607</v>
      </c>
      <c r="F134" s="87" t="s">
        <v>110</v>
      </c>
      <c r="G134" s="32" t="s">
        <v>101</v>
      </c>
      <c r="H134" s="32"/>
      <c r="I134" s="16"/>
      <c r="J134" s="33"/>
      <c r="K134" s="36"/>
      <c r="L134" s="36"/>
      <c r="M134" s="36"/>
      <c r="N134" s="36"/>
      <c r="O134" s="38" t="s">
        <v>103</v>
      </c>
      <c r="P134" s="32" t="s">
        <v>189</v>
      </c>
      <c r="Q134" s="129">
        <f t="shared" si="115"/>
        <v>56.575000000000003</v>
      </c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32"/>
      <c r="AD134" s="37"/>
      <c r="AE134" s="37"/>
      <c r="AF134" s="37"/>
      <c r="AG134" s="37"/>
      <c r="AH134" s="158"/>
      <c r="AI134" s="158"/>
      <c r="AJ134" s="37"/>
      <c r="AK134" s="46"/>
      <c r="AL134" s="47"/>
      <c r="AM134" s="162"/>
      <c r="AN134" s="39"/>
      <c r="AO134" s="97"/>
      <c r="AP134" s="39"/>
      <c r="AQ134" s="160"/>
      <c r="AR134" s="45"/>
      <c r="AS134" s="46"/>
      <c r="AT134" s="37"/>
      <c r="AU134" s="48"/>
      <c r="AV134" s="49"/>
      <c r="AW134" s="48"/>
      <c r="AY134" s="45"/>
      <c r="AZ134" s="46"/>
      <c r="BA134" s="37"/>
      <c r="BB134" s="39"/>
      <c r="BC134" s="50"/>
      <c r="BE134" s="45"/>
      <c r="BF134" s="52"/>
      <c r="BG134" s="37"/>
      <c r="BH134" s="37"/>
      <c r="BI134" s="39"/>
      <c r="BJ134" s="39"/>
      <c r="BK134" s="50"/>
      <c r="BL134" s="139"/>
      <c r="BM134" s="45"/>
      <c r="BN134" s="52"/>
      <c r="BO134" s="118"/>
      <c r="BP134" s="37"/>
      <c r="BQ134" s="92"/>
      <c r="BR134" s="34"/>
      <c r="BS134" s="50"/>
      <c r="BU134" s="45"/>
      <c r="BV134" s="52"/>
      <c r="BW134" s="118"/>
      <c r="BX134" s="118"/>
      <c r="BY134" s="50"/>
      <c r="CA134" s="45"/>
      <c r="CB134" s="52"/>
      <c r="CC134" s="118"/>
      <c r="CD134" s="118"/>
      <c r="CE134" s="92"/>
      <c r="CF134" s="92"/>
      <c r="CG134" s="50"/>
      <c r="CI134" s="160">
        <v>56.423000000000002</v>
      </c>
      <c r="CJ134" s="167">
        <v>1</v>
      </c>
      <c r="CK134" s="165">
        <f t="shared" si="123"/>
        <v>56.423000000000002</v>
      </c>
      <c r="CL134" s="92">
        <f t="shared" si="110"/>
        <v>56.423000000000002</v>
      </c>
      <c r="CM134" s="50"/>
      <c r="CN134" s="139"/>
      <c r="CO134" s="160">
        <v>56.575000000000003</v>
      </c>
      <c r="CP134" s="167">
        <v>1</v>
      </c>
      <c r="CQ134" s="165">
        <f t="shared" si="111"/>
        <v>56.575000000000003</v>
      </c>
      <c r="CR134" s="168">
        <f t="shared" si="112"/>
        <v>0.15200000000000102</v>
      </c>
      <c r="CT134" s="139"/>
      <c r="CU134" s="160">
        <v>56.575000000000003</v>
      </c>
      <c r="CV134" s="167">
        <v>1</v>
      </c>
      <c r="CW134" s="165">
        <f t="shared" si="113"/>
        <v>56.575000000000003</v>
      </c>
      <c r="CX134" s="160">
        <v>56.575000000000003</v>
      </c>
      <c r="CY134" s="167">
        <v>1</v>
      </c>
      <c r="CZ134" s="165">
        <f t="shared" si="114"/>
        <v>56.575000000000003</v>
      </c>
      <c r="DA134" s="168">
        <f t="shared" si="116"/>
        <v>0</v>
      </c>
      <c r="DB134" s="168">
        <f t="shared" si="117"/>
        <v>0</v>
      </c>
      <c r="DC134" s="168"/>
      <c r="DF134" s="160">
        <v>21.49</v>
      </c>
      <c r="DG134" s="167">
        <v>1</v>
      </c>
      <c r="DH134" s="165">
        <f t="shared" si="119"/>
        <v>21.49</v>
      </c>
      <c r="DI134" s="168">
        <f t="shared" si="120"/>
        <v>-35.085000000000008</v>
      </c>
      <c r="DJ134" s="168">
        <f t="shared" si="121"/>
        <v>-35.085000000000008</v>
      </c>
      <c r="DK134" s="168"/>
      <c r="DL134" s="168"/>
      <c r="DM134" s="201">
        <f t="shared" si="118"/>
        <v>21.49</v>
      </c>
      <c r="DN134" s="168">
        <f t="shared" si="122"/>
        <v>21.49</v>
      </c>
      <c r="DO134" s="165">
        <v>0</v>
      </c>
      <c r="DP134" s="165">
        <v>31.422999999999998</v>
      </c>
      <c r="DQ134" s="165">
        <v>0.152</v>
      </c>
      <c r="DR134" s="165">
        <v>0</v>
      </c>
      <c r="DS134" s="165">
        <v>-10.085000000000001</v>
      </c>
      <c r="DT134" s="165">
        <v>0</v>
      </c>
      <c r="DU134" s="165">
        <v>0</v>
      </c>
      <c r="DV134" s="165">
        <v>0</v>
      </c>
      <c r="DW134" s="165">
        <v>0</v>
      </c>
      <c r="DX134" s="165">
        <v>0</v>
      </c>
      <c r="DY134" s="165">
        <v>0</v>
      </c>
      <c r="DZ134" s="165">
        <v>0</v>
      </c>
      <c r="EA134" s="168"/>
    </row>
    <row r="135" spans="1:131" s="91" customFormat="1" ht="16.25" hidden="1" customHeight="1" x14ac:dyDescent="0.4">
      <c r="A135" s="32" t="s">
        <v>97</v>
      </c>
      <c r="B135" s="32" t="s">
        <v>584</v>
      </c>
      <c r="C135" s="32" t="s">
        <v>172</v>
      </c>
      <c r="D135" s="16" t="s">
        <v>608</v>
      </c>
      <c r="E135" s="87" t="s">
        <v>209</v>
      </c>
      <c r="F135" s="87" t="s">
        <v>175</v>
      </c>
      <c r="G135" s="32" t="s">
        <v>101</v>
      </c>
      <c r="H135" s="36" t="s">
        <v>182</v>
      </c>
      <c r="I135" s="38"/>
      <c r="J135" s="38"/>
      <c r="K135" s="38"/>
      <c r="L135" s="38"/>
      <c r="M135" s="36"/>
      <c r="N135" s="36"/>
      <c r="O135" s="38"/>
      <c r="P135" s="32" t="s">
        <v>189</v>
      </c>
      <c r="Q135" s="129"/>
      <c r="R135" s="129"/>
      <c r="S135" s="129"/>
      <c r="T135" s="129"/>
      <c r="U135" s="129">
        <v>282</v>
      </c>
      <c r="V135" s="129"/>
      <c r="W135" s="129">
        <v>100</v>
      </c>
      <c r="X135" s="129"/>
      <c r="Y135" s="129"/>
      <c r="Z135" s="129"/>
      <c r="AA135" s="129"/>
      <c r="AB135" s="129"/>
      <c r="AC135" s="32"/>
      <c r="AD135" s="37"/>
      <c r="AE135" s="37"/>
      <c r="AF135" s="46"/>
      <c r="AG135" s="46"/>
      <c r="AH135" s="158"/>
      <c r="AI135" s="158"/>
      <c r="AJ135" s="37">
        <v>0</v>
      </c>
      <c r="AK135" s="46">
        <v>0</v>
      </c>
      <c r="AL135" s="47">
        <f>AJ135*AK135</f>
        <v>0</v>
      </c>
      <c r="AM135" s="162"/>
      <c r="AN135" s="39">
        <v>0</v>
      </c>
      <c r="AO135" s="97">
        <v>0</v>
      </c>
      <c r="AP135" s="39">
        <v>0</v>
      </c>
      <c r="AQ135" s="160"/>
      <c r="AR135" s="45">
        <v>320</v>
      </c>
      <c r="AS135" s="46">
        <v>1</v>
      </c>
      <c r="AT135" s="45">
        <f>AR135*AS135</f>
        <v>320</v>
      </c>
      <c r="AU135" s="48"/>
      <c r="AV135" s="49">
        <f>AU135*AS135</f>
        <v>0</v>
      </c>
      <c r="AW135" s="48"/>
      <c r="AY135" s="45">
        <v>320</v>
      </c>
      <c r="AZ135" s="46">
        <v>1</v>
      </c>
      <c r="BA135" s="45">
        <f>AY135*AZ135</f>
        <v>320</v>
      </c>
      <c r="BB135" s="39">
        <f>BA135-AT135</f>
        <v>0</v>
      </c>
      <c r="BC135" s="50"/>
      <c r="BE135" s="45">
        <v>320</v>
      </c>
      <c r="BF135" s="46">
        <v>1</v>
      </c>
      <c r="BG135" s="45">
        <f>BE135*BF135</f>
        <v>320</v>
      </c>
      <c r="BH135" s="45"/>
      <c r="BI135" s="39">
        <f>BG135-BA135</f>
        <v>0</v>
      </c>
      <c r="BJ135" s="39"/>
      <c r="BK135" s="50"/>
      <c r="BM135" s="45">
        <f>320</f>
        <v>320</v>
      </c>
      <c r="BN135" s="46">
        <v>1</v>
      </c>
      <c r="BO135" s="45">
        <f t="shared" ref="BO135:BO142" si="124">BM135*BN135</f>
        <v>320</v>
      </c>
      <c r="BP135" s="45">
        <v>183</v>
      </c>
      <c r="BQ135" s="92">
        <f>BO135-BA135</f>
        <v>0</v>
      </c>
      <c r="BR135" s="59"/>
      <c r="BS135" s="50"/>
      <c r="BU135" s="45">
        <f>320</f>
        <v>320</v>
      </c>
      <c r="BV135" s="46">
        <v>1</v>
      </c>
      <c r="BW135" s="118">
        <f t="shared" ref="BW135:BW142" si="125">BU135*BV135</f>
        <v>320</v>
      </c>
      <c r="BX135" s="118">
        <f t="shared" ref="BX135:BX142" si="126">BW135-BO135</f>
        <v>0</v>
      </c>
      <c r="BY135" s="50"/>
      <c r="CA135" s="45">
        <f>320</f>
        <v>320</v>
      </c>
      <c r="CB135" s="46">
        <v>1</v>
      </c>
      <c r="CC135" s="118">
        <f t="shared" ref="CC135:CC166" si="127">CA135*CB135</f>
        <v>320</v>
      </c>
      <c r="CD135" s="118"/>
      <c r="CE135" s="92">
        <f t="shared" ref="CE135:CE166" si="128">CC135-BW135</f>
        <v>0</v>
      </c>
      <c r="CF135" s="92">
        <f t="shared" ref="CF135:CF166" si="129">CC135-BO135</f>
        <v>0</v>
      </c>
      <c r="CG135" s="50"/>
      <c r="CI135" s="160">
        <v>376</v>
      </c>
      <c r="CJ135" s="164">
        <v>1</v>
      </c>
      <c r="CK135" s="165">
        <f t="shared" si="123"/>
        <v>376</v>
      </c>
      <c r="CL135" s="92">
        <f t="shared" si="110"/>
        <v>56</v>
      </c>
      <c r="CM135" s="50"/>
      <c r="CN135" s="139"/>
      <c r="CO135" s="160">
        <v>404.459</v>
      </c>
      <c r="CP135" s="164">
        <v>1</v>
      </c>
      <c r="CQ135" s="165">
        <f t="shared" si="111"/>
        <v>404.459</v>
      </c>
      <c r="CR135" s="168">
        <f t="shared" si="112"/>
        <v>28.459000000000003</v>
      </c>
      <c r="CT135" s="139"/>
      <c r="CU135" s="160">
        <v>404.459</v>
      </c>
      <c r="CV135" s="164">
        <v>1</v>
      </c>
      <c r="CW135" s="165">
        <f t="shared" si="113"/>
        <v>404.459</v>
      </c>
      <c r="CX135" s="160">
        <v>381.827</v>
      </c>
      <c r="CY135" s="164">
        <v>1</v>
      </c>
      <c r="CZ135" s="165">
        <f t="shared" si="114"/>
        <v>381.827</v>
      </c>
      <c r="DA135" s="168">
        <f t="shared" si="116"/>
        <v>-22.632000000000005</v>
      </c>
      <c r="DB135" s="168">
        <f t="shared" si="117"/>
        <v>-22.632000000000005</v>
      </c>
      <c r="DC135" s="168"/>
      <c r="DF135" s="160">
        <v>342</v>
      </c>
      <c r="DG135" s="164">
        <v>1</v>
      </c>
      <c r="DH135" s="165">
        <f t="shared" si="119"/>
        <v>342</v>
      </c>
      <c r="DI135" s="168">
        <f t="shared" si="120"/>
        <v>-39.826999999999998</v>
      </c>
      <c r="DJ135" s="168">
        <f t="shared" si="121"/>
        <v>-62.459000000000003</v>
      </c>
      <c r="DK135" s="168"/>
      <c r="DL135" s="168"/>
      <c r="DM135" s="201">
        <f t="shared" si="118"/>
        <v>106.785</v>
      </c>
      <c r="DN135" s="168">
        <f t="shared" si="122"/>
        <v>334.78499999999997</v>
      </c>
      <c r="DO135" s="165">
        <v>0</v>
      </c>
      <c r="DP135" s="165">
        <v>27.600999999999999</v>
      </c>
      <c r="DQ135" s="165">
        <v>28.858000000000001</v>
      </c>
      <c r="DR135" s="165">
        <v>7.3680000000000003</v>
      </c>
      <c r="DS135" s="165">
        <v>42.957999999999998</v>
      </c>
      <c r="DT135" s="165">
        <v>2</v>
      </c>
      <c r="DU135" s="165">
        <v>76</v>
      </c>
      <c r="DV135" s="165">
        <v>50</v>
      </c>
      <c r="DW135" s="165">
        <v>50</v>
      </c>
      <c r="DX135" s="165">
        <v>0</v>
      </c>
      <c r="DY135" s="165">
        <v>50</v>
      </c>
      <c r="DZ135" s="165">
        <v>0</v>
      </c>
      <c r="EA135" s="168"/>
    </row>
    <row r="136" spans="1:131" s="91" customFormat="1" ht="16.25" hidden="1" customHeight="1" x14ac:dyDescent="0.4">
      <c r="A136" s="32" t="s">
        <v>97</v>
      </c>
      <c r="B136" s="32" t="s">
        <v>584</v>
      </c>
      <c r="C136" s="32" t="s">
        <v>20</v>
      </c>
      <c r="D136" s="16" t="s">
        <v>609</v>
      </c>
      <c r="E136" s="87" t="s">
        <v>222</v>
      </c>
      <c r="F136" s="87" t="s">
        <v>223</v>
      </c>
      <c r="G136" s="32" t="s">
        <v>101</v>
      </c>
      <c r="H136" s="32" t="s">
        <v>224</v>
      </c>
      <c r="I136" s="16"/>
      <c r="J136" s="38"/>
      <c r="K136" s="36"/>
      <c r="L136" s="36"/>
      <c r="M136" s="36"/>
      <c r="N136" s="36"/>
      <c r="O136" s="38"/>
      <c r="P136" s="32" t="s">
        <v>193</v>
      </c>
      <c r="Q136" s="129"/>
      <c r="R136" s="129"/>
      <c r="S136" s="129"/>
      <c r="T136" s="129"/>
      <c r="U136" s="129"/>
      <c r="V136" s="129"/>
      <c r="W136" s="129">
        <f>CC136</f>
        <v>0</v>
      </c>
      <c r="X136" s="129"/>
      <c r="Y136" s="129"/>
      <c r="Z136" s="129"/>
      <c r="AA136" s="129"/>
      <c r="AB136" s="129"/>
      <c r="AC136" s="32"/>
      <c r="AD136" s="37"/>
      <c r="AE136" s="37"/>
      <c r="AF136" s="37"/>
      <c r="AG136" s="37"/>
      <c r="AH136" s="158"/>
      <c r="AI136" s="158"/>
      <c r="AJ136" s="37"/>
      <c r="AK136" s="46"/>
      <c r="AL136" s="47"/>
      <c r="AM136" s="162"/>
      <c r="AN136" s="39"/>
      <c r="AO136" s="97"/>
      <c r="AP136" s="39"/>
      <c r="AQ136" s="160"/>
      <c r="AR136" s="45"/>
      <c r="AS136" s="46"/>
      <c r="AT136" s="37"/>
      <c r="AU136" s="48"/>
      <c r="AV136" s="49"/>
      <c r="AW136" s="48"/>
      <c r="AY136" s="45"/>
      <c r="AZ136" s="46"/>
      <c r="BA136" s="37"/>
      <c r="BB136" s="39"/>
      <c r="BC136" s="50"/>
      <c r="BE136" s="45"/>
      <c r="BF136" s="52"/>
      <c r="BG136" s="37"/>
      <c r="BH136" s="37"/>
      <c r="BI136" s="39"/>
      <c r="BJ136" s="39"/>
      <c r="BK136" s="50"/>
      <c r="BM136" s="45">
        <v>50</v>
      </c>
      <c r="BN136" s="52">
        <v>0.5</v>
      </c>
      <c r="BO136" s="37">
        <f t="shared" si="124"/>
        <v>25</v>
      </c>
      <c r="BP136" s="37"/>
      <c r="BQ136" s="92"/>
      <c r="BR136" s="34"/>
      <c r="BS136" s="50"/>
      <c r="BU136" s="45">
        <v>50</v>
      </c>
      <c r="BV136" s="52">
        <v>0.5</v>
      </c>
      <c r="BW136" s="118">
        <f t="shared" si="125"/>
        <v>25</v>
      </c>
      <c r="BX136" s="118">
        <f t="shared" si="126"/>
        <v>0</v>
      </c>
      <c r="BY136" s="50"/>
      <c r="CA136" s="45">
        <v>150</v>
      </c>
      <c r="CB136" s="52">
        <v>0</v>
      </c>
      <c r="CC136" s="118">
        <f t="shared" si="127"/>
        <v>0</v>
      </c>
      <c r="CD136" s="118"/>
      <c r="CE136" s="92">
        <f t="shared" si="128"/>
        <v>-25</v>
      </c>
      <c r="CF136" s="92">
        <f t="shared" si="129"/>
        <v>-25</v>
      </c>
      <c r="CG136" s="50"/>
      <c r="CI136" s="160">
        <v>150</v>
      </c>
      <c r="CJ136" s="167">
        <v>0</v>
      </c>
      <c r="CK136" s="165">
        <f t="shared" si="123"/>
        <v>0</v>
      </c>
      <c r="CL136" s="92">
        <f t="shared" si="110"/>
        <v>0</v>
      </c>
      <c r="CM136" s="50"/>
      <c r="CN136" s="139"/>
      <c r="CO136" s="160">
        <v>0</v>
      </c>
      <c r="CP136" s="167">
        <v>0</v>
      </c>
      <c r="CQ136" s="165">
        <f t="shared" si="111"/>
        <v>0</v>
      </c>
      <c r="CR136" s="168">
        <f t="shared" si="112"/>
        <v>0</v>
      </c>
      <c r="CT136" s="139"/>
      <c r="CU136" s="160">
        <v>0</v>
      </c>
      <c r="CV136" s="167">
        <v>0</v>
      </c>
      <c r="CW136" s="165">
        <f t="shared" si="113"/>
        <v>0</v>
      </c>
      <c r="CX136" s="160">
        <v>0</v>
      </c>
      <c r="CY136" s="167">
        <v>0</v>
      </c>
      <c r="CZ136" s="165">
        <f t="shared" si="114"/>
        <v>0</v>
      </c>
      <c r="DA136" s="168">
        <f t="shared" si="116"/>
        <v>0</v>
      </c>
      <c r="DB136" s="168">
        <f t="shared" si="117"/>
        <v>0</v>
      </c>
      <c r="DC136" s="168"/>
      <c r="DF136" s="160">
        <v>0</v>
      </c>
      <c r="DG136" s="167">
        <v>0</v>
      </c>
      <c r="DH136" s="165">
        <f t="shared" si="119"/>
        <v>0</v>
      </c>
      <c r="DI136" s="168">
        <f t="shared" si="120"/>
        <v>0</v>
      </c>
      <c r="DJ136" s="168">
        <f t="shared" si="121"/>
        <v>0</v>
      </c>
      <c r="DK136" s="168"/>
      <c r="DL136" s="168"/>
      <c r="DM136" s="201">
        <f t="shared" si="118"/>
        <v>0</v>
      </c>
      <c r="DN136" s="168">
        <f t="shared" si="122"/>
        <v>0</v>
      </c>
      <c r="DO136" s="165">
        <v>0</v>
      </c>
      <c r="DP136" s="165">
        <v>0</v>
      </c>
      <c r="DQ136" s="175"/>
      <c r="DR136" s="175"/>
    </row>
    <row r="137" spans="1:131" s="91" customFormat="1" ht="16.25" hidden="1" customHeight="1" x14ac:dyDescent="0.4">
      <c r="A137" s="32" t="s">
        <v>97</v>
      </c>
      <c r="B137" s="32" t="s">
        <v>584</v>
      </c>
      <c r="C137" s="32" t="s">
        <v>172</v>
      </c>
      <c r="D137" s="16" t="s">
        <v>610</v>
      </c>
      <c r="E137" s="87" t="s">
        <v>212</v>
      </c>
      <c r="F137" s="87" t="s">
        <v>213</v>
      </c>
      <c r="G137" s="32" t="s">
        <v>101</v>
      </c>
      <c r="H137" s="36" t="s">
        <v>214</v>
      </c>
      <c r="I137" s="16"/>
      <c r="J137" s="38"/>
      <c r="K137" s="38"/>
      <c r="L137" s="38"/>
      <c r="M137" s="36"/>
      <c r="N137" s="36"/>
      <c r="O137" s="38"/>
      <c r="P137" s="32" t="s">
        <v>189</v>
      </c>
      <c r="Q137" s="129"/>
      <c r="R137" s="129"/>
      <c r="S137" s="129"/>
      <c r="T137" s="129"/>
      <c r="U137" s="129">
        <v>162</v>
      </c>
      <c r="V137" s="129"/>
      <c r="W137" s="129">
        <v>87</v>
      </c>
      <c r="X137" s="129"/>
      <c r="Y137" s="129"/>
      <c r="Z137" s="129"/>
      <c r="AA137" s="129"/>
      <c r="AB137" s="129"/>
      <c r="AC137" s="32"/>
      <c r="AD137" s="37"/>
      <c r="AE137" s="37"/>
      <c r="AF137" s="37"/>
      <c r="AG137" s="37"/>
      <c r="AH137" s="158"/>
      <c r="AI137" s="160"/>
      <c r="AJ137" s="37">
        <v>0</v>
      </c>
      <c r="AK137" s="46">
        <v>0</v>
      </c>
      <c r="AL137" s="47">
        <f>AJ137*AK137</f>
        <v>0</v>
      </c>
      <c r="AM137" s="162"/>
      <c r="AN137" s="39">
        <v>0</v>
      </c>
      <c r="AO137" s="97">
        <v>0</v>
      </c>
      <c r="AP137" s="39">
        <v>0</v>
      </c>
      <c r="AQ137" s="160"/>
      <c r="AR137" s="45">
        <v>232</v>
      </c>
      <c r="AS137" s="46">
        <v>1</v>
      </c>
      <c r="AT137" s="45">
        <f>AR137*AS137</f>
        <v>232</v>
      </c>
      <c r="AU137" s="48"/>
      <c r="AV137" s="49">
        <f>AU137*AS137</f>
        <v>0</v>
      </c>
      <c r="AW137" s="48"/>
      <c r="AY137" s="45">
        <v>232</v>
      </c>
      <c r="AZ137" s="46">
        <v>1</v>
      </c>
      <c r="BA137" s="45">
        <f>AY137*AZ137</f>
        <v>232</v>
      </c>
      <c r="BB137" s="39">
        <f>BA137-AT137</f>
        <v>0</v>
      </c>
      <c r="BC137" s="50"/>
      <c r="BE137" s="45">
        <v>232</v>
      </c>
      <c r="BF137" s="52">
        <v>1</v>
      </c>
      <c r="BG137" s="45">
        <f>BE137*BF137</f>
        <v>232</v>
      </c>
      <c r="BH137" s="45"/>
      <c r="BI137" s="39">
        <f>BG137-BA137</f>
        <v>0</v>
      </c>
      <c r="BJ137" s="39"/>
      <c r="BK137" s="50"/>
      <c r="BM137" s="45">
        <f>232-20</f>
        <v>212</v>
      </c>
      <c r="BN137" s="52">
        <v>1</v>
      </c>
      <c r="BO137" s="45">
        <f t="shared" si="124"/>
        <v>212</v>
      </c>
      <c r="BP137" s="76">
        <v>372</v>
      </c>
      <c r="BQ137" s="92">
        <f t="shared" ref="BQ137:BQ142" si="130">BO137-BA137</f>
        <v>-20</v>
      </c>
      <c r="BR137" s="34" t="s">
        <v>121</v>
      </c>
      <c r="BS137" s="50"/>
      <c r="BU137" s="45">
        <f>232-20</f>
        <v>212</v>
      </c>
      <c r="BV137" s="52">
        <v>1</v>
      </c>
      <c r="BW137" s="118">
        <f t="shared" si="125"/>
        <v>212</v>
      </c>
      <c r="BX137" s="118">
        <f t="shared" si="126"/>
        <v>0</v>
      </c>
      <c r="BY137" s="50"/>
      <c r="CA137" s="45">
        <f>232-20</f>
        <v>212</v>
      </c>
      <c r="CB137" s="52">
        <v>1</v>
      </c>
      <c r="CC137" s="118">
        <f t="shared" si="127"/>
        <v>212</v>
      </c>
      <c r="CD137" s="118"/>
      <c r="CE137" s="92">
        <f t="shared" si="128"/>
        <v>0</v>
      </c>
      <c r="CF137" s="92">
        <f t="shared" si="129"/>
        <v>0</v>
      </c>
      <c r="CG137" s="50"/>
      <c r="CI137" s="160">
        <v>229</v>
      </c>
      <c r="CJ137" s="167">
        <v>1</v>
      </c>
      <c r="CK137" s="165">
        <f t="shared" si="123"/>
        <v>229</v>
      </c>
      <c r="CL137" s="92">
        <f t="shared" si="110"/>
        <v>17</v>
      </c>
      <c r="CM137" s="50" t="s">
        <v>611</v>
      </c>
      <c r="CN137" s="139"/>
      <c r="CO137" s="160">
        <v>229.9</v>
      </c>
      <c r="CP137" s="167">
        <v>1</v>
      </c>
      <c r="CQ137" s="165">
        <f t="shared" si="111"/>
        <v>229.9</v>
      </c>
      <c r="CR137" s="168">
        <f t="shared" si="112"/>
        <v>0.90000000000000568</v>
      </c>
      <c r="CT137" s="139"/>
      <c r="CU137" s="160">
        <v>229.9</v>
      </c>
      <c r="CV137" s="167">
        <v>1</v>
      </c>
      <c r="CW137" s="165">
        <f t="shared" si="113"/>
        <v>229.9</v>
      </c>
      <c r="CX137" s="160">
        <v>249.80599999999998</v>
      </c>
      <c r="CY137" s="167">
        <v>1</v>
      </c>
      <c r="CZ137" s="165">
        <f t="shared" si="114"/>
        <v>249.80599999999998</v>
      </c>
      <c r="DA137" s="168">
        <f t="shared" si="116"/>
        <v>19.905999999999977</v>
      </c>
      <c r="DB137" s="168">
        <f t="shared" si="117"/>
        <v>19.905999999999977</v>
      </c>
      <c r="DC137" s="168"/>
      <c r="DF137" s="160">
        <v>222</v>
      </c>
      <c r="DG137" s="167">
        <v>1</v>
      </c>
      <c r="DH137" s="165">
        <f t="shared" si="119"/>
        <v>222</v>
      </c>
      <c r="DI137" s="168">
        <f t="shared" si="120"/>
        <v>-27.805999999999983</v>
      </c>
      <c r="DJ137" s="168">
        <f t="shared" si="121"/>
        <v>-7.9000000000000057</v>
      </c>
      <c r="DK137" s="168"/>
      <c r="DL137" s="168"/>
      <c r="DM137" s="201">
        <f t="shared" si="118"/>
        <v>69.443999999999988</v>
      </c>
      <c r="DN137" s="168">
        <f t="shared" si="122"/>
        <v>298.44399999999996</v>
      </c>
      <c r="DO137" s="165">
        <v>0</v>
      </c>
      <c r="DP137" s="165">
        <v>0.46800000000000003</v>
      </c>
      <c r="DQ137" s="165">
        <v>0.432</v>
      </c>
      <c r="DR137" s="165">
        <v>19.905999999999999</v>
      </c>
      <c r="DS137" s="165">
        <v>48.637999999999998</v>
      </c>
      <c r="DT137" s="165">
        <v>50</v>
      </c>
      <c r="DU137" s="165">
        <v>100</v>
      </c>
      <c r="DV137" s="165">
        <v>57</v>
      </c>
      <c r="DW137" s="165">
        <v>0</v>
      </c>
      <c r="DX137" s="165">
        <v>22</v>
      </c>
      <c r="DY137" s="165">
        <v>0</v>
      </c>
      <c r="DZ137" s="165">
        <v>0</v>
      </c>
      <c r="EA137" s="168"/>
    </row>
    <row r="138" spans="1:131" s="91" customFormat="1" ht="16.25" hidden="1" customHeight="1" x14ac:dyDescent="0.4">
      <c r="A138" s="32" t="s">
        <v>97</v>
      </c>
      <c r="B138" s="32" t="s">
        <v>584</v>
      </c>
      <c r="C138" s="32" t="s">
        <v>20</v>
      </c>
      <c r="D138" s="32" t="s">
        <v>612</v>
      </c>
      <c r="E138" s="87" t="s">
        <v>613</v>
      </c>
      <c r="F138" s="87" t="s">
        <v>114</v>
      </c>
      <c r="G138" s="32" t="s">
        <v>101</v>
      </c>
      <c r="H138" s="32" t="s">
        <v>102</v>
      </c>
      <c r="I138" s="16" t="s">
        <v>103</v>
      </c>
      <c r="J138" s="33" t="s">
        <v>614</v>
      </c>
      <c r="K138" s="36"/>
      <c r="L138" s="36"/>
      <c r="M138" s="36" t="s">
        <v>615</v>
      </c>
      <c r="N138" s="36"/>
      <c r="O138" s="33" t="s">
        <v>103</v>
      </c>
      <c r="P138" s="32" t="s">
        <v>189</v>
      </c>
      <c r="Q138" s="129">
        <f>CZ138</f>
        <v>45.045999999999999</v>
      </c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  <c r="AB138" s="129"/>
      <c r="AC138" s="32"/>
      <c r="AD138" s="37">
        <v>120</v>
      </c>
      <c r="AE138" s="37">
        <v>0</v>
      </c>
      <c r="AF138" s="37"/>
      <c r="AG138" s="37"/>
      <c r="AH138" s="158"/>
      <c r="AI138" s="158"/>
      <c r="AJ138" s="37">
        <v>30</v>
      </c>
      <c r="AK138" s="46">
        <v>1</v>
      </c>
      <c r="AL138" s="47">
        <f>AJ138*AK138</f>
        <v>30</v>
      </c>
      <c r="AM138" s="162"/>
      <c r="AN138" s="39" t="e">
        <f>VLOOKUP(D138,'May FF'!B$2:E$201,2,0)</f>
        <v>#N/A</v>
      </c>
      <c r="AO138" s="97" t="e">
        <f>VLOOKUP(D138,'May FF'!B72:E271,3,0)</f>
        <v>#N/A</v>
      </c>
      <c r="AP138" s="39" t="e">
        <f>VLOOKUP($D138,'May FF'!$B$2:$E$201,4,0)</f>
        <v>#N/A</v>
      </c>
      <c r="AQ138" s="160"/>
      <c r="AR138" s="73">
        <v>70</v>
      </c>
      <c r="AS138" s="72">
        <v>0.9</v>
      </c>
      <c r="AT138" s="74">
        <f>AR138*AS138</f>
        <v>63</v>
      </c>
      <c r="AU138" s="48"/>
      <c r="AV138" s="49">
        <f>AU138*AS138</f>
        <v>0</v>
      </c>
      <c r="AW138" s="48"/>
      <c r="AY138" s="73">
        <v>70</v>
      </c>
      <c r="AZ138" s="72">
        <v>0.9</v>
      </c>
      <c r="BA138" s="71">
        <f>AY138*AZ138</f>
        <v>63</v>
      </c>
      <c r="BB138" s="39">
        <f>BA138-AT138</f>
        <v>0</v>
      </c>
      <c r="BC138" s="50"/>
      <c r="BE138" s="45">
        <v>90</v>
      </c>
      <c r="BF138" s="46">
        <v>0.9</v>
      </c>
      <c r="BG138" s="37">
        <f>BE138*BF138</f>
        <v>81</v>
      </c>
      <c r="BH138" s="37"/>
      <c r="BI138" s="39">
        <f>BG138-BA138</f>
        <v>18</v>
      </c>
      <c r="BJ138" s="39"/>
      <c r="BK138" s="50"/>
      <c r="BM138" s="45">
        <v>100</v>
      </c>
      <c r="BN138" s="46">
        <v>1</v>
      </c>
      <c r="BO138" s="37">
        <f t="shared" si="124"/>
        <v>100</v>
      </c>
      <c r="BP138" s="37">
        <v>100</v>
      </c>
      <c r="BQ138" s="92">
        <f t="shared" si="130"/>
        <v>37</v>
      </c>
      <c r="BR138" s="34" t="s">
        <v>106</v>
      </c>
      <c r="BS138" s="50" t="s">
        <v>616</v>
      </c>
      <c r="BU138" s="45">
        <v>100</v>
      </c>
      <c r="BV138" s="46">
        <v>1</v>
      </c>
      <c r="BW138" s="118">
        <f t="shared" si="125"/>
        <v>100</v>
      </c>
      <c r="BX138" s="118">
        <f t="shared" si="126"/>
        <v>0</v>
      </c>
      <c r="BY138" s="50"/>
      <c r="CA138" s="45">
        <v>100</v>
      </c>
      <c r="CB138" s="46">
        <v>1</v>
      </c>
      <c r="CC138" s="118">
        <f t="shared" si="127"/>
        <v>100</v>
      </c>
      <c r="CD138" s="118"/>
      <c r="CE138" s="92">
        <f t="shared" si="128"/>
        <v>0</v>
      </c>
      <c r="CF138" s="92">
        <f t="shared" si="129"/>
        <v>0</v>
      </c>
      <c r="CG138" s="50"/>
      <c r="CI138" s="160">
        <v>45</v>
      </c>
      <c r="CJ138" s="164">
        <v>1</v>
      </c>
      <c r="CK138" s="165">
        <f t="shared" si="123"/>
        <v>45</v>
      </c>
      <c r="CL138" s="92">
        <f t="shared" si="110"/>
        <v>-55</v>
      </c>
      <c r="CM138" s="50"/>
      <c r="CN138" s="139"/>
      <c r="CO138" s="160">
        <v>45</v>
      </c>
      <c r="CP138" s="164">
        <v>1</v>
      </c>
      <c r="CQ138" s="165">
        <f t="shared" si="111"/>
        <v>45</v>
      </c>
      <c r="CR138" s="168">
        <f t="shared" si="112"/>
        <v>0</v>
      </c>
      <c r="CT138" s="139"/>
      <c r="CU138" s="160">
        <v>45</v>
      </c>
      <c r="CV138" s="164">
        <v>1</v>
      </c>
      <c r="CW138" s="165">
        <f t="shared" si="113"/>
        <v>45</v>
      </c>
      <c r="CX138" s="160">
        <v>45.045999999999999</v>
      </c>
      <c r="CY138" s="164">
        <v>1</v>
      </c>
      <c r="CZ138" s="165">
        <f t="shared" si="114"/>
        <v>45.045999999999999</v>
      </c>
      <c r="DA138" s="168">
        <f t="shared" si="116"/>
        <v>4.5999999999999375E-2</v>
      </c>
      <c r="DB138" s="168">
        <f t="shared" si="117"/>
        <v>4.5999999999999375E-2</v>
      </c>
      <c r="DC138" s="168"/>
      <c r="DF138" s="160">
        <v>78</v>
      </c>
      <c r="DG138" s="164">
        <v>1</v>
      </c>
      <c r="DH138" s="165">
        <f t="shared" si="119"/>
        <v>78</v>
      </c>
      <c r="DI138" s="168">
        <f t="shared" si="120"/>
        <v>32.954000000000001</v>
      </c>
      <c r="DJ138" s="168">
        <f t="shared" si="121"/>
        <v>33</v>
      </c>
      <c r="DK138" s="168"/>
      <c r="DL138" s="168"/>
      <c r="DM138" s="201">
        <f t="shared" si="118"/>
        <v>67.34</v>
      </c>
      <c r="DN138" s="168">
        <f t="shared" si="122"/>
        <v>78.34</v>
      </c>
      <c r="DO138" s="165">
        <v>0</v>
      </c>
      <c r="DP138" s="165">
        <v>0</v>
      </c>
      <c r="DQ138" s="165">
        <v>0</v>
      </c>
      <c r="DR138" s="165">
        <v>4.5999999999999999E-2</v>
      </c>
      <c r="DS138" s="165">
        <v>67.293999999999997</v>
      </c>
      <c r="DT138" s="165">
        <v>11</v>
      </c>
      <c r="DU138" s="165">
        <v>0</v>
      </c>
      <c r="DV138" s="165">
        <v>0</v>
      </c>
      <c r="DW138" s="165">
        <v>0</v>
      </c>
      <c r="DX138" s="165">
        <v>0</v>
      </c>
      <c r="DY138" s="165">
        <v>0</v>
      </c>
      <c r="DZ138" s="165">
        <v>0</v>
      </c>
      <c r="EA138" s="168"/>
    </row>
    <row r="139" spans="1:131" s="91" customFormat="1" ht="16.25" hidden="1" customHeight="1" x14ac:dyDescent="0.4">
      <c r="A139" s="32" t="s">
        <v>97</v>
      </c>
      <c r="B139" s="32" t="s">
        <v>584</v>
      </c>
      <c r="C139" s="32" t="s">
        <v>20</v>
      </c>
      <c r="D139" s="16" t="s">
        <v>617</v>
      </c>
      <c r="E139" s="87" t="s">
        <v>507</v>
      </c>
      <c r="F139" s="87" t="s">
        <v>100</v>
      </c>
      <c r="G139" s="32" t="s">
        <v>101</v>
      </c>
      <c r="H139" s="32" t="s">
        <v>214</v>
      </c>
      <c r="I139" s="51"/>
      <c r="J139" s="38"/>
      <c r="K139" s="36"/>
      <c r="L139" s="36"/>
      <c r="M139" s="36"/>
      <c r="N139" s="36"/>
      <c r="O139" s="38"/>
      <c r="P139" s="32" t="s">
        <v>230</v>
      </c>
      <c r="Q139" s="129"/>
      <c r="R139" s="129"/>
      <c r="S139" s="129"/>
      <c r="T139" s="129"/>
      <c r="U139" s="50"/>
      <c r="V139" s="129">
        <f>CK139</f>
        <v>200</v>
      </c>
      <c r="W139" s="129"/>
      <c r="X139" s="129"/>
      <c r="Y139" s="129"/>
      <c r="Z139" s="129"/>
      <c r="AA139" s="129"/>
      <c r="AB139" s="129"/>
      <c r="AC139" s="32"/>
      <c r="AD139" s="37"/>
      <c r="AE139" s="37"/>
      <c r="AF139" s="37"/>
      <c r="AG139" s="37"/>
      <c r="AH139" s="158"/>
      <c r="AI139" s="158"/>
      <c r="AJ139" s="37"/>
      <c r="AK139" s="46"/>
      <c r="AL139" s="47"/>
      <c r="AM139" s="162"/>
      <c r="AN139" s="39"/>
      <c r="AO139" s="97"/>
      <c r="AP139" s="39"/>
      <c r="AQ139" s="160"/>
      <c r="AR139" s="45"/>
      <c r="AS139" s="46"/>
      <c r="AT139" s="37"/>
      <c r="AU139" s="48"/>
      <c r="AV139" s="49"/>
      <c r="AW139" s="48"/>
      <c r="AY139" s="45"/>
      <c r="AZ139" s="46"/>
      <c r="BA139" s="37"/>
      <c r="BB139" s="39"/>
      <c r="BC139" s="50"/>
      <c r="BE139" s="45"/>
      <c r="BF139" s="46"/>
      <c r="BG139" s="37"/>
      <c r="BH139" s="37"/>
      <c r="BI139" s="39"/>
      <c r="BJ139" s="39"/>
      <c r="BK139" s="50"/>
      <c r="BM139" s="45">
        <v>400</v>
      </c>
      <c r="BN139" s="46">
        <v>0.5</v>
      </c>
      <c r="BO139" s="37">
        <f t="shared" si="124"/>
        <v>200</v>
      </c>
      <c r="BP139" s="37"/>
      <c r="BQ139" s="92">
        <f t="shared" si="130"/>
        <v>200</v>
      </c>
      <c r="BR139" s="59"/>
      <c r="BS139" s="50"/>
      <c r="BU139" s="45">
        <v>400</v>
      </c>
      <c r="BV139" s="46">
        <v>0.5</v>
      </c>
      <c r="BW139" s="118">
        <f t="shared" si="125"/>
        <v>200</v>
      </c>
      <c r="BX139" s="118">
        <f t="shared" si="126"/>
        <v>0</v>
      </c>
      <c r="BY139" s="50"/>
      <c r="CA139" s="45">
        <v>400</v>
      </c>
      <c r="CB139" s="46">
        <v>0.5</v>
      </c>
      <c r="CC139" s="118">
        <f t="shared" si="127"/>
        <v>200</v>
      </c>
      <c r="CD139" s="118"/>
      <c r="CE139" s="92">
        <f t="shared" si="128"/>
        <v>0</v>
      </c>
      <c r="CF139" s="92">
        <f t="shared" si="129"/>
        <v>0</v>
      </c>
      <c r="CG139" s="50"/>
      <c r="CI139" s="160">
        <v>400</v>
      </c>
      <c r="CJ139" s="164">
        <v>0.5</v>
      </c>
      <c r="CK139" s="165">
        <f t="shared" si="123"/>
        <v>200</v>
      </c>
      <c r="CL139" s="92">
        <f t="shared" si="110"/>
        <v>0</v>
      </c>
      <c r="CM139" s="50"/>
      <c r="CN139" s="139"/>
      <c r="CO139" s="160">
        <v>400</v>
      </c>
      <c r="CP139" s="164">
        <v>0.5</v>
      </c>
      <c r="CQ139" s="165">
        <f t="shared" si="111"/>
        <v>200</v>
      </c>
      <c r="CR139" s="168">
        <f t="shared" si="112"/>
        <v>0</v>
      </c>
      <c r="CT139" s="139"/>
      <c r="CU139" s="160">
        <v>400</v>
      </c>
      <c r="CV139" s="164">
        <v>0.5</v>
      </c>
      <c r="CW139" s="165">
        <f t="shared" si="113"/>
        <v>200</v>
      </c>
      <c r="CX139" s="160">
        <v>400</v>
      </c>
      <c r="CY139" s="164">
        <v>0.5</v>
      </c>
      <c r="CZ139" s="165">
        <f t="shared" si="114"/>
        <v>200</v>
      </c>
      <c r="DA139" s="168">
        <f t="shared" si="116"/>
        <v>0</v>
      </c>
      <c r="DB139" s="168">
        <f t="shared" si="117"/>
        <v>0</v>
      </c>
      <c r="DC139" s="168"/>
      <c r="DF139" s="160">
        <v>400</v>
      </c>
      <c r="DG139" s="164">
        <v>0.5</v>
      </c>
      <c r="DH139" s="165">
        <f t="shared" si="119"/>
        <v>200</v>
      </c>
      <c r="DI139" s="168">
        <f t="shared" si="120"/>
        <v>0</v>
      </c>
      <c r="DJ139" s="168">
        <f t="shared" si="121"/>
        <v>0</v>
      </c>
      <c r="DK139" s="168"/>
      <c r="DL139" s="168"/>
      <c r="DM139" s="201">
        <f t="shared" si="118"/>
        <v>0</v>
      </c>
      <c r="DN139" s="168">
        <f t="shared" si="122"/>
        <v>200</v>
      </c>
      <c r="DO139" s="165">
        <v>0</v>
      </c>
      <c r="DP139" s="165">
        <v>0</v>
      </c>
      <c r="DQ139" s="165">
        <v>0</v>
      </c>
      <c r="DR139" s="165">
        <v>0</v>
      </c>
      <c r="DS139" s="165">
        <v>0</v>
      </c>
      <c r="DT139" s="165">
        <v>0</v>
      </c>
      <c r="DU139" s="165">
        <v>0</v>
      </c>
      <c r="DV139" s="165">
        <v>200</v>
      </c>
      <c r="DW139" s="165">
        <v>0</v>
      </c>
      <c r="DX139" s="165">
        <v>0</v>
      </c>
      <c r="DY139" s="165">
        <v>0</v>
      </c>
      <c r="DZ139" s="165">
        <v>0</v>
      </c>
      <c r="EA139" s="168"/>
    </row>
    <row r="140" spans="1:131" s="91" customFormat="1" ht="16.25" hidden="1" customHeight="1" x14ac:dyDescent="0.4">
      <c r="A140" s="32" t="s">
        <v>97</v>
      </c>
      <c r="B140" s="32" t="s">
        <v>584</v>
      </c>
      <c r="C140" s="32" t="s">
        <v>20</v>
      </c>
      <c r="D140" s="16" t="s">
        <v>618</v>
      </c>
      <c r="E140" s="87" t="s">
        <v>227</v>
      </c>
      <c r="F140" s="87" t="s">
        <v>223</v>
      </c>
      <c r="G140" s="32" t="s">
        <v>101</v>
      </c>
      <c r="H140" s="32" t="s">
        <v>224</v>
      </c>
      <c r="I140" s="16"/>
      <c r="J140" s="38" t="s">
        <v>225</v>
      </c>
      <c r="K140" s="36"/>
      <c r="L140" s="36"/>
      <c r="M140" s="36"/>
      <c r="N140" s="36"/>
      <c r="O140" s="38"/>
      <c r="P140" s="32" t="s">
        <v>193</v>
      </c>
      <c r="Q140" s="129"/>
      <c r="R140" s="129"/>
      <c r="S140" s="129"/>
      <c r="T140" s="129"/>
      <c r="U140" s="129"/>
      <c r="V140" s="129"/>
      <c r="W140" s="129"/>
      <c r="X140" s="129">
        <f>CC140</f>
        <v>0</v>
      </c>
      <c r="Y140" s="129"/>
      <c r="Z140" s="129"/>
      <c r="AA140" s="129"/>
      <c r="AB140" s="129"/>
      <c r="AC140" s="32"/>
      <c r="AD140" s="37"/>
      <c r="AE140" s="37"/>
      <c r="AF140" s="37"/>
      <c r="AG140" s="37"/>
      <c r="AH140" s="158"/>
      <c r="AI140" s="158"/>
      <c r="AJ140" s="37"/>
      <c r="AK140" s="46"/>
      <c r="AL140" s="47"/>
      <c r="AM140" s="162"/>
      <c r="AN140" s="39"/>
      <c r="AO140" s="97"/>
      <c r="AP140" s="39"/>
      <c r="AQ140" s="160"/>
      <c r="AR140" s="45"/>
      <c r="AS140" s="46"/>
      <c r="AT140" s="37"/>
      <c r="AU140" s="48"/>
      <c r="AV140" s="49"/>
      <c r="AW140" s="48"/>
      <c r="AY140" s="45"/>
      <c r="AZ140" s="46"/>
      <c r="BA140" s="37"/>
      <c r="BB140" s="39"/>
      <c r="BC140" s="50"/>
      <c r="BE140" s="45"/>
      <c r="BF140" s="46"/>
      <c r="BG140" s="37"/>
      <c r="BH140" s="37"/>
      <c r="BI140" s="39"/>
      <c r="BJ140" s="39"/>
      <c r="BK140" s="50"/>
      <c r="BM140" s="45">
        <v>100</v>
      </c>
      <c r="BN140" s="46">
        <v>0.5</v>
      </c>
      <c r="BO140" s="37">
        <f t="shared" si="124"/>
        <v>50</v>
      </c>
      <c r="BP140" s="37"/>
      <c r="BQ140" s="92">
        <f t="shared" si="130"/>
        <v>50</v>
      </c>
      <c r="BR140" s="59"/>
      <c r="BS140" s="50"/>
      <c r="BU140" s="45">
        <v>100</v>
      </c>
      <c r="BV140" s="46">
        <v>0.5</v>
      </c>
      <c r="BW140" s="118">
        <f t="shared" si="125"/>
        <v>50</v>
      </c>
      <c r="BX140" s="118">
        <f t="shared" si="126"/>
        <v>0</v>
      </c>
      <c r="BY140" s="50"/>
      <c r="CA140" s="45">
        <v>100</v>
      </c>
      <c r="CB140" s="46">
        <v>0</v>
      </c>
      <c r="CC140" s="118">
        <f t="shared" si="127"/>
        <v>0</v>
      </c>
      <c r="CD140" s="118"/>
      <c r="CE140" s="92">
        <f t="shared" si="128"/>
        <v>-50</v>
      </c>
      <c r="CF140" s="92">
        <f t="shared" si="129"/>
        <v>-50</v>
      </c>
      <c r="CG140" s="50"/>
      <c r="CI140" s="160">
        <v>100</v>
      </c>
      <c r="CJ140" s="164">
        <v>0</v>
      </c>
      <c r="CK140" s="165">
        <f t="shared" si="123"/>
        <v>0</v>
      </c>
      <c r="CL140" s="92">
        <f t="shared" si="110"/>
        <v>0</v>
      </c>
      <c r="CM140" s="50"/>
      <c r="CN140" s="139"/>
      <c r="CO140" s="160">
        <v>100</v>
      </c>
      <c r="CP140" s="164">
        <v>0</v>
      </c>
      <c r="CQ140" s="165">
        <f t="shared" si="111"/>
        <v>0</v>
      </c>
      <c r="CR140" s="168">
        <f t="shared" si="112"/>
        <v>0</v>
      </c>
      <c r="CT140" s="139"/>
      <c r="CU140" s="160">
        <v>0</v>
      </c>
      <c r="CV140" s="164">
        <v>0</v>
      </c>
      <c r="CW140" s="165">
        <f t="shared" si="113"/>
        <v>0</v>
      </c>
      <c r="CX140" s="160">
        <v>0</v>
      </c>
      <c r="CY140" s="164">
        <v>0</v>
      </c>
      <c r="CZ140" s="165">
        <f t="shared" si="114"/>
        <v>0</v>
      </c>
      <c r="DA140" s="168">
        <f t="shared" si="116"/>
        <v>0</v>
      </c>
      <c r="DB140" s="168">
        <f t="shared" si="117"/>
        <v>0</v>
      </c>
      <c r="DC140" s="168"/>
      <c r="DF140" s="160">
        <v>0</v>
      </c>
      <c r="DG140" s="164">
        <v>0</v>
      </c>
      <c r="DH140" s="165">
        <f t="shared" si="119"/>
        <v>0</v>
      </c>
      <c r="DI140" s="168">
        <f t="shared" si="120"/>
        <v>0</v>
      </c>
      <c r="DJ140" s="168">
        <f t="shared" si="121"/>
        <v>0</v>
      </c>
      <c r="DK140" s="168"/>
      <c r="DL140" s="168"/>
      <c r="DM140" s="201">
        <f t="shared" si="118"/>
        <v>0</v>
      </c>
      <c r="DN140" s="168">
        <f t="shared" si="122"/>
        <v>0</v>
      </c>
      <c r="DO140" s="165"/>
      <c r="DP140" s="165"/>
    </row>
    <row r="141" spans="1:131" s="91" customFormat="1" ht="16.25" hidden="1" customHeight="1" x14ac:dyDescent="0.4">
      <c r="A141" s="32" t="s">
        <v>97</v>
      </c>
      <c r="B141" s="32" t="s">
        <v>584</v>
      </c>
      <c r="C141" s="32" t="s">
        <v>20</v>
      </c>
      <c r="D141" s="32" t="s">
        <v>619</v>
      </c>
      <c r="E141" s="87" t="s">
        <v>196</v>
      </c>
      <c r="F141" s="87" t="s">
        <v>100</v>
      </c>
      <c r="G141" s="32" t="s">
        <v>101</v>
      </c>
      <c r="H141" s="32" t="s">
        <v>214</v>
      </c>
      <c r="I141" s="16" t="s">
        <v>483</v>
      </c>
      <c r="J141" s="38" t="s">
        <v>484</v>
      </c>
      <c r="K141" s="38"/>
      <c r="L141" s="38"/>
      <c r="M141" s="36"/>
      <c r="N141" s="36"/>
      <c r="O141" s="38" t="s">
        <v>197</v>
      </c>
      <c r="P141" s="32" t="s">
        <v>230</v>
      </c>
      <c r="Q141" s="129"/>
      <c r="R141" s="129"/>
      <c r="S141" s="129"/>
      <c r="T141" s="129">
        <f>CC141</f>
        <v>0</v>
      </c>
      <c r="V141" s="129">
        <f>CK141</f>
        <v>90</v>
      </c>
      <c r="W141" s="129"/>
      <c r="X141" s="50"/>
      <c r="Y141" s="129"/>
      <c r="Z141" s="129"/>
      <c r="AA141" s="129"/>
      <c r="AB141" s="129"/>
      <c r="AC141" s="32"/>
      <c r="AD141" s="37">
        <v>100</v>
      </c>
      <c r="AE141" s="37"/>
      <c r="AF141" s="37"/>
      <c r="AG141" s="37"/>
      <c r="AH141" s="158"/>
      <c r="AI141" s="158"/>
      <c r="AJ141" s="37">
        <v>0</v>
      </c>
      <c r="AK141" s="46">
        <v>0</v>
      </c>
      <c r="AL141" s="47">
        <f>AJ141*AK141</f>
        <v>0</v>
      </c>
      <c r="AM141" s="162"/>
      <c r="AN141" s="39">
        <v>0</v>
      </c>
      <c r="AO141" s="97">
        <v>0</v>
      </c>
      <c r="AP141" s="39">
        <v>0</v>
      </c>
      <c r="AQ141" s="160"/>
      <c r="AR141" s="45">
        <v>100</v>
      </c>
      <c r="AS141" s="46">
        <v>0.9</v>
      </c>
      <c r="AT141" s="37">
        <f>AR141*AS141</f>
        <v>90</v>
      </c>
      <c r="AU141" s="48"/>
      <c r="AV141" s="49">
        <f>AU141*AS141</f>
        <v>0</v>
      </c>
      <c r="AW141" s="48" t="s">
        <v>486</v>
      </c>
      <c r="AY141" s="45">
        <v>100</v>
      </c>
      <c r="AZ141" s="46">
        <v>0.9</v>
      </c>
      <c r="BA141" s="37">
        <f>AY141*AZ141</f>
        <v>90</v>
      </c>
      <c r="BB141" s="39">
        <f>BA141-AT141</f>
        <v>0</v>
      </c>
      <c r="BC141" s="50"/>
      <c r="BE141" s="45">
        <v>100</v>
      </c>
      <c r="BF141" s="46">
        <v>0.9</v>
      </c>
      <c r="BG141" s="37">
        <f>BE141*BF141</f>
        <v>90</v>
      </c>
      <c r="BH141" s="37"/>
      <c r="BI141" s="39">
        <f>BG141-BA141</f>
        <v>0</v>
      </c>
      <c r="BJ141" s="39"/>
      <c r="BK141" s="50"/>
      <c r="BM141" s="45">
        <v>100</v>
      </c>
      <c r="BN141" s="46">
        <v>0.9</v>
      </c>
      <c r="BO141" s="37">
        <f t="shared" si="124"/>
        <v>90</v>
      </c>
      <c r="BP141" s="37">
        <v>90</v>
      </c>
      <c r="BQ141" s="92">
        <f t="shared" si="130"/>
        <v>0</v>
      </c>
      <c r="BR141" s="59"/>
      <c r="BS141" s="50"/>
      <c r="BU141" s="45">
        <v>100</v>
      </c>
      <c r="BV141" s="46">
        <v>0.9</v>
      </c>
      <c r="BW141" s="118">
        <f t="shared" si="125"/>
        <v>90</v>
      </c>
      <c r="BX141" s="118">
        <f t="shared" si="126"/>
        <v>0</v>
      </c>
      <c r="BY141" s="50"/>
      <c r="CA141" s="45">
        <v>100</v>
      </c>
      <c r="CB141" s="46">
        <v>0</v>
      </c>
      <c r="CC141" s="118">
        <f t="shared" si="127"/>
        <v>0</v>
      </c>
      <c r="CD141" s="118"/>
      <c r="CE141" s="92">
        <f t="shared" si="128"/>
        <v>-90</v>
      </c>
      <c r="CF141" s="92">
        <f t="shared" si="129"/>
        <v>-90</v>
      </c>
      <c r="CG141" s="50"/>
      <c r="CI141" s="160">
        <v>100</v>
      </c>
      <c r="CJ141" s="164">
        <v>0.9</v>
      </c>
      <c r="CK141" s="165">
        <f t="shared" si="123"/>
        <v>90</v>
      </c>
      <c r="CL141" s="92">
        <f t="shared" si="110"/>
        <v>90</v>
      </c>
      <c r="CM141" s="50" t="s">
        <v>621</v>
      </c>
      <c r="CN141" s="139"/>
      <c r="CO141" s="160">
        <v>100</v>
      </c>
      <c r="CP141" s="164">
        <v>0.9</v>
      </c>
      <c r="CQ141" s="165">
        <f t="shared" si="111"/>
        <v>90</v>
      </c>
      <c r="CR141" s="168">
        <f t="shared" si="112"/>
        <v>0</v>
      </c>
      <c r="CT141" s="139"/>
      <c r="CU141" s="160">
        <v>100</v>
      </c>
      <c r="CV141" s="164">
        <v>0.9</v>
      </c>
      <c r="CW141" s="165">
        <f t="shared" si="113"/>
        <v>90</v>
      </c>
      <c r="CX141" s="160">
        <v>100</v>
      </c>
      <c r="CY141" s="164">
        <v>0.9</v>
      </c>
      <c r="CZ141" s="165">
        <f t="shared" si="114"/>
        <v>90</v>
      </c>
      <c r="DA141" s="168">
        <f t="shared" si="116"/>
        <v>0</v>
      </c>
      <c r="DB141" s="168">
        <f t="shared" si="117"/>
        <v>0</v>
      </c>
      <c r="DC141" s="168"/>
      <c r="DF141" s="160">
        <v>0</v>
      </c>
      <c r="DG141" s="164">
        <v>0</v>
      </c>
      <c r="DH141" s="165">
        <f t="shared" si="119"/>
        <v>0</v>
      </c>
      <c r="DI141" s="168">
        <f t="shared" si="120"/>
        <v>-90</v>
      </c>
      <c r="DJ141" s="168">
        <f t="shared" si="121"/>
        <v>-90</v>
      </c>
      <c r="DK141" s="168" t="s">
        <v>622</v>
      </c>
      <c r="DL141" s="168"/>
      <c r="DM141" s="201">
        <f t="shared" si="118"/>
        <v>0</v>
      </c>
      <c r="DN141" s="168">
        <f t="shared" si="122"/>
        <v>90</v>
      </c>
      <c r="DO141" s="165">
        <v>0</v>
      </c>
      <c r="DP141" s="165">
        <v>0</v>
      </c>
      <c r="DQ141" s="165">
        <v>0</v>
      </c>
      <c r="DR141" s="165">
        <v>0</v>
      </c>
      <c r="DS141" s="165">
        <v>0</v>
      </c>
      <c r="DU141" s="165">
        <v>90</v>
      </c>
      <c r="DV141" s="165">
        <v>0</v>
      </c>
      <c r="DW141" s="165">
        <v>0</v>
      </c>
      <c r="DX141" s="165">
        <v>0</v>
      </c>
      <c r="DY141" s="165">
        <v>0</v>
      </c>
      <c r="DZ141" s="165">
        <v>0</v>
      </c>
      <c r="EA141" s="168"/>
    </row>
    <row r="142" spans="1:131" s="91" customFormat="1" ht="16.25" hidden="1" customHeight="1" x14ac:dyDescent="0.4">
      <c r="A142" s="32" t="s">
        <v>97</v>
      </c>
      <c r="B142" s="32" t="s">
        <v>584</v>
      </c>
      <c r="C142" s="32" t="s">
        <v>20</v>
      </c>
      <c r="D142" s="32" t="s">
        <v>628</v>
      </c>
      <c r="E142" s="87" t="s">
        <v>629</v>
      </c>
      <c r="F142" s="87" t="s">
        <v>114</v>
      </c>
      <c r="G142" s="32" t="s">
        <v>101</v>
      </c>
      <c r="H142" s="32" t="s">
        <v>224</v>
      </c>
      <c r="I142" s="38"/>
      <c r="J142" s="33" t="s">
        <v>630</v>
      </c>
      <c r="K142" s="36"/>
      <c r="L142" s="36"/>
      <c r="M142" s="36" t="s">
        <v>244</v>
      </c>
      <c r="N142" s="36"/>
      <c r="O142" s="33"/>
      <c r="P142" s="32" t="s">
        <v>193</v>
      </c>
      <c r="Q142" s="129"/>
      <c r="R142" s="129"/>
      <c r="S142" s="129"/>
      <c r="T142" s="129"/>
      <c r="U142" s="129"/>
      <c r="V142" s="129"/>
      <c r="W142" s="129"/>
      <c r="X142" s="129"/>
      <c r="Y142" s="50"/>
      <c r="Z142" s="129">
        <f>CC142</f>
        <v>0</v>
      </c>
      <c r="AA142" s="129"/>
      <c r="AB142" s="129"/>
      <c r="AC142" s="32"/>
      <c r="AD142" s="37">
        <v>2445</v>
      </c>
      <c r="AE142" s="37">
        <v>2200</v>
      </c>
      <c r="AF142" s="37"/>
      <c r="AG142" s="37"/>
      <c r="AH142" s="158"/>
      <c r="AI142" s="158"/>
      <c r="AJ142" s="37">
        <v>0</v>
      </c>
      <c r="AK142" s="46">
        <v>0</v>
      </c>
      <c r="AL142" s="47">
        <f>AJ142*AK142</f>
        <v>0</v>
      </c>
      <c r="AM142" s="162"/>
      <c r="AN142" s="39">
        <v>0</v>
      </c>
      <c r="AO142" s="97">
        <v>0</v>
      </c>
      <c r="AP142" s="39">
        <v>0</v>
      </c>
      <c r="AQ142" s="160"/>
      <c r="AR142" s="45">
        <v>2445</v>
      </c>
      <c r="AS142" s="46">
        <v>0.75</v>
      </c>
      <c r="AT142" s="37">
        <f>AR142*AS142</f>
        <v>1833.75</v>
      </c>
      <c r="AU142" s="48"/>
      <c r="AV142" s="49">
        <f>AU142*AS142</f>
        <v>0</v>
      </c>
      <c r="AW142" s="48" t="s">
        <v>413</v>
      </c>
      <c r="AY142" s="45">
        <v>2345</v>
      </c>
      <c r="AZ142" s="46">
        <v>0.75</v>
      </c>
      <c r="BA142" s="37">
        <f>AY142*AZ142</f>
        <v>1758.75</v>
      </c>
      <c r="BB142" s="39">
        <f>BA142-AT142</f>
        <v>-75</v>
      </c>
      <c r="BC142" s="50"/>
      <c r="BE142" s="45">
        <v>2345</v>
      </c>
      <c r="BF142" s="46">
        <v>0.75</v>
      </c>
      <c r="BG142" s="37">
        <f>BE142*BF142</f>
        <v>1758.75</v>
      </c>
      <c r="BH142" s="37"/>
      <c r="BI142" s="39">
        <f>BG142-BA142</f>
        <v>0</v>
      </c>
      <c r="BJ142" s="39"/>
      <c r="BK142" s="50"/>
      <c r="BM142" s="45">
        <v>480</v>
      </c>
      <c r="BN142" s="46">
        <v>0.75</v>
      </c>
      <c r="BO142" s="37">
        <f t="shared" si="124"/>
        <v>360</v>
      </c>
      <c r="BP142" s="37">
        <v>360</v>
      </c>
      <c r="BQ142" s="92">
        <f t="shared" si="130"/>
        <v>-1398.75</v>
      </c>
      <c r="BR142" s="34" t="s">
        <v>178</v>
      </c>
      <c r="BS142" s="59" t="s">
        <v>631</v>
      </c>
      <c r="BU142" s="45">
        <v>480</v>
      </c>
      <c r="BV142" s="46">
        <v>0.75</v>
      </c>
      <c r="BW142" s="118">
        <f t="shared" si="125"/>
        <v>360</v>
      </c>
      <c r="BX142" s="118">
        <f t="shared" si="126"/>
        <v>0</v>
      </c>
      <c r="BY142" s="50"/>
      <c r="CA142" s="45">
        <v>480</v>
      </c>
      <c r="CB142" s="46">
        <v>0</v>
      </c>
      <c r="CC142" s="118">
        <f t="shared" si="127"/>
        <v>0</v>
      </c>
      <c r="CD142" s="118"/>
      <c r="CE142" s="92">
        <f t="shared" si="128"/>
        <v>-360</v>
      </c>
      <c r="CF142" s="92">
        <f t="shared" si="129"/>
        <v>-360</v>
      </c>
      <c r="CG142" s="50" t="s">
        <v>511</v>
      </c>
      <c r="CI142" s="160">
        <v>480</v>
      </c>
      <c r="CJ142" s="164">
        <v>0</v>
      </c>
      <c r="CK142" s="165">
        <f t="shared" si="123"/>
        <v>0</v>
      </c>
      <c r="CL142" s="92">
        <f t="shared" si="110"/>
        <v>0</v>
      </c>
      <c r="CM142" s="50"/>
      <c r="CN142" s="139"/>
      <c r="CO142" s="160">
        <v>480</v>
      </c>
      <c r="CP142" s="164">
        <v>0</v>
      </c>
      <c r="CQ142" s="165">
        <f t="shared" si="111"/>
        <v>0</v>
      </c>
      <c r="CR142" s="168">
        <f t="shared" si="112"/>
        <v>0</v>
      </c>
      <c r="CT142" s="139"/>
      <c r="CU142" s="160">
        <v>0</v>
      </c>
      <c r="CV142" s="164">
        <v>0</v>
      </c>
      <c r="CW142" s="165">
        <f t="shared" si="113"/>
        <v>0</v>
      </c>
      <c r="CX142" s="160">
        <v>0</v>
      </c>
      <c r="CY142" s="164">
        <v>0</v>
      </c>
      <c r="CZ142" s="165">
        <f t="shared" si="114"/>
        <v>0</v>
      </c>
      <c r="DA142" s="168">
        <f t="shared" si="116"/>
        <v>0</v>
      </c>
      <c r="DB142" s="168">
        <f t="shared" si="117"/>
        <v>0</v>
      </c>
      <c r="DC142" s="168"/>
      <c r="DF142" s="160">
        <v>0</v>
      </c>
      <c r="DG142" s="164">
        <v>0</v>
      </c>
      <c r="DH142" s="165">
        <f t="shared" si="119"/>
        <v>0</v>
      </c>
      <c r="DI142" s="168">
        <f t="shared" si="120"/>
        <v>0</v>
      </c>
      <c r="DJ142" s="168">
        <f t="shared" si="121"/>
        <v>0</v>
      </c>
      <c r="DK142" s="168"/>
      <c r="DL142" s="168"/>
      <c r="DM142" s="201">
        <f t="shared" si="118"/>
        <v>0</v>
      </c>
      <c r="DN142" s="168">
        <f t="shared" si="122"/>
        <v>0</v>
      </c>
    </row>
    <row r="143" spans="1:131" s="50" customFormat="1" ht="16.25" hidden="1" customHeight="1" x14ac:dyDescent="0.35">
      <c r="A143" s="36" t="s">
        <v>97</v>
      </c>
      <c r="B143" s="36" t="s">
        <v>584</v>
      </c>
      <c r="C143" s="36" t="s">
        <v>20</v>
      </c>
      <c r="D143" s="36" t="s">
        <v>619</v>
      </c>
      <c r="E143" s="38" t="s">
        <v>196</v>
      </c>
      <c r="F143" s="38" t="s">
        <v>100</v>
      </c>
      <c r="G143" s="32" t="s">
        <v>263</v>
      </c>
      <c r="H143" s="32" t="s">
        <v>214</v>
      </c>
      <c r="I143" s="38"/>
      <c r="J143" s="33"/>
      <c r="K143" s="36"/>
      <c r="L143" s="36"/>
      <c r="M143" s="36"/>
      <c r="N143" s="36"/>
      <c r="O143" s="33"/>
      <c r="P143" s="36" t="s">
        <v>361</v>
      </c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36"/>
      <c r="AD143" s="37"/>
      <c r="AE143" s="37"/>
      <c r="AF143" s="37"/>
      <c r="AG143" s="37"/>
      <c r="AH143" s="34"/>
      <c r="AI143" s="34"/>
      <c r="AJ143" s="37"/>
      <c r="AK143" s="46"/>
      <c r="AL143" s="47"/>
      <c r="AM143" s="47"/>
      <c r="AN143" s="39"/>
      <c r="AO143" s="97"/>
      <c r="AP143" s="39"/>
      <c r="AQ143" s="45"/>
      <c r="AR143" s="45"/>
      <c r="AS143" s="46"/>
      <c r="AT143" s="37"/>
      <c r="AU143" s="48"/>
      <c r="AV143" s="49"/>
      <c r="AW143" s="48"/>
      <c r="AX143" s="34"/>
      <c r="AY143" s="45"/>
      <c r="AZ143" s="46"/>
      <c r="BA143" s="37"/>
      <c r="BB143" s="37"/>
      <c r="BD143" s="34"/>
      <c r="BE143" s="45"/>
      <c r="BF143" s="46"/>
      <c r="BG143" s="37"/>
      <c r="BH143" s="37"/>
      <c r="BI143" s="39"/>
      <c r="BJ143" s="39"/>
      <c r="BL143" s="34"/>
      <c r="BM143" s="45"/>
      <c r="BN143" s="120"/>
      <c r="BO143" s="37"/>
      <c r="BP143" s="37"/>
      <c r="BQ143" s="92"/>
      <c r="BR143" s="59"/>
      <c r="BT143" s="34"/>
      <c r="BU143" s="45"/>
      <c r="BV143" s="120"/>
      <c r="BW143" s="92"/>
      <c r="BX143" s="118"/>
      <c r="BZ143" s="34"/>
      <c r="CA143" s="45">
        <v>100</v>
      </c>
      <c r="CB143" s="120">
        <v>0.9</v>
      </c>
      <c r="CC143" s="118">
        <f t="shared" si="127"/>
        <v>90</v>
      </c>
      <c r="CD143" s="118"/>
      <c r="CE143" s="92">
        <f t="shared" si="128"/>
        <v>90</v>
      </c>
      <c r="CF143" s="92">
        <f t="shared" si="129"/>
        <v>90</v>
      </c>
      <c r="CH143" s="34"/>
      <c r="CI143" s="45">
        <v>100</v>
      </c>
      <c r="CJ143" s="120">
        <v>0</v>
      </c>
      <c r="CK143" s="118">
        <f t="shared" si="123"/>
        <v>0</v>
      </c>
      <c r="CL143" s="118">
        <f t="shared" si="110"/>
        <v>-90</v>
      </c>
      <c r="CM143" s="34" t="s">
        <v>620</v>
      </c>
      <c r="CN143" s="17"/>
      <c r="CO143" s="45">
        <v>100</v>
      </c>
      <c r="CP143" s="120">
        <v>0</v>
      </c>
      <c r="CQ143" s="118">
        <f t="shared" si="111"/>
        <v>0</v>
      </c>
      <c r="CR143" s="92">
        <f t="shared" si="112"/>
        <v>0</v>
      </c>
      <c r="CS143" s="91"/>
      <c r="CT143" s="17"/>
      <c r="CU143" s="45">
        <v>0</v>
      </c>
      <c r="CV143" s="120">
        <v>0</v>
      </c>
      <c r="CW143" s="118">
        <f t="shared" si="113"/>
        <v>0</v>
      </c>
      <c r="CX143" s="45">
        <v>0</v>
      </c>
      <c r="CY143" s="120">
        <v>0</v>
      </c>
      <c r="CZ143" s="118">
        <f t="shared" si="114"/>
        <v>0</v>
      </c>
      <c r="DA143" s="92">
        <f>CW143-CQ143</f>
        <v>0</v>
      </c>
      <c r="DB143" s="92"/>
      <c r="DC143" s="92"/>
      <c r="DD143" s="91"/>
      <c r="DE143" s="91"/>
      <c r="DF143" s="45">
        <v>0</v>
      </c>
      <c r="DG143" s="120">
        <v>0</v>
      </c>
      <c r="DH143" s="118">
        <f t="shared" si="119"/>
        <v>0</v>
      </c>
      <c r="DI143" s="168">
        <f t="shared" si="120"/>
        <v>0</v>
      </c>
      <c r="DJ143" s="168">
        <f t="shared" si="121"/>
        <v>0</v>
      </c>
      <c r="DK143" s="91"/>
      <c r="DL143" s="91"/>
      <c r="DM143" s="91"/>
      <c r="DN143" s="92">
        <f t="shared" si="122"/>
        <v>0</v>
      </c>
    </row>
    <row r="144" spans="1:131" s="50" customFormat="1" ht="16.25" hidden="1" customHeight="1" x14ac:dyDescent="0.35">
      <c r="A144" s="36" t="s">
        <v>97</v>
      </c>
      <c r="B144" s="36" t="s">
        <v>584</v>
      </c>
      <c r="C144" s="36" t="s">
        <v>20</v>
      </c>
      <c r="D144" s="36" t="s">
        <v>623</v>
      </c>
      <c r="E144" s="38" t="s">
        <v>624</v>
      </c>
      <c r="F144" s="38" t="s">
        <v>114</v>
      </c>
      <c r="G144" s="32" t="s">
        <v>263</v>
      </c>
      <c r="H144" s="32"/>
      <c r="I144" s="38"/>
      <c r="J144" s="33" t="s">
        <v>625</v>
      </c>
      <c r="K144" s="36"/>
      <c r="L144" s="36"/>
      <c r="M144" s="36" t="s">
        <v>615</v>
      </c>
      <c r="N144" s="36"/>
      <c r="O144" s="33" t="s">
        <v>626</v>
      </c>
      <c r="P144" s="36" t="s">
        <v>193</v>
      </c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36"/>
      <c r="AD144" s="37">
        <v>2948</v>
      </c>
      <c r="AE144" s="37">
        <v>3600</v>
      </c>
      <c r="AF144" s="37"/>
      <c r="AG144" s="37"/>
      <c r="AH144" s="34"/>
      <c r="AI144" s="34"/>
      <c r="AJ144" s="37">
        <v>0</v>
      </c>
      <c r="AK144" s="46">
        <v>0</v>
      </c>
      <c r="AL144" s="47">
        <f>AJ144*AK144</f>
        <v>0</v>
      </c>
      <c r="AM144" s="47"/>
      <c r="AN144" s="39">
        <v>0</v>
      </c>
      <c r="AO144" s="97">
        <v>0</v>
      </c>
      <c r="AP144" s="39">
        <v>0</v>
      </c>
      <c r="AQ144" s="45"/>
      <c r="AR144" s="45">
        <v>2211</v>
      </c>
      <c r="AS144" s="46">
        <v>0.5</v>
      </c>
      <c r="AT144" s="37">
        <f>AR144*AS144</f>
        <v>1105.5</v>
      </c>
      <c r="AU144" s="48"/>
      <c r="AV144" s="49">
        <f>AU144*AS144</f>
        <v>0</v>
      </c>
      <c r="AW144" s="48"/>
      <c r="AY144" s="45">
        <v>2211</v>
      </c>
      <c r="AZ144" s="46">
        <v>1</v>
      </c>
      <c r="BA144" s="37">
        <f>AY144*AZ144</f>
        <v>2211</v>
      </c>
      <c r="BB144" s="37"/>
      <c r="BE144" s="45">
        <v>2211</v>
      </c>
      <c r="BF144" s="46">
        <v>0.9</v>
      </c>
      <c r="BG144" s="37">
        <f>BE144*BF144</f>
        <v>1989.9</v>
      </c>
      <c r="BH144" s="37"/>
      <c r="BI144" s="39">
        <f>BG144-BA144</f>
        <v>-221.09999999999991</v>
      </c>
      <c r="BJ144" s="39"/>
      <c r="BM144" s="45">
        <v>0</v>
      </c>
      <c r="BN144" s="120">
        <v>1</v>
      </c>
      <c r="BO144" s="37">
        <f>BM144*BN144</f>
        <v>0</v>
      </c>
      <c r="BP144" s="37"/>
      <c r="BQ144" s="92">
        <f>BO144-BA144</f>
        <v>-2211</v>
      </c>
      <c r="BR144" s="59" t="s">
        <v>627</v>
      </c>
      <c r="BU144" s="45">
        <v>0</v>
      </c>
      <c r="BV144" s="120">
        <v>1</v>
      </c>
      <c r="BW144" s="92">
        <f>BU144*BV144</f>
        <v>0</v>
      </c>
      <c r="BX144" s="118">
        <f>BW144-BO144</f>
        <v>0</v>
      </c>
      <c r="CA144" s="45">
        <v>0</v>
      </c>
      <c r="CB144" s="120">
        <v>1</v>
      </c>
      <c r="CC144" s="92">
        <f t="shared" si="127"/>
        <v>0</v>
      </c>
      <c r="CD144" s="92"/>
      <c r="CE144" s="92">
        <f t="shared" si="128"/>
        <v>0</v>
      </c>
      <c r="CF144" s="92">
        <f t="shared" si="129"/>
        <v>0</v>
      </c>
      <c r="CI144" s="45">
        <v>0</v>
      </c>
      <c r="CJ144" s="120">
        <v>1</v>
      </c>
      <c r="CK144" s="92">
        <f t="shared" si="123"/>
        <v>0</v>
      </c>
      <c r="CL144" s="92">
        <f t="shared" si="110"/>
        <v>0</v>
      </c>
      <c r="CN144" s="17"/>
      <c r="CO144" s="45">
        <v>0</v>
      </c>
      <c r="CP144" s="120">
        <v>1</v>
      </c>
      <c r="CQ144" s="92">
        <f t="shared" si="111"/>
        <v>0</v>
      </c>
      <c r="CR144" s="92">
        <f t="shared" si="112"/>
        <v>0</v>
      </c>
      <c r="CS144" s="91"/>
      <c r="CT144" s="17"/>
      <c r="CU144" s="45">
        <v>0</v>
      </c>
      <c r="CV144" s="120">
        <v>1</v>
      </c>
      <c r="CW144" s="92">
        <f t="shared" si="113"/>
        <v>0</v>
      </c>
      <c r="CX144" s="45">
        <v>0</v>
      </c>
      <c r="CY144" s="120">
        <v>1</v>
      </c>
      <c r="CZ144" s="92">
        <f t="shared" si="114"/>
        <v>0</v>
      </c>
      <c r="DA144" s="92">
        <f>CW144-CQ144</f>
        <v>0</v>
      </c>
      <c r="DB144" s="92"/>
      <c r="DC144" s="92"/>
      <c r="DD144" s="91"/>
      <c r="DE144" s="91"/>
      <c r="DF144" s="45">
        <v>0</v>
      </c>
      <c r="DG144" s="120">
        <v>1</v>
      </c>
      <c r="DH144" s="92">
        <f t="shared" si="119"/>
        <v>0</v>
      </c>
      <c r="DI144" s="168">
        <f t="shared" si="120"/>
        <v>0</v>
      </c>
      <c r="DJ144" s="168">
        <f t="shared" si="121"/>
        <v>0</v>
      </c>
      <c r="DK144" s="91"/>
      <c r="DL144" s="91"/>
      <c r="DM144" s="91"/>
      <c r="DN144" s="92">
        <f t="shared" si="122"/>
        <v>0</v>
      </c>
    </row>
    <row r="145" spans="1:131" s="91" customFormat="1" ht="16.25" hidden="1" customHeight="1" x14ac:dyDescent="0.4">
      <c r="A145" s="32" t="s">
        <v>97</v>
      </c>
      <c r="B145" s="32" t="s">
        <v>584</v>
      </c>
      <c r="C145" s="32" t="s">
        <v>20</v>
      </c>
      <c r="D145" s="32" t="s">
        <v>632</v>
      </c>
      <c r="E145" s="87" t="s">
        <v>514</v>
      </c>
      <c r="F145" s="87" t="s">
        <v>110</v>
      </c>
      <c r="G145" s="32" t="s">
        <v>101</v>
      </c>
      <c r="H145" s="32" t="s">
        <v>271</v>
      </c>
      <c r="I145" s="51" t="s">
        <v>192</v>
      </c>
      <c r="J145" s="33"/>
      <c r="K145" s="36" t="s">
        <v>294</v>
      </c>
      <c r="L145" s="36"/>
      <c r="M145" s="36"/>
      <c r="N145" s="36" t="s">
        <v>184</v>
      </c>
      <c r="O145" s="33" t="s">
        <v>633</v>
      </c>
      <c r="P145" s="32" t="s">
        <v>193</v>
      </c>
      <c r="Q145" s="129"/>
      <c r="R145" s="129"/>
      <c r="S145" s="129"/>
      <c r="T145" s="129"/>
      <c r="U145" s="129"/>
      <c r="V145" s="129">
        <f>CC145</f>
        <v>0</v>
      </c>
      <c r="W145" s="129"/>
      <c r="X145" s="129"/>
      <c r="Y145" s="129"/>
      <c r="Z145" s="129"/>
      <c r="AA145" s="129"/>
      <c r="AB145" s="129"/>
      <c r="AC145" s="32"/>
      <c r="AD145" s="37">
        <v>400</v>
      </c>
      <c r="AE145" s="37"/>
      <c r="AF145" s="37"/>
      <c r="AG145" s="37"/>
      <c r="AH145" s="158"/>
      <c r="AI145" s="158"/>
      <c r="AJ145" s="37">
        <v>0</v>
      </c>
      <c r="AK145" s="46">
        <v>0</v>
      </c>
      <c r="AL145" s="47">
        <f>AJ145*AK145</f>
        <v>0</v>
      </c>
      <c r="AM145" s="162"/>
      <c r="AN145" s="39">
        <v>0</v>
      </c>
      <c r="AO145" s="97">
        <v>0</v>
      </c>
      <c r="AP145" s="39">
        <v>0</v>
      </c>
      <c r="AQ145" s="160"/>
      <c r="AR145" s="37">
        <v>400</v>
      </c>
      <c r="AS145" s="46">
        <v>0.75</v>
      </c>
      <c r="AT145" s="37">
        <f>AR145*AS145</f>
        <v>300</v>
      </c>
      <c r="AU145" s="48"/>
      <c r="AV145" s="49">
        <f>AU145*AS145</f>
        <v>0</v>
      </c>
      <c r="AW145" s="48"/>
      <c r="AY145" s="37">
        <v>400</v>
      </c>
      <c r="AZ145" s="46">
        <v>0.75</v>
      </c>
      <c r="BA145" s="37">
        <f>AY145*AZ145</f>
        <v>300</v>
      </c>
      <c r="BB145" s="39">
        <f>BA145-AT145</f>
        <v>0</v>
      </c>
      <c r="BC145" s="50" t="s">
        <v>205</v>
      </c>
      <c r="BE145" s="37">
        <v>400</v>
      </c>
      <c r="BF145" s="46">
        <v>0.75</v>
      </c>
      <c r="BG145" s="37">
        <f>BE145*BF145</f>
        <v>300</v>
      </c>
      <c r="BH145" s="37"/>
      <c r="BI145" s="39">
        <f>BG145-BA145</f>
        <v>0</v>
      </c>
      <c r="BJ145" s="39"/>
      <c r="BK145" s="50" t="s">
        <v>205</v>
      </c>
      <c r="BM145" s="37">
        <v>400</v>
      </c>
      <c r="BN145" s="46">
        <v>0.75</v>
      </c>
      <c r="BO145" s="37">
        <f>BM145*BN145</f>
        <v>300</v>
      </c>
      <c r="BP145" s="37">
        <v>300</v>
      </c>
      <c r="BQ145" s="92">
        <f>BO145-BA145</f>
        <v>0</v>
      </c>
      <c r="BR145" s="59"/>
      <c r="BS145" s="50"/>
      <c r="BU145" s="37">
        <v>400</v>
      </c>
      <c r="BV145" s="46">
        <v>0.75</v>
      </c>
      <c r="BW145" s="118">
        <f>BU145*BV145</f>
        <v>300</v>
      </c>
      <c r="BX145" s="118">
        <f>BW145-BO145</f>
        <v>0</v>
      </c>
      <c r="BY145" s="50"/>
      <c r="CA145" s="37">
        <v>400</v>
      </c>
      <c r="CB145" s="46">
        <v>0</v>
      </c>
      <c r="CC145" s="118">
        <f t="shared" si="127"/>
        <v>0</v>
      </c>
      <c r="CD145" s="118"/>
      <c r="CE145" s="92">
        <f t="shared" si="128"/>
        <v>-300</v>
      </c>
      <c r="CF145" s="92">
        <f t="shared" si="129"/>
        <v>-300</v>
      </c>
      <c r="CG145" s="50"/>
      <c r="CI145" s="163">
        <v>400</v>
      </c>
      <c r="CJ145" s="164">
        <v>0</v>
      </c>
      <c r="CK145" s="165">
        <f t="shared" si="123"/>
        <v>0</v>
      </c>
      <c r="CL145" s="92">
        <f t="shared" si="110"/>
        <v>0</v>
      </c>
      <c r="CM145" s="50"/>
      <c r="CN145" s="139"/>
      <c r="CO145" s="163">
        <v>400</v>
      </c>
      <c r="CP145" s="164">
        <v>0</v>
      </c>
      <c r="CQ145" s="165">
        <f t="shared" si="111"/>
        <v>0</v>
      </c>
      <c r="CR145" s="168">
        <f t="shared" si="112"/>
        <v>0</v>
      </c>
      <c r="CT145" s="139"/>
      <c r="CU145" s="163">
        <v>0</v>
      </c>
      <c r="CV145" s="164">
        <v>0</v>
      </c>
      <c r="CW145" s="165">
        <f t="shared" si="113"/>
        <v>0</v>
      </c>
      <c r="CX145" s="163">
        <v>0</v>
      </c>
      <c r="CY145" s="164">
        <v>0</v>
      </c>
      <c r="CZ145" s="165">
        <f t="shared" si="114"/>
        <v>0</v>
      </c>
      <c r="DA145" s="168">
        <f>CZ145-CQ145</f>
        <v>0</v>
      </c>
      <c r="DB145" s="168">
        <f>CZ145-CW145</f>
        <v>0</v>
      </c>
      <c r="DC145" s="168"/>
      <c r="DF145" s="163">
        <v>0</v>
      </c>
      <c r="DG145" s="164">
        <v>0</v>
      </c>
      <c r="DH145" s="165">
        <f t="shared" si="119"/>
        <v>0</v>
      </c>
      <c r="DI145" s="168">
        <f t="shared" si="120"/>
        <v>0</v>
      </c>
      <c r="DJ145" s="168">
        <f t="shared" si="121"/>
        <v>0</v>
      </c>
      <c r="DK145" s="168"/>
      <c r="DL145" s="168"/>
      <c r="DM145" s="201">
        <f>SUM(DO145:DS145)</f>
        <v>0</v>
      </c>
      <c r="DN145" s="168">
        <f t="shared" si="122"/>
        <v>0</v>
      </c>
    </row>
    <row r="146" spans="1:131" s="91" customFormat="1" ht="16.25" hidden="1" customHeight="1" x14ac:dyDescent="0.4">
      <c r="A146" s="32" t="s">
        <v>97</v>
      </c>
      <c r="B146" s="32" t="s">
        <v>584</v>
      </c>
      <c r="C146" s="32" t="s">
        <v>20</v>
      </c>
      <c r="D146" s="32" t="s">
        <v>634</v>
      </c>
      <c r="E146" s="87" t="s">
        <v>635</v>
      </c>
      <c r="F146" s="87" t="s">
        <v>110</v>
      </c>
      <c r="G146" s="32" t="s">
        <v>101</v>
      </c>
      <c r="H146" s="32" t="s">
        <v>182</v>
      </c>
      <c r="I146" s="51" t="s">
        <v>198</v>
      </c>
      <c r="J146" s="35" t="s">
        <v>636</v>
      </c>
      <c r="K146" s="36" t="s">
        <v>200</v>
      </c>
      <c r="L146" s="36"/>
      <c r="M146" s="36" t="s">
        <v>184</v>
      </c>
      <c r="N146" s="36" t="s">
        <v>244</v>
      </c>
      <c r="O146" s="33" t="s">
        <v>637</v>
      </c>
      <c r="P146" s="32" t="s">
        <v>230</v>
      </c>
      <c r="Q146" s="129"/>
      <c r="R146" s="129"/>
      <c r="S146" s="129"/>
      <c r="T146" s="129">
        <f>CK146</f>
        <v>300</v>
      </c>
      <c r="U146" s="129"/>
      <c r="V146" s="129"/>
      <c r="W146" s="129"/>
      <c r="X146" s="129"/>
      <c r="Y146" s="129"/>
      <c r="Z146" s="129"/>
      <c r="AA146" s="129"/>
      <c r="AB146" s="129"/>
      <c r="AC146" s="32"/>
      <c r="AD146" s="37">
        <v>400</v>
      </c>
      <c r="AE146" s="37"/>
      <c r="AF146" s="37"/>
      <c r="AG146" s="37"/>
      <c r="AH146" s="158"/>
      <c r="AI146" s="158"/>
      <c r="AJ146" s="37">
        <v>0</v>
      </c>
      <c r="AK146" s="46">
        <v>0</v>
      </c>
      <c r="AL146" s="47">
        <f>AJ146*AK146</f>
        <v>0</v>
      </c>
      <c r="AM146" s="162"/>
      <c r="AN146" s="39">
        <v>0</v>
      </c>
      <c r="AO146" s="97">
        <v>0</v>
      </c>
      <c r="AP146" s="39">
        <v>0</v>
      </c>
      <c r="AQ146" s="160"/>
      <c r="AR146" s="73">
        <v>400</v>
      </c>
      <c r="AS146" s="72">
        <v>0.75</v>
      </c>
      <c r="AT146" s="71">
        <f>AR146*AS146</f>
        <v>300</v>
      </c>
      <c r="AU146" s="48"/>
      <c r="AV146" s="49">
        <f>AU146*AS146</f>
        <v>0</v>
      </c>
      <c r="AW146" s="48"/>
      <c r="AY146" s="73">
        <v>400</v>
      </c>
      <c r="AZ146" s="72">
        <v>0.75</v>
      </c>
      <c r="BA146" s="71">
        <f>AY146*AZ146</f>
        <v>300</v>
      </c>
      <c r="BB146" s="39">
        <f>BA146-AT146</f>
        <v>0</v>
      </c>
      <c r="BC146" s="50"/>
      <c r="BE146" s="45">
        <v>400</v>
      </c>
      <c r="BF146" s="46">
        <v>0.75</v>
      </c>
      <c r="BG146" s="37">
        <f>BE146*BF146</f>
        <v>300</v>
      </c>
      <c r="BH146" s="37"/>
      <c r="BI146" s="39">
        <f>BG146-BA146</f>
        <v>0</v>
      </c>
      <c r="BJ146" s="39"/>
      <c r="BK146" s="50"/>
      <c r="BM146" s="45">
        <v>400</v>
      </c>
      <c r="BN146" s="46">
        <v>0.75</v>
      </c>
      <c r="BO146" s="37">
        <f>BM146*BN146</f>
        <v>300</v>
      </c>
      <c r="BP146" s="37">
        <v>300</v>
      </c>
      <c r="BQ146" s="92">
        <f>BO146-BA146</f>
        <v>0</v>
      </c>
      <c r="BR146" s="59"/>
      <c r="BS146" s="50"/>
      <c r="BU146" s="45">
        <v>400</v>
      </c>
      <c r="BV146" s="46">
        <v>0.75</v>
      </c>
      <c r="BW146" s="118">
        <f>BU146*BV146</f>
        <v>300</v>
      </c>
      <c r="BX146" s="118">
        <f>BW146-BO146</f>
        <v>0</v>
      </c>
      <c r="BY146" s="50"/>
      <c r="CA146" s="45">
        <v>400</v>
      </c>
      <c r="CB146" s="46">
        <v>0.75</v>
      </c>
      <c r="CC146" s="118">
        <f t="shared" si="127"/>
        <v>300</v>
      </c>
      <c r="CD146" s="118"/>
      <c r="CE146" s="92">
        <f t="shared" si="128"/>
        <v>0</v>
      </c>
      <c r="CF146" s="92">
        <f t="shared" si="129"/>
        <v>0</v>
      </c>
      <c r="CG146" s="50"/>
      <c r="CI146" s="160">
        <v>400</v>
      </c>
      <c r="CJ146" s="164">
        <v>0.75</v>
      </c>
      <c r="CK146" s="165">
        <f t="shared" si="123"/>
        <v>300</v>
      </c>
      <c r="CL146" s="92">
        <f t="shared" si="110"/>
        <v>0</v>
      </c>
      <c r="CM146" s="50"/>
      <c r="CN146" s="139"/>
      <c r="CO146" s="160">
        <v>400</v>
      </c>
      <c r="CP146" s="164">
        <v>0.75</v>
      </c>
      <c r="CQ146" s="165">
        <f t="shared" si="111"/>
        <v>300</v>
      </c>
      <c r="CR146" s="168">
        <f t="shared" si="112"/>
        <v>0</v>
      </c>
      <c r="CT146" s="139"/>
      <c r="CU146" s="160">
        <v>400</v>
      </c>
      <c r="CV146" s="164">
        <v>0.75</v>
      </c>
      <c r="CW146" s="165">
        <f t="shared" si="113"/>
        <v>300</v>
      </c>
      <c r="CX146" s="160">
        <v>400</v>
      </c>
      <c r="CY146" s="164">
        <v>0.75</v>
      </c>
      <c r="CZ146" s="165">
        <f t="shared" si="114"/>
        <v>300</v>
      </c>
      <c r="DA146" s="168">
        <f>CZ146-CQ146</f>
        <v>0</v>
      </c>
      <c r="DB146" s="168">
        <f>CZ146-CW146</f>
        <v>0</v>
      </c>
      <c r="DC146" s="168"/>
      <c r="DF146" s="160">
        <v>400</v>
      </c>
      <c r="DG146" s="164">
        <v>0.75</v>
      </c>
      <c r="DH146" s="165">
        <f t="shared" si="119"/>
        <v>300</v>
      </c>
      <c r="DI146" s="168">
        <f t="shared" si="120"/>
        <v>0</v>
      </c>
      <c r="DJ146" s="168">
        <f t="shared" si="121"/>
        <v>0</v>
      </c>
      <c r="DK146" s="168"/>
      <c r="DL146" s="168"/>
      <c r="DM146" s="201">
        <f>SUM(DO146:DS146)</f>
        <v>0</v>
      </c>
      <c r="DN146" s="168">
        <f t="shared" si="122"/>
        <v>300</v>
      </c>
      <c r="DO146" s="165">
        <v>0</v>
      </c>
      <c r="DP146" s="165">
        <v>0</v>
      </c>
      <c r="DQ146" s="165">
        <v>0</v>
      </c>
      <c r="DR146" s="165">
        <v>0</v>
      </c>
      <c r="DS146" s="165">
        <v>0</v>
      </c>
      <c r="DT146" s="165">
        <v>0</v>
      </c>
      <c r="DU146" s="165">
        <v>0</v>
      </c>
      <c r="DV146" s="165">
        <v>300</v>
      </c>
      <c r="DW146" s="165">
        <v>0</v>
      </c>
      <c r="DX146" s="165">
        <v>0</v>
      </c>
      <c r="DY146" s="165">
        <v>0</v>
      </c>
      <c r="DZ146" s="165">
        <v>0</v>
      </c>
      <c r="EA146" s="168"/>
    </row>
    <row r="147" spans="1:131" s="50" customFormat="1" ht="16.25" hidden="1" customHeight="1" x14ac:dyDescent="0.35">
      <c r="A147" s="36" t="s">
        <v>97</v>
      </c>
      <c r="B147" s="36" t="s">
        <v>584</v>
      </c>
      <c r="C147" s="36" t="s">
        <v>20</v>
      </c>
      <c r="D147" s="36" t="s">
        <v>632</v>
      </c>
      <c r="E147" s="38" t="s">
        <v>514</v>
      </c>
      <c r="F147" s="38" t="s">
        <v>110</v>
      </c>
      <c r="G147" s="32" t="s">
        <v>263</v>
      </c>
      <c r="H147" s="32"/>
      <c r="I147" s="51"/>
      <c r="J147" s="33"/>
      <c r="K147" s="36"/>
      <c r="L147" s="36"/>
      <c r="M147" s="36"/>
      <c r="N147" s="36"/>
      <c r="O147" s="33"/>
      <c r="P147" s="36" t="s">
        <v>361</v>
      </c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36"/>
      <c r="AD147" s="37"/>
      <c r="AE147" s="37"/>
      <c r="AF147" s="37"/>
      <c r="AG147" s="37"/>
      <c r="AH147" s="34"/>
      <c r="AI147" s="34"/>
      <c r="AJ147" s="37"/>
      <c r="AK147" s="46"/>
      <c r="AL147" s="47"/>
      <c r="AM147" s="47"/>
      <c r="AN147" s="39"/>
      <c r="AO147" s="97"/>
      <c r="AP147" s="39"/>
      <c r="AQ147" s="45"/>
      <c r="AR147" s="37"/>
      <c r="AS147" s="46"/>
      <c r="AT147" s="37"/>
      <c r="AU147" s="48"/>
      <c r="AV147" s="49"/>
      <c r="AW147" s="48"/>
      <c r="AX147" s="34"/>
      <c r="AY147" s="37"/>
      <c r="AZ147" s="46"/>
      <c r="BA147" s="37"/>
      <c r="BB147" s="39"/>
      <c r="BD147" s="34"/>
      <c r="BE147" s="37"/>
      <c r="BF147" s="46"/>
      <c r="BG147" s="37"/>
      <c r="BH147" s="37"/>
      <c r="BI147" s="39"/>
      <c r="BJ147" s="39"/>
      <c r="BL147" s="34"/>
      <c r="BM147" s="37"/>
      <c r="BN147" s="46"/>
      <c r="BO147" s="37"/>
      <c r="BP147" s="37"/>
      <c r="BQ147" s="92"/>
      <c r="BR147" s="59"/>
      <c r="BT147" s="34"/>
      <c r="BU147" s="37"/>
      <c r="BV147" s="46"/>
      <c r="BW147" s="118"/>
      <c r="BX147" s="118"/>
      <c r="BZ147" s="34"/>
      <c r="CA147" s="37">
        <v>400</v>
      </c>
      <c r="CB147" s="46">
        <v>1</v>
      </c>
      <c r="CC147" s="118">
        <f t="shared" si="127"/>
        <v>400</v>
      </c>
      <c r="CD147" s="118"/>
      <c r="CE147" s="92">
        <f t="shared" si="128"/>
        <v>400</v>
      </c>
      <c r="CF147" s="92">
        <f t="shared" si="129"/>
        <v>400</v>
      </c>
      <c r="CH147" s="34"/>
      <c r="CI147" s="37">
        <v>400</v>
      </c>
      <c r="CJ147" s="46">
        <v>1</v>
      </c>
      <c r="CK147" s="118">
        <f t="shared" si="123"/>
        <v>400</v>
      </c>
      <c r="CL147" s="118">
        <f t="shared" si="110"/>
        <v>0</v>
      </c>
      <c r="CM147" s="34" t="s">
        <v>515</v>
      </c>
      <c r="CN147" s="17"/>
      <c r="CO147" s="37">
        <v>400</v>
      </c>
      <c r="CP147" s="46">
        <v>1</v>
      </c>
      <c r="CQ147" s="118">
        <f t="shared" si="111"/>
        <v>400</v>
      </c>
      <c r="CR147" s="92">
        <f t="shared" si="112"/>
        <v>0</v>
      </c>
      <c r="CS147" s="91"/>
      <c r="CT147" s="17"/>
      <c r="CU147" s="37">
        <v>400</v>
      </c>
      <c r="CV147" s="46">
        <v>1</v>
      </c>
      <c r="CW147" s="118">
        <f t="shared" si="113"/>
        <v>400</v>
      </c>
      <c r="CX147" s="37">
        <v>400</v>
      </c>
      <c r="CY147" s="46">
        <v>1</v>
      </c>
      <c r="CZ147" s="118">
        <f t="shared" si="114"/>
        <v>400</v>
      </c>
      <c r="DA147" s="92">
        <f>CW147-CQ147</f>
        <v>0</v>
      </c>
      <c r="DB147" s="92"/>
      <c r="DC147" s="92"/>
      <c r="DD147" s="91"/>
      <c r="DE147" s="91"/>
      <c r="DF147" s="37">
        <v>400</v>
      </c>
      <c r="DG147" s="46">
        <v>1</v>
      </c>
      <c r="DH147" s="118">
        <f t="shared" si="119"/>
        <v>400</v>
      </c>
      <c r="DI147" s="168">
        <f t="shared" si="120"/>
        <v>0</v>
      </c>
      <c r="DJ147" s="168">
        <f t="shared" si="121"/>
        <v>0</v>
      </c>
      <c r="DK147" s="91"/>
      <c r="DL147" s="91"/>
      <c r="DM147" s="91"/>
      <c r="DN147" s="92">
        <f t="shared" si="122"/>
        <v>0</v>
      </c>
    </row>
    <row r="148" spans="1:131" s="91" customFormat="1" ht="16.25" hidden="1" customHeight="1" x14ac:dyDescent="0.4">
      <c r="A148" s="32" t="s">
        <v>97</v>
      </c>
      <c r="B148" s="32" t="s">
        <v>584</v>
      </c>
      <c r="C148" s="32" t="s">
        <v>20</v>
      </c>
      <c r="D148" s="32" t="s">
        <v>638</v>
      </c>
      <c r="E148" s="87" t="s">
        <v>1004</v>
      </c>
      <c r="F148" s="87" t="s">
        <v>110</v>
      </c>
      <c r="G148" s="32" t="s">
        <v>101</v>
      </c>
      <c r="H148" s="32" t="s">
        <v>182</v>
      </c>
      <c r="I148" s="36" t="s">
        <v>243</v>
      </c>
      <c r="J148" s="33" t="s">
        <v>639</v>
      </c>
      <c r="K148" s="36" t="s">
        <v>294</v>
      </c>
      <c r="L148" s="36"/>
      <c r="M148" s="36"/>
      <c r="N148" s="36" t="s">
        <v>244</v>
      </c>
      <c r="O148" s="33" t="s">
        <v>641</v>
      </c>
      <c r="P148" s="32" t="s">
        <v>361</v>
      </c>
      <c r="Q148" s="129"/>
      <c r="R148" s="129"/>
      <c r="S148" s="129"/>
      <c r="T148" s="129"/>
      <c r="U148" s="129"/>
      <c r="V148" s="129"/>
      <c r="W148" s="129">
        <v>600</v>
      </c>
      <c r="X148" s="129"/>
      <c r="Y148" s="129"/>
      <c r="Z148" s="129"/>
      <c r="AA148" s="129"/>
      <c r="AB148" s="129"/>
      <c r="AC148" s="32"/>
      <c r="AD148" s="37">
        <v>800</v>
      </c>
      <c r="AE148" s="37">
        <v>700</v>
      </c>
      <c r="AF148" s="37"/>
      <c r="AG148" s="37"/>
      <c r="AH148" s="158"/>
      <c r="AI148" s="158"/>
      <c r="AJ148" s="37">
        <v>0</v>
      </c>
      <c r="AK148" s="46">
        <v>0</v>
      </c>
      <c r="AL148" s="47">
        <f>AJ148*AK148</f>
        <v>0</v>
      </c>
      <c r="AM148" s="162"/>
      <c r="AN148" s="39">
        <v>0</v>
      </c>
      <c r="AO148" s="97">
        <v>0</v>
      </c>
      <c r="AP148" s="39">
        <v>0</v>
      </c>
      <c r="AQ148" s="160"/>
      <c r="AR148" s="37">
        <v>800</v>
      </c>
      <c r="AS148" s="46">
        <v>0.75</v>
      </c>
      <c r="AT148" s="37">
        <f>AR148*AS148</f>
        <v>600</v>
      </c>
      <c r="AU148" s="48"/>
      <c r="AV148" s="49">
        <f>AU148*AS148</f>
        <v>0</v>
      </c>
      <c r="AW148" s="48"/>
      <c r="AY148" s="37">
        <v>800</v>
      </c>
      <c r="AZ148" s="46">
        <v>0.75</v>
      </c>
      <c r="BA148" s="37">
        <f>AY148*AZ148</f>
        <v>600</v>
      </c>
      <c r="BB148" s="39">
        <f>BA148-AT148</f>
        <v>0</v>
      </c>
      <c r="BC148" s="50" t="s">
        <v>123</v>
      </c>
      <c r="BE148" s="37">
        <v>800</v>
      </c>
      <c r="BF148" s="46">
        <v>0.75</v>
      </c>
      <c r="BG148" s="37">
        <f>BE148*BF148</f>
        <v>600</v>
      </c>
      <c r="BH148" s="37"/>
      <c r="BI148" s="39">
        <f>BG148-BA148</f>
        <v>0</v>
      </c>
      <c r="BJ148" s="39"/>
      <c r="BK148" s="50" t="s">
        <v>123</v>
      </c>
      <c r="BM148" s="37">
        <v>800</v>
      </c>
      <c r="BN148" s="46">
        <v>0.75</v>
      </c>
      <c r="BO148" s="37">
        <f t="shared" ref="BO148:BO156" si="131">BM148*BN148</f>
        <v>600</v>
      </c>
      <c r="BP148" s="37">
        <v>600</v>
      </c>
      <c r="BQ148" s="92">
        <f t="shared" ref="BQ148:BQ156" si="132">BO148-BA148</f>
        <v>0</v>
      </c>
      <c r="BR148" s="59"/>
      <c r="BS148" s="50"/>
      <c r="BU148" s="37">
        <v>800</v>
      </c>
      <c r="BV148" s="46">
        <v>0.75</v>
      </c>
      <c r="BW148" s="118">
        <f t="shared" ref="BW148:BW156" si="133">BU148*BV148</f>
        <v>600</v>
      </c>
      <c r="BX148" s="118">
        <f t="shared" ref="BX148:BX162" si="134">BW148-BO148</f>
        <v>0</v>
      </c>
      <c r="BY148" s="50"/>
      <c r="CA148" s="37">
        <v>800</v>
      </c>
      <c r="CB148" s="46">
        <v>0.75</v>
      </c>
      <c r="CC148" s="118">
        <f t="shared" si="127"/>
        <v>600</v>
      </c>
      <c r="CD148" s="118"/>
      <c r="CE148" s="92">
        <f t="shared" si="128"/>
        <v>0</v>
      </c>
      <c r="CF148" s="92">
        <f t="shared" si="129"/>
        <v>0</v>
      </c>
      <c r="CG148" s="50"/>
      <c r="CI148" s="163">
        <v>800</v>
      </c>
      <c r="CJ148" s="164">
        <v>0.75</v>
      </c>
      <c r="CK148" s="165">
        <f t="shared" si="123"/>
        <v>600</v>
      </c>
      <c r="CL148" s="92">
        <f t="shared" si="110"/>
        <v>0</v>
      </c>
      <c r="CM148" s="50"/>
      <c r="CN148" s="139"/>
      <c r="CO148" s="163">
        <v>800</v>
      </c>
      <c r="CP148" s="164">
        <v>0.75</v>
      </c>
      <c r="CQ148" s="165">
        <f t="shared" si="111"/>
        <v>600</v>
      </c>
      <c r="CR148" s="168">
        <f t="shared" si="112"/>
        <v>0</v>
      </c>
      <c r="CT148" s="139"/>
      <c r="CU148" s="163">
        <v>800</v>
      </c>
      <c r="CV148" s="164">
        <v>0.75</v>
      </c>
      <c r="CW148" s="165">
        <f t="shared" si="113"/>
        <v>600</v>
      </c>
      <c r="CX148" s="163">
        <v>800</v>
      </c>
      <c r="CY148" s="164">
        <v>0.75</v>
      </c>
      <c r="CZ148" s="165">
        <f t="shared" si="114"/>
        <v>600</v>
      </c>
      <c r="DA148" s="168">
        <f>CZ148-CQ148</f>
        <v>0</v>
      </c>
      <c r="DB148" s="168">
        <f>CZ148-CW148</f>
        <v>0</v>
      </c>
      <c r="DC148" s="168"/>
      <c r="DD148" s="91" t="s">
        <v>642</v>
      </c>
      <c r="DF148" s="163">
        <v>800</v>
      </c>
      <c r="DG148" s="164">
        <v>0.75</v>
      </c>
      <c r="DH148" s="165">
        <f t="shared" si="119"/>
        <v>600</v>
      </c>
      <c r="DI148" s="168">
        <f t="shared" si="120"/>
        <v>0</v>
      </c>
      <c r="DJ148" s="168">
        <f t="shared" si="121"/>
        <v>0</v>
      </c>
      <c r="DK148" s="168"/>
      <c r="DL148" s="168"/>
      <c r="DM148" s="201">
        <f>SUM(DO148:DS148)</f>
        <v>0</v>
      </c>
      <c r="DN148" s="168">
        <f t="shared" si="122"/>
        <v>600</v>
      </c>
      <c r="DO148" s="165">
        <v>0</v>
      </c>
      <c r="DP148" s="165">
        <v>0</v>
      </c>
      <c r="DQ148" s="165">
        <v>0</v>
      </c>
      <c r="DR148" s="165">
        <v>0</v>
      </c>
      <c r="DS148" s="165">
        <v>0</v>
      </c>
      <c r="DT148" s="165">
        <v>0</v>
      </c>
      <c r="DU148" s="165">
        <v>0</v>
      </c>
      <c r="DV148" s="165">
        <v>600</v>
      </c>
      <c r="DW148" s="165">
        <v>0</v>
      </c>
      <c r="DX148" s="165">
        <v>0</v>
      </c>
      <c r="DY148" s="165">
        <v>0</v>
      </c>
      <c r="DZ148" s="165">
        <v>0</v>
      </c>
      <c r="EA148" s="168"/>
    </row>
    <row r="149" spans="1:131" s="91" customFormat="1" ht="16.25" hidden="1" customHeight="1" x14ac:dyDescent="0.4">
      <c r="A149" s="32" t="s">
        <v>97</v>
      </c>
      <c r="B149" s="32" t="s">
        <v>584</v>
      </c>
      <c r="C149" s="32" t="s">
        <v>20</v>
      </c>
      <c r="D149" s="32" t="s">
        <v>643</v>
      </c>
      <c r="E149" s="87" t="s">
        <v>644</v>
      </c>
      <c r="F149" s="87" t="s">
        <v>110</v>
      </c>
      <c r="G149" s="32" t="s">
        <v>101</v>
      </c>
      <c r="H149" s="32" t="s">
        <v>182</v>
      </c>
      <c r="I149" s="38"/>
      <c r="J149" s="33" t="s">
        <v>645</v>
      </c>
      <c r="K149" s="36" t="s">
        <v>294</v>
      </c>
      <c r="L149" s="36"/>
      <c r="M149" s="36" t="s">
        <v>309</v>
      </c>
      <c r="N149" s="36"/>
      <c r="O149" s="33" t="s">
        <v>1025</v>
      </c>
      <c r="P149" s="32" t="s">
        <v>230</v>
      </c>
      <c r="Q149" s="129"/>
      <c r="R149" s="129"/>
      <c r="S149" s="50"/>
      <c r="T149" s="129">
        <f>CK149</f>
        <v>360</v>
      </c>
      <c r="U149" s="129"/>
      <c r="V149" s="129"/>
      <c r="W149" s="129"/>
      <c r="X149" s="129"/>
      <c r="Y149" s="129"/>
      <c r="Z149" s="129"/>
      <c r="AA149" s="129"/>
      <c r="AB149" s="129"/>
      <c r="AC149" s="32"/>
      <c r="AD149" s="37">
        <v>400</v>
      </c>
      <c r="AE149" s="37">
        <v>300</v>
      </c>
      <c r="AF149" s="37"/>
      <c r="AG149" s="37"/>
      <c r="AH149" s="158"/>
      <c r="AI149" s="158"/>
      <c r="AJ149" s="37">
        <v>0</v>
      </c>
      <c r="AK149" s="46">
        <v>0</v>
      </c>
      <c r="AL149" s="47">
        <f>AJ149*AK149</f>
        <v>0</v>
      </c>
      <c r="AM149" s="162"/>
      <c r="AN149" s="39">
        <v>0</v>
      </c>
      <c r="AO149" s="97">
        <v>0</v>
      </c>
      <c r="AP149" s="39">
        <v>0</v>
      </c>
      <c r="AQ149" s="160"/>
      <c r="AR149" s="37">
        <v>400</v>
      </c>
      <c r="AS149" s="46">
        <v>0.9</v>
      </c>
      <c r="AT149" s="37">
        <f>AR149*AS149</f>
        <v>360</v>
      </c>
      <c r="AU149" s="48"/>
      <c r="AV149" s="49">
        <f>AU149*AS149</f>
        <v>0</v>
      </c>
      <c r="AW149" s="48"/>
      <c r="AY149" s="37">
        <v>400</v>
      </c>
      <c r="AZ149" s="46">
        <v>0.9</v>
      </c>
      <c r="BA149" s="37">
        <f>AY149*AZ149</f>
        <v>360</v>
      </c>
      <c r="BB149" s="39">
        <f>BA149-AT149</f>
        <v>0</v>
      </c>
      <c r="BC149" s="50"/>
      <c r="BE149" s="37">
        <v>400</v>
      </c>
      <c r="BF149" s="46">
        <v>0.9</v>
      </c>
      <c r="BG149" s="37">
        <f>BE149*BF149</f>
        <v>360</v>
      </c>
      <c r="BH149" s="37"/>
      <c r="BI149" s="39">
        <f>BG149-BA149</f>
        <v>0</v>
      </c>
      <c r="BJ149" s="39"/>
      <c r="BK149" s="50" t="s">
        <v>646</v>
      </c>
      <c r="BM149" s="37">
        <v>400</v>
      </c>
      <c r="BN149" s="46">
        <v>0.9</v>
      </c>
      <c r="BO149" s="37">
        <f t="shared" si="131"/>
        <v>360</v>
      </c>
      <c r="BP149" s="37">
        <v>360</v>
      </c>
      <c r="BQ149" s="92">
        <f t="shared" si="132"/>
        <v>0</v>
      </c>
      <c r="BR149" s="59"/>
      <c r="BS149" s="50"/>
      <c r="BU149" s="37">
        <v>400</v>
      </c>
      <c r="BV149" s="46">
        <v>0.9</v>
      </c>
      <c r="BW149" s="118">
        <f t="shared" si="133"/>
        <v>360</v>
      </c>
      <c r="BX149" s="118">
        <f t="shared" si="134"/>
        <v>0</v>
      </c>
      <c r="BY149" s="50"/>
      <c r="CA149" s="37">
        <v>400</v>
      </c>
      <c r="CB149" s="46">
        <v>0.9</v>
      </c>
      <c r="CC149" s="118">
        <f t="shared" si="127"/>
        <v>360</v>
      </c>
      <c r="CD149" s="118"/>
      <c r="CE149" s="92">
        <f t="shared" si="128"/>
        <v>0</v>
      </c>
      <c r="CF149" s="92">
        <f t="shared" si="129"/>
        <v>0</v>
      </c>
      <c r="CG149" s="50"/>
      <c r="CI149" s="163">
        <v>400</v>
      </c>
      <c r="CJ149" s="164">
        <v>0.9</v>
      </c>
      <c r="CK149" s="165">
        <f t="shared" si="123"/>
        <v>360</v>
      </c>
      <c r="CL149" s="92">
        <f t="shared" si="110"/>
        <v>0</v>
      </c>
      <c r="CM149" s="50"/>
      <c r="CN149" s="139"/>
      <c r="CO149" s="163">
        <v>400</v>
      </c>
      <c r="CP149" s="164">
        <v>0.9</v>
      </c>
      <c r="CQ149" s="165">
        <f t="shared" si="111"/>
        <v>360</v>
      </c>
      <c r="CR149" s="168">
        <f t="shared" si="112"/>
        <v>0</v>
      </c>
      <c r="CT149" s="139"/>
      <c r="CU149" s="163">
        <v>400</v>
      </c>
      <c r="CV149" s="164">
        <v>0.9</v>
      </c>
      <c r="CW149" s="165">
        <f t="shared" si="113"/>
        <v>360</v>
      </c>
      <c r="CX149" s="163">
        <v>400</v>
      </c>
      <c r="CY149" s="164">
        <v>0.9</v>
      </c>
      <c r="CZ149" s="165">
        <f t="shared" si="114"/>
        <v>360</v>
      </c>
      <c r="DA149" s="168">
        <f>CZ149-CQ149</f>
        <v>0</v>
      </c>
      <c r="DB149" s="168">
        <f>CZ149-CW149</f>
        <v>0</v>
      </c>
      <c r="DC149" s="168"/>
      <c r="DD149" s="91" t="s">
        <v>647</v>
      </c>
      <c r="DF149" s="163">
        <v>330</v>
      </c>
      <c r="DG149" s="164">
        <v>0.75</v>
      </c>
      <c r="DH149" s="165">
        <f t="shared" si="119"/>
        <v>247.5</v>
      </c>
      <c r="DI149" s="168">
        <f t="shared" si="120"/>
        <v>-112.5</v>
      </c>
      <c r="DJ149" s="168">
        <f t="shared" si="121"/>
        <v>-112.5</v>
      </c>
      <c r="DK149" s="168"/>
      <c r="DL149" s="168"/>
      <c r="DM149" s="201">
        <f>SUM(DO149:DS149)</f>
        <v>0</v>
      </c>
      <c r="DN149" s="168">
        <f t="shared" si="122"/>
        <v>360</v>
      </c>
      <c r="DO149" s="165">
        <v>0</v>
      </c>
      <c r="DP149" s="165">
        <v>0</v>
      </c>
      <c r="DQ149" s="165">
        <v>0</v>
      </c>
      <c r="DR149" s="165">
        <v>0</v>
      </c>
      <c r="DS149" s="165">
        <v>0</v>
      </c>
      <c r="DT149" s="165">
        <v>0</v>
      </c>
      <c r="DU149" s="165">
        <v>0</v>
      </c>
      <c r="DV149" s="165">
        <v>360</v>
      </c>
      <c r="DW149" s="165">
        <v>0</v>
      </c>
      <c r="DX149" s="165">
        <v>0</v>
      </c>
      <c r="DY149" s="165">
        <v>0</v>
      </c>
      <c r="DZ149" s="165">
        <v>0</v>
      </c>
      <c r="EA149" s="168"/>
    </row>
    <row r="150" spans="1:131" s="91" customFormat="1" ht="16.25" hidden="1" customHeight="1" x14ac:dyDescent="0.4">
      <c r="A150" s="32" t="s">
        <v>97</v>
      </c>
      <c r="B150" s="32" t="s">
        <v>584</v>
      </c>
      <c r="C150" s="32" t="s">
        <v>172</v>
      </c>
      <c r="D150" s="32" t="s">
        <v>648</v>
      </c>
      <c r="E150" s="87" t="s">
        <v>649</v>
      </c>
      <c r="F150" s="87" t="s">
        <v>213</v>
      </c>
      <c r="G150" s="32" t="s">
        <v>101</v>
      </c>
      <c r="H150" s="32" t="s">
        <v>102</v>
      </c>
      <c r="I150" s="16" t="s">
        <v>103</v>
      </c>
      <c r="J150" s="33"/>
      <c r="K150" s="36"/>
      <c r="L150" s="36"/>
      <c r="M150" s="36"/>
      <c r="N150" s="36"/>
      <c r="O150" s="33"/>
      <c r="P150" s="32" t="s">
        <v>193</v>
      </c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32"/>
      <c r="AD150" s="37"/>
      <c r="AE150" s="37"/>
      <c r="AF150" s="39"/>
      <c r="AG150" s="39"/>
      <c r="AH150" s="87"/>
      <c r="AI150" s="159"/>
      <c r="AJ150" s="37">
        <v>30</v>
      </c>
      <c r="AK150" s="46">
        <v>1</v>
      </c>
      <c r="AL150" s="47">
        <f>AJ150*AK150</f>
        <v>30</v>
      </c>
      <c r="AM150" s="162"/>
      <c r="AN150" s="39">
        <v>0</v>
      </c>
      <c r="AO150" s="97">
        <v>0</v>
      </c>
      <c r="AP150" s="39">
        <v>0</v>
      </c>
      <c r="AQ150" s="159"/>
      <c r="AR150" s="45"/>
      <c r="AS150" s="46"/>
      <c r="AT150" s="37"/>
      <c r="AU150" s="48"/>
      <c r="AV150" s="49"/>
      <c r="AW150" s="48"/>
      <c r="AY150" s="45">
        <v>0</v>
      </c>
      <c r="AZ150" s="46">
        <v>0</v>
      </c>
      <c r="BA150" s="37">
        <f>AY150*AZ150</f>
        <v>0</v>
      </c>
      <c r="BB150" s="39"/>
      <c r="BC150" s="50"/>
      <c r="BE150" s="45">
        <v>155</v>
      </c>
      <c r="BF150" s="46">
        <v>0.9</v>
      </c>
      <c r="BG150" s="37">
        <f>BE150*BF150</f>
        <v>139.5</v>
      </c>
      <c r="BH150" s="45"/>
      <c r="BI150" s="39">
        <f>BG150-BA150</f>
        <v>139.5</v>
      </c>
      <c r="BJ150" s="82" t="s">
        <v>650</v>
      </c>
      <c r="BK150" s="50"/>
      <c r="BM150" s="45">
        <v>155</v>
      </c>
      <c r="BN150" s="46">
        <v>0.9</v>
      </c>
      <c r="BO150" s="37">
        <f t="shared" si="131"/>
        <v>139.5</v>
      </c>
      <c r="BP150" s="37"/>
      <c r="BQ150" s="92">
        <f t="shared" si="132"/>
        <v>139.5</v>
      </c>
      <c r="BR150" s="34" t="s">
        <v>178</v>
      </c>
      <c r="BS150" s="50" t="s">
        <v>179</v>
      </c>
      <c r="BU150" s="45">
        <v>155</v>
      </c>
      <c r="BV150" s="46">
        <v>0.9</v>
      </c>
      <c r="BW150" s="118">
        <f t="shared" si="133"/>
        <v>139.5</v>
      </c>
      <c r="BX150" s="118">
        <f t="shared" si="134"/>
        <v>0</v>
      </c>
      <c r="BY150" s="50"/>
      <c r="CA150" s="45">
        <v>155</v>
      </c>
      <c r="CB150" s="46">
        <v>0.9</v>
      </c>
      <c r="CC150" s="118">
        <f t="shared" si="127"/>
        <v>139.5</v>
      </c>
      <c r="CD150" s="118"/>
      <c r="CE150" s="92">
        <f t="shared" si="128"/>
        <v>0</v>
      </c>
      <c r="CF150" s="92">
        <f t="shared" si="129"/>
        <v>0</v>
      </c>
      <c r="CG150" s="50"/>
      <c r="CI150" s="160">
        <v>0</v>
      </c>
      <c r="CJ150" s="164">
        <v>0.9</v>
      </c>
      <c r="CK150" s="165">
        <f t="shared" si="123"/>
        <v>0</v>
      </c>
      <c r="CL150" s="92">
        <f t="shared" si="110"/>
        <v>-139.5</v>
      </c>
      <c r="CM150" s="50"/>
      <c r="CN150" s="139"/>
      <c r="CO150" s="160">
        <v>0</v>
      </c>
      <c r="CP150" s="164">
        <v>0.9</v>
      </c>
      <c r="CQ150" s="165">
        <f t="shared" si="111"/>
        <v>0</v>
      </c>
      <c r="CR150" s="168">
        <f t="shared" si="112"/>
        <v>0</v>
      </c>
      <c r="CT150" s="139"/>
      <c r="CU150" s="160">
        <v>0</v>
      </c>
      <c r="CV150" s="164">
        <v>0.9</v>
      </c>
      <c r="CW150" s="165">
        <f t="shared" si="113"/>
        <v>0</v>
      </c>
      <c r="CX150" s="160">
        <v>0</v>
      </c>
      <c r="CY150" s="164">
        <v>0.9</v>
      </c>
      <c r="CZ150" s="165">
        <f t="shared" si="114"/>
        <v>0</v>
      </c>
      <c r="DA150" s="168">
        <f>CZ150-CQ150</f>
        <v>0</v>
      </c>
      <c r="DB150" s="168">
        <f>CZ150-CW150</f>
        <v>0</v>
      </c>
      <c r="DC150" s="168"/>
      <c r="DF150" s="160">
        <v>0</v>
      </c>
      <c r="DG150" s="164">
        <v>0.9</v>
      </c>
      <c r="DH150" s="165">
        <f t="shared" si="119"/>
        <v>0</v>
      </c>
      <c r="DI150" s="168">
        <f t="shared" si="120"/>
        <v>0</v>
      </c>
      <c r="DJ150" s="168">
        <f t="shared" si="121"/>
        <v>0</v>
      </c>
      <c r="DK150" s="168"/>
      <c r="DL150" s="168"/>
      <c r="DM150" s="201">
        <f>SUM(DO150:DS150)</f>
        <v>0</v>
      </c>
      <c r="DN150" s="168">
        <f t="shared" si="122"/>
        <v>0</v>
      </c>
    </row>
    <row r="151" spans="1:131" s="91" customFormat="1" ht="16.25" hidden="1" customHeight="1" x14ac:dyDescent="0.4">
      <c r="A151" s="32" t="s">
        <v>97</v>
      </c>
      <c r="B151" s="32" t="s">
        <v>654</v>
      </c>
      <c r="C151" s="32" t="s">
        <v>20</v>
      </c>
      <c r="D151" s="16" t="s">
        <v>167</v>
      </c>
      <c r="E151" s="87" t="s">
        <v>168</v>
      </c>
      <c r="F151" s="87" t="s">
        <v>114</v>
      </c>
      <c r="G151" s="32" t="s">
        <v>101</v>
      </c>
      <c r="H151" s="32" t="s">
        <v>102</v>
      </c>
      <c r="I151" s="51" t="s">
        <v>103</v>
      </c>
      <c r="J151" s="38"/>
      <c r="K151" s="36"/>
      <c r="L151" s="36"/>
      <c r="M151" s="36" t="s">
        <v>169</v>
      </c>
      <c r="N151" s="36"/>
      <c r="O151" s="38"/>
      <c r="P151" s="32" t="s">
        <v>170</v>
      </c>
      <c r="Q151" s="129">
        <v>25</v>
      </c>
      <c r="R151" s="129"/>
      <c r="S151" s="129"/>
      <c r="T151" s="129"/>
      <c r="U151" s="129"/>
      <c r="V151" s="129">
        <f>CK151-Q151</f>
        <v>975</v>
      </c>
      <c r="W151" s="129"/>
      <c r="X151" s="129"/>
      <c r="Y151" s="129"/>
      <c r="Z151" s="129"/>
      <c r="AA151" s="129"/>
      <c r="AB151" s="129"/>
      <c r="AC151" s="88"/>
      <c r="AD151" s="39">
        <v>20000</v>
      </c>
      <c r="AE151" s="39"/>
      <c r="AF151" s="37"/>
      <c r="AG151" s="37"/>
      <c r="AH151" s="158"/>
      <c r="AI151" s="160"/>
      <c r="AJ151" s="37"/>
      <c r="AK151" s="46"/>
      <c r="AL151" s="47"/>
      <c r="AM151" s="162"/>
      <c r="AN151" s="39"/>
      <c r="AO151" s="97"/>
      <c r="AP151" s="39"/>
      <c r="AQ151" s="160"/>
      <c r="AR151" s="39"/>
      <c r="AS151" s="40"/>
      <c r="AT151" s="39"/>
      <c r="AU151" s="48"/>
      <c r="AV151" s="49"/>
      <c r="AW151" s="48"/>
      <c r="AY151" s="39"/>
      <c r="AZ151" s="40"/>
      <c r="BA151" s="39"/>
      <c r="BB151" s="39"/>
      <c r="BC151" s="59"/>
      <c r="BE151" s="39"/>
      <c r="BF151" s="40"/>
      <c r="BG151" s="39"/>
      <c r="BH151" s="39"/>
      <c r="BI151" s="39"/>
      <c r="BJ151" s="39"/>
      <c r="BK151" s="59"/>
      <c r="BL151" s="154"/>
      <c r="BM151" s="39">
        <v>50</v>
      </c>
      <c r="BN151" s="40">
        <v>1</v>
      </c>
      <c r="BO151" s="39">
        <f t="shared" si="131"/>
        <v>50</v>
      </c>
      <c r="BP151" s="37">
        <f>VLOOKUP(D151,'May FF'!B$3:C$38,2,0)/1000</f>
        <v>50</v>
      </c>
      <c r="BQ151" s="92">
        <f t="shared" si="132"/>
        <v>50</v>
      </c>
      <c r="BR151" s="34" t="s">
        <v>106</v>
      </c>
      <c r="BS151" s="50" t="s">
        <v>171</v>
      </c>
      <c r="BU151" s="39">
        <v>25</v>
      </c>
      <c r="BV151" s="40">
        <v>1</v>
      </c>
      <c r="BW151" s="118">
        <f t="shared" si="133"/>
        <v>25</v>
      </c>
      <c r="BX151" s="118">
        <f t="shared" si="134"/>
        <v>-25</v>
      </c>
      <c r="BY151" s="50"/>
      <c r="CA151" s="39">
        <v>25</v>
      </c>
      <c r="CB151" s="40">
        <v>1</v>
      </c>
      <c r="CC151" s="118">
        <f t="shared" si="127"/>
        <v>25</v>
      </c>
      <c r="CD151" s="118"/>
      <c r="CE151" s="92">
        <f t="shared" si="128"/>
        <v>0</v>
      </c>
      <c r="CF151" s="92">
        <f t="shared" si="129"/>
        <v>-25</v>
      </c>
      <c r="CG151" s="50"/>
      <c r="CI151" s="159">
        <v>2000</v>
      </c>
      <c r="CJ151" s="166">
        <v>0.5</v>
      </c>
      <c r="CK151" s="165">
        <f t="shared" si="123"/>
        <v>1000</v>
      </c>
      <c r="CL151" s="92">
        <f t="shared" si="110"/>
        <v>975</v>
      </c>
      <c r="CM151" s="50"/>
      <c r="CO151" s="159">
        <v>2000</v>
      </c>
      <c r="CP151" s="166">
        <v>0.5</v>
      </c>
      <c r="CQ151" s="165">
        <f t="shared" si="111"/>
        <v>1000</v>
      </c>
      <c r="CR151" s="168">
        <f t="shared" si="112"/>
        <v>0</v>
      </c>
      <c r="CU151" s="159">
        <v>2000</v>
      </c>
      <c r="CV151" s="166">
        <v>0.5</v>
      </c>
      <c r="CW151" s="165">
        <f t="shared" si="113"/>
        <v>1000</v>
      </c>
      <c r="CX151" s="159">
        <v>2000</v>
      </c>
      <c r="CY151" s="166">
        <v>0.5</v>
      </c>
      <c r="CZ151" s="165">
        <f t="shared" si="114"/>
        <v>1000</v>
      </c>
      <c r="DA151" s="168">
        <f>CZ151-CQ151</f>
        <v>0</v>
      </c>
      <c r="DB151" s="168">
        <f>CZ151-CW151</f>
        <v>0</v>
      </c>
      <c r="DC151" s="168"/>
      <c r="DF151" s="159">
        <v>2000</v>
      </c>
      <c r="DG151" s="166">
        <v>0.5</v>
      </c>
      <c r="DH151" s="165">
        <f t="shared" si="119"/>
        <v>1000</v>
      </c>
      <c r="DI151" s="168">
        <f t="shared" si="120"/>
        <v>0</v>
      </c>
      <c r="DJ151" s="168">
        <f t="shared" si="121"/>
        <v>0</v>
      </c>
      <c r="DK151" s="168"/>
      <c r="DL151" s="168"/>
      <c r="DM151" s="168"/>
      <c r="DN151" s="168">
        <f t="shared" si="122"/>
        <v>1001.316</v>
      </c>
      <c r="DO151" s="165">
        <v>0</v>
      </c>
      <c r="DP151" s="165">
        <v>0</v>
      </c>
      <c r="DQ151" s="165">
        <v>26.315999999999999</v>
      </c>
      <c r="DR151" s="165">
        <v>0</v>
      </c>
      <c r="DS151" s="165">
        <v>0</v>
      </c>
      <c r="DT151" s="165">
        <v>0</v>
      </c>
      <c r="DU151" s="165">
        <v>0</v>
      </c>
      <c r="DV151" s="165">
        <v>0</v>
      </c>
      <c r="DW151" s="165">
        <v>975</v>
      </c>
      <c r="DX151" s="165">
        <v>0</v>
      </c>
      <c r="DY151" s="165">
        <v>0</v>
      </c>
      <c r="DZ151" s="165">
        <v>0</v>
      </c>
      <c r="EA151" s="168"/>
    </row>
    <row r="152" spans="1:131" s="50" customFormat="1" ht="16.25" hidden="1" customHeight="1" x14ac:dyDescent="0.35">
      <c r="A152" s="36" t="s">
        <v>97</v>
      </c>
      <c r="B152" s="36" t="s">
        <v>584</v>
      </c>
      <c r="C152" s="36" t="s">
        <v>172</v>
      </c>
      <c r="D152" s="36" t="s">
        <v>193</v>
      </c>
      <c r="E152" s="38" t="s">
        <v>651</v>
      </c>
      <c r="F152" s="38" t="s">
        <v>175</v>
      </c>
      <c r="G152" s="32" t="s">
        <v>263</v>
      </c>
      <c r="H152" s="32"/>
      <c r="I152" s="16"/>
      <c r="J152" s="33"/>
      <c r="K152" s="36"/>
      <c r="L152" s="36"/>
      <c r="M152" s="36"/>
      <c r="N152" s="36"/>
      <c r="O152" s="33"/>
      <c r="P152" s="36" t="s">
        <v>361</v>
      </c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  <c r="AB152" s="129"/>
      <c r="AC152" s="36"/>
      <c r="AD152" s="37"/>
      <c r="AE152" s="37"/>
      <c r="AF152" s="39"/>
      <c r="AG152" s="39"/>
      <c r="AH152" s="38"/>
      <c r="AI152" s="39"/>
      <c r="AJ152" s="37">
        <v>0</v>
      </c>
      <c r="AK152" s="46">
        <v>0</v>
      </c>
      <c r="AL152" s="47">
        <f>AJ152*AK152</f>
        <v>0</v>
      </c>
      <c r="AM152" s="47"/>
      <c r="AN152" s="39"/>
      <c r="AO152" s="97" t="e">
        <f>VLOOKUP(D152,'May FF'!B104:E303,3,0)</f>
        <v>#N/A</v>
      </c>
      <c r="AP152" s="39" t="e">
        <f>VLOOKUP($D152,'May FF'!$B$2:$E$201,4,0)</f>
        <v>#N/A</v>
      </c>
      <c r="AQ152" s="39"/>
      <c r="AR152" s="45"/>
      <c r="AS152" s="46"/>
      <c r="AT152" s="37"/>
      <c r="AU152" s="48"/>
      <c r="AV152" s="49"/>
      <c r="AW152" s="48"/>
      <c r="AX152" s="34"/>
      <c r="AY152" s="45">
        <v>0</v>
      </c>
      <c r="AZ152" s="46">
        <v>0</v>
      </c>
      <c r="BA152" s="37">
        <f>AY152*AZ152</f>
        <v>0</v>
      </c>
      <c r="BB152" s="39"/>
      <c r="BD152" s="34"/>
      <c r="BE152" s="45">
        <v>200</v>
      </c>
      <c r="BF152" s="46">
        <v>0.9</v>
      </c>
      <c r="BG152" s="37">
        <f>BE152*BF152</f>
        <v>180</v>
      </c>
      <c r="BH152" s="39"/>
      <c r="BI152" s="39">
        <f>BG152-BA152</f>
        <v>180</v>
      </c>
      <c r="BJ152" s="82" t="s">
        <v>650</v>
      </c>
      <c r="BL152" s="34"/>
      <c r="BM152" s="45">
        <v>200</v>
      </c>
      <c r="BN152" s="120">
        <v>1</v>
      </c>
      <c r="BO152" s="37">
        <f t="shared" si="131"/>
        <v>200</v>
      </c>
      <c r="BP152" s="37"/>
      <c r="BQ152" s="92">
        <f t="shared" si="132"/>
        <v>200</v>
      </c>
      <c r="BR152" s="59"/>
      <c r="BT152" s="34"/>
      <c r="BU152" s="45">
        <v>200</v>
      </c>
      <c r="BV152" s="120">
        <v>1</v>
      </c>
      <c r="BW152" s="92">
        <f t="shared" si="133"/>
        <v>200</v>
      </c>
      <c r="BX152" s="118">
        <f t="shared" si="134"/>
        <v>0</v>
      </c>
      <c r="BZ152" s="34"/>
      <c r="CA152" s="45">
        <v>200</v>
      </c>
      <c r="CB152" s="120">
        <v>1</v>
      </c>
      <c r="CC152" s="118">
        <f t="shared" si="127"/>
        <v>200</v>
      </c>
      <c r="CD152" s="118"/>
      <c r="CE152" s="92">
        <f t="shared" si="128"/>
        <v>0</v>
      </c>
      <c r="CF152" s="92">
        <f t="shared" si="129"/>
        <v>0</v>
      </c>
      <c r="CH152" s="34"/>
      <c r="CI152" s="45">
        <v>0</v>
      </c>
      <c r="CJ152" s="120">
        <v>0</v>
      </c>
      <c r="CK152" s="118">
        <f t="shared" si="123"/>
        <v>0</v>
      </c>
      <c r="CL152" s="118">
        <f t="shared" si="110"/>
        <v>-200</v>
      </c>
      <c r="CM152" s="34"/>
      <c r="CN152" s="17"/>
      <c r="CO152" s="45">
        <v>0</v>
      </c>
      <c r="CP152" s="120">
        <v>0</v>
      </c>
      <c r="CQ152" s="118">
        <f t="shared" si="111"/>
        <v>0</v>
      </c>
      <c r="CR152" s="92">
        <f t="shared" si="112"/>
        <v>0</v>
      </c>
      <c r="CS152" s="91"/>
      <c r="CT152" s="17"/>
      <c r="CU152" s="45">
        <v>0</v>
      </c>
      <c r="CV152" s="120">
        <v>0</v>
      </c>
      <c r="CW152" s="118">
        <f t="shared" si="113"/>
        <v>0</v>
      </c>
      <c r="CX152" s="45">
        <v>0</v>
      </c>
      <c r="CY152" s="120">
        <v>0</v>
      </c>
      <c r="CZ152" s="118">
        <f t="shared" si="114"/>
        <v>0</v>
      </c>
      <c r="DA152" s="92">
        <f>CW152-CQ152</f>
        <v>0</v>
      </c>
      <c r="DB152" s="92"/>
      <c r="DC152" s="92"/>
      <c r="DD152" s="91"/>
      <c r="DE152" s="91"/>
      <c r="DF152" s="45">
        <v>0</v>
      </c>
      <c r="DG152" s="120">
        <v>0</v>
      </c>
      <c r="DH152" s="118">
        <f t="shared" si="119"/>
        <v>0</v>
      </c>
      <c r="DI152" s="168">
        <f t="shared" si="120"/>
        <v>0</v>
      </c>
      <c r="DJ152" s="168">
        <f t="shared" si="121"/>
        <v>0</v>
      </c>
      <c r="DK152" s="91"/>
      <c r="DL152" s="91"/>
      <c r="DM152" s="91"/>
      <c r="DN152" s="92">
        <f t="shared" si="122"/>
        <v>0</v>
      </c>
    </row>
    <row r="153" spans="1:131" s="50" customFormat="1" ht="16.25" hidden="1" customHeight="1" x14ac:dyDescent="0.35">
      <c r="A153" s="36" t="s">
        <v>97</v>
      </c>
      <c r="B153" s="36" t="s">
        <v>584</v>
      </c>
      <c r="C153" s="36" t="s">
        <v>20</v>
      </c>
      <c r="D153" s="36" t="s">
        <v>193</v>
      </c>
      <c r="E153" s="38" t="s">
        <v>652</v>
      </c>
      <c r="F153" s="38" t="s">
        <v>114</v>
      </c>
      <c r="G153" s="32" t="s">
        <v>263</v>
      </c>
      <c r="H153" s="32"/>
      <c r="I153" s="36"/>
      <c r="J153" s="33"/>
      <c r="K153" s="36"/>
      <c r="L153" s="36"/>
      <c r="M153" s="36"/>
      <c r="N153" s="36"/>
      <c r="O153" s="38"/>
      <c r="P153" s="36" t="s">
        <v>361</v>
      </c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36"/>
      <c r="AD153" s="39"/>
      <c r="AE153" s="37"/>
      <c r="AF153" s="37"/>
      <c r="AG153" s="37"/>
      <c r="AH153" s="34"/>
      <c r="AI153" s="34"/>
      <c r="AJ153" s="37"/>
      <c r="AK153" s="46"/>
      <c r="AL153" s="47"/>
      <c r="AM153" s="47"/>
      <c r="AN153" s="39"/>
      <c r="AO153" s="45"/>
      <c r="AP153" s="45"/>
      <c r="AQ153" s="45"/>
      <c r="AR153" s="45"/>
      <c r="AS153" s="46"/>
      <c r="AT153" s="37"/>
      <c r="AU153" s="48"/>
      <c r="AV153" s="49"/>
      <c r="AW153" s="48"/>
      <c r="AX153" s="34"/>
      <c r="AY153" s="45"/>
      <c r="AZ153" s="46">
        <v>0</v>
      </c>
      <c r="BA153" s="37"/>
      <c r="BB153" s="39"/>
      <c r="BD153" s="34"/>
      <c r="BE153" s="45"/>
      <c r="BF153" s="46"/>
      <c r="BG153" s="37"/>
      <c r="BH153" s="37"/>
      <c r="BI153" s="39"/>
      <c r="BJ153" s="39"/>
      <c r="BL153" s="34"/>
      <c r="BM153" s="45">
        <v>1200</v>
      </c>
      <c r="BN153" s="120">
        <v>1</v>
      </c>
      <c r="BO153" s="37">
        <f t="shared" si="131"/>
        <v>1200</v>
      </c>
      <c r="BP153" s="37"/>
      <c r="BQ153" s="92">
        <f t="shared" si="132"/>
        <v>1200</v>
      </c>
      <c r="BR153" s="59" t="s">
        <v>653</v>
      </c>
      <c r="BT153" s="34"/>
      <c r="BU153" s="45">
        <v>1200</v>
      </c>
      <c r="BV153" s="120">
        <v>1</v>
      </c>
      <c r="BW153" s="92">
        <f t="shared" si="133"/>
        <v>1200</v>
      </c>
      <c r="BX153" s="118">
        <f t="shared" si="134"/>
        <v>0</v>
      </c>
      <c r="BZ153" s="34"/>
      <c r="CA153" s="45">
        <v>1680</v>
      </c>
      <c r="CB153" s="120">
        <v>1</v>
      </c>
      <c r="CC153" s="118">
        <f t="shared" si="127"/>
        <v>1680</v>
      </c>
      <c r="CD153" s="118"/>
      <c r="CE153" s="92">
        <f t="shared" si="128"/>
        <v>480</v>
      </c>
      <c r="CF153" s="92">
        <f t="shared" si="129"/>
        <v>480</v>
      </c>
      <c r="CH153" s="34"/>
      <c r="CI153" s="45">
        <v>1680</v>
      </c>
      <c r="CJ153" s="120">
        <v>0</v>
      </c>
      <c r="CK153" s="118">
        <f t="shared" si="123"/>
        <v>0</v>
      </c>
      <c r="CL153" s="118">
        <f t="shared" si="110"/>
        <v>-1680</v>
      </c>
      <c r="CM153" s="34"/>
      <c r="CN153" s="17"/>
      <c r="CO153" s="45">
        <v>1680</v>
      </c>
      <c r="CP153" s="120">
        <v>0</v>
      </c>
      <c r="CQ153" s="118">
        <f t="shared" si="111"/>
        <v>0</v>
      </c>
      <c r="CR153" s="92">
        <f t="shared" si="112"/>
        <v>0</v>
      </c>
      <c r="CS153" s="91"/>
      <c r="CT153" s="17"/>
      <c r="CU153" s="45">
        <v>0</v>
      </c>
      <c r="CV153" s="120">
        <v>0</v>
      </c>
      <c r="CW153" s="118">
        <f t="shared" si="113"/>
        <v>0</v>
      </c>
      <c r="CX153" s="45">
        <v>0</v>
      </c>
      <c r="CY153" s="120">
        <v>0</v>
      </c>
      <c r="CZ153" s="118">
        <f t="shared" si="114"/>
        <v>0</v>
      </c>
      <c r="DA153" s="92">
        <f>CW153-CQ153</f>
        <v>0</v>
      </c>
      <c r="DB153" s="92"/>
      <c r="DC153" s="92"/>
      <c r="DD153" s="91"/>
      <c r="DE153" s="91"/>
      <c r="DF153" s="45">
        <v>0</v>
      </c>
      <c r="DG153" s="120">
        <v>0</v>
      </c>
      <c r="DH153" s="118">
        <f t="shared" si="119"/>
        <v>0</v>
      </c>
      <c r="DI153" s="168">
        <f t="shared" si="120"/>
        <v>0</v>
      </c>
      <c r="DJ153" s="168">
        <f t="shared" si="121"/>
        <v>0</v>
      </c>
      <c r="DK153" s="91"/>
      <c r="DL153" s="91"/>
      <c r="DM153" s="91"/>
      <c r="DN153" s="92">
        <f t="shared" si="122"/>
        <v>0</v>
      </c>
    </row>
    <row r="154" spans="1:131" s="50" customFormat="1" ht="16.25" hidden="1" customHeight="1" x14ac:dyDescent="0.35">
      <c r="A154" s="36" t="s">
        <v>97</v>
      </c>
      <c r="B154" s="36" t="s">
        <v>654</v>
      </c>
      <c r="C154" s="36" t="s">
        <v>20</v>
      </c>
      <c r="D154" s="36" t="s">
        <v>193</v>
      </c>
      <c r="E154" s="38" t="s">
        <v>655</v>
      </c>
      <c r="F154" s="38" t="s">
        <v>114</v>
      </c>
      <c r="G154" s="32" t="s">
        <v>263</v>
      </c>
      <c r="H154" s="32"/>
      <c r="I154" s="38"/>
      <c r="J154" s="38"/>
      <c r="K154" s="38"/>
      <c r="L154" s="38"/>
      <c r="M154" s="36" t="s">
        <v>244</v>
      </c>
      <c r="N154" s="36"/>
      <c r="O154" s="38"/>
      <c r="P154" s="36" t="s">
        <v>361</v>
      </c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36"/>
      <c r="AD154" s="37">
        <v>25000</v>
      </c>
      <c r="AE154" s="37"/>
      <c r="AF154" s="37"/>
      <c r="AG154" s="37"/>
      <c r="AH154" s="34"/>
      <c r="AI154" s="45"/>
      <c r="AJ154" s="37">
        <v>0</v>
      </c>
      <c r="AK154" s="46">
        <v>0</v>
      </c>
      <c r="AL154" s="47">
        <f>AJ154*AK154</f>
        <v>0</v>
      </c>
      <c r="AM154" s="47"/>
      <c r="AN154" s="39" t="e">
        <f>VLOOKUP(D154,'May FF'!B$2:E$201,2,0)</f>
        <v>#N/A</v>
      </c>
      <c r="AO154" s="97">
        <v>0</v>
      </c>
      <c r="AP154" s="39" t="e">
        <f>VLOOKUP($D154,'May FF'!$B$2:$E$201,4,0)</f>
        <v>#N/A</v>
      </c>
      <c r="AQ154" s="37"/>
      <c r="AR154" s="45">
        <v>22500</v>
      </c>
      <c r="AS154" s="46">
        <v>0.9</v>
      </c>
      <c r="AT154" s="37">
        <v>20250</v>
      </c>
      <c r="AU154" s="48"/>
      <c r="AV154" s="49">
        <f>AU154*AS154</f>
        <v>0</v>
      </c>
      <c r="AW154" s="48"/>
      <c r="AX154" s="34"/>
      <c r="AY154" s="45">
        <v>22500</v>
      </c>
      <c r="AZ154" s="46">
        <v>1</v>
      </c>
      <c r="BA154" s="37">
        <f>AY154*AZ154</f>
        <v>22500</v>
      </c>
      <c r="BB154" s="37"/>
      <c r="BD154" s="34"/>
      <c r="BE154" s="45">
        <v>22500</v>
      </c>
      <c r="BF154" s="46">
        <v>0.9</v>
      </c>
      <c r="BG154" s="37">
        <v>20250</v>
      </c>
      <c r="BH154" s="37"/>
      <c r="BI154" s="39">
        <f>BG154-BA154</f>
        <v>-2250</v>
      </c>
      <c r="BJ154" s="39"/>
      <c r="BL154" s="34"/>
      <c r="BM154" s="45">
        <v>15000</v>
      </c>
      <c r="BN154" s="120">
        <v>1</v>
      </c>
      <c r="BO154" s="37">
        <f t="shared" si="131"/>
        <v>15000</v>
      </c>
      <c r="BP154" s="37"/>
      <c r="BQ154" s="92">
        <f t="shared" si="132"/>
        <v>-7500</v>
      </c>
      <c r="BR154" s="59"/>
      <c r="BT154" s="115"/>
      <c r="BU154" s="45">
        <v>15000</v>
      </c>
      <c r="BV154" s="120">
        <v>1</v>
      </c>
      <c r="BW154" s="39">
        <f t="shared" si="133"/>
        <v>15000</v>
      </c>
      <c r="BX154" s="118">
        <f t="shared" si="134"/>
        <v>0</v>
      </c>
      <c r="BY154" s="17"/>
      <c r="BZ154" s="115"/>
      <c r="CA154" s="45">
        <v>7500</v>
      </c>
      <c r="CB154" s="120">
        <v>1</v>
      </c>
      <c r="CC154" s="39">
        <f t="shared" si="127"/>
        <v>7500</v>
      </c>
      <c r="CD154" s="100"/>
      <c r="CE154" s="92">
        <f t="shared" si="128"/>
        <v>-7500</v>
      </c>
      <c r="CF154" s="92">
        <f t="shared" si="129"/>
        <v>-7500</v>
      </c>
      <c r="CG154" s="139" t="s">
        <v>656</v>
      </c>
      <c r="CH154" s="34"/>
      <c r="CI154" s="45">
        <v>6000</v>
      </c>
      <c r="CJ154" s="120">
        <v>1</v>
      </c>
      <c r="CK154" s="39">
        <f t="shared" si="123"/>
        <v>6000</v>
      </c>
      <c r="CL154" s="118">
        <f t="shared" si="110"/>
        <v>-1500</v>
      </c>
      <c r="CM154" s="142" t="s">
        <v>656</v>
      </c>
      <c r="CN154" s="17"/>
      <c r="CO154" s="45">
        <v>6000</v>
      </c>
      <c r="CP154" s="120">
        <v>1</v>
      </c>
      <c r="CQ154" s="39">
        <f t="shared" si="111"/>
        <v>6000</v>
      </c>
      <c r="CR154" s="92">
        <f t="shared" si="112"/>
        <v>0</v>
      </c>
      <c r="CS154" s="91"/>
      <c r="CT154" s="17"/>
      <c r="CU154" s="45">
        <v>6000</v>
      </c>
      <c r="CV154" s="120">
        <v>1</v>
      </c>
      <c r="CW154" s="39">
        <f t="shared" si="113"/>
        <v>6000</v>
      </c>
      <c r="CX154" s="45">
        <v>6000</v>
      </c>
      <c r="CY154" s="120">
        <v>1</v>
      </c>
      <c r="CZ154" s="39">
        <f t="shared" si="114"/>
        <v>6000</v>
      </c>
      <c r="DA154" s="92">
        <f>CW154-CQ154</f>
        <v>0</v>
      </c>
      <c r="DB154" s="92"/>
      <c r="DC154" s="92"/>
      <c r="DD154" s="91"/>
      <c r="DE154" s="91"/>
      <c r="DF154" s="45">
        <v>6000</v>
      </c>
      <c r="DG154" s="120">
        <v>1</v>
      </c>
      <c r="DH154" s="39">
        <f t="shared" si="119"/>
        <v>6000</v>
      </c>
      <c r="DI154" s="168">
        <f t="shared" si="120"/>
        <v>0</v>
      </c>
      <c r="DJ154" s="168">
        <f t="shared" si="121"/>
        <v>0</v>
      </c>
      <c r="DK154" s="91"/>
      <c r="DL154" s="91"/>
      <c r="DM154" s="91"/>
      <c r="DN154" s="92">
        <f t="shared" si="122"/>
        <v>0</v>
      </c>
    </row>
    <row r="155" spans="1:131" s="50" customFormat="1" ht="16.25" hidden="1" customHeight="1" x14ac:dyDescent="0.35">
      <c r="A155" s="36" t="s">
        <v>657</v>
      </c>
      <c r="B155" s="36" t="s">
        <v>580</v>
      </c>
      <c r="C155" s="36" t="s">
        <v>172</v>
      </c>
      <c r="D155" s="36" t="s">
        <v>658</v>
      </c>
      <c r="E155" s="38" t="s">
        <v>659</v>
      </c>
      <c r="F155" s="38" t="s">
        <v>213</v>
      </c>
      <c r="G155" s="32" t="s">
        <v>101</v>
      </c>
      <c r="H155" s="32"/>
      <c r="I155" s="36"/>
      <c r="J155" s="34"/>
      <c r="K155" s="36"/>
      <c r="L155" s="36"/>
      <c r="M155" s="36"/>
      <c r="N155" s="36"/>
      <c r="O155" s="33"/>
      <c r="P155" s="36" t="s">
        <v>193</v>
      </c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7"/>
      <c r="AE155" s="37"/>
      <c r="AF155" s="37"/>
      <c r="AG155" s="37"/>
      <c r="AH155" s="34"/>
      <c r="AI155" s="45"/>
      <c r="AJ155" s="37"/>
      <c r="AK155" s="46"/>
      <c r="AL155" s="47"/>
      <c r="AM155" s="47"/>
      <c r="AN155" s="45"/>
      <c r="AO155" s="45"/>
      <c r="AP155" s="45"/>
      <c r="AQ155" s="45"/>
      <c r="AR155" s="45">
        <v>200</v>
      </c>
      <c r="AS155" s="46">
        <v>1</v>
      </c>
      <c r="AT155" s="45">
        <f>AR155*AS155</f>
        <v>200</v>
      </c>
      <c r="AU155" s="48"/>
      <c r="AV155" s="49">
        <f>AU155*AS155</f>
        <v>0</v>
      </c>
      <c r="AW155" s="48"/>
      <c r="AY155" s="45">
        <v>200</v>
      </c>
      <c r="AZ155" s="46">
        <v>1</v>
      </c>
      <c r="BA155" s="45">
        <f>AY155*AZ155</f>
        <v>200</v>
      </c>
      <c r="BB155" s="39">
        <f>BA155-AT155</f>
        <v>0</v>
      </c>
      <c r="BE155" s="45">
        <v>200</v>
      </c>
      <c r="BF155" s="46">
        <v>1</v>
      </c>
      <c r="BG155" s="45">
        <f>BE155*BF155</f>
        <v>200</v>
      </c>
      <c r="BH155" s="45"/>
      <c r="BI155" s="39">
        <f>BG155-BA155</f>
        <v>0</v>
      </c>
      <c r="BJ155" s="39"/>
      <c r="BM155" s="45">
        <v>200</v>
      </c>
      <c r="BN155" s="46">
        <v>1</v>
      </c>
      <c r="BO155" s="45">
        <f t="shared" si="131"/>
        <v>200</v>
      </c>
      <c r="BP155" s="45"/>
      <c r="BQ155" s="92">
        <f t="shared" si="132"/>
        <v>0</v>
      </c>
      <c r="BR155" s="59"/>
      <c r="BU155" s="45">
        <v>200</v>
      </c>
      <c r="BV155" s="46">
        <v>1</v>
      </c>
      <c r="BW155" s="118">
        <f t="shared" si="133"/>
        <v>200</v>
      </c>
      <c r="BX155" s="118">
        <f t="shared" si="134"/>
        <v>0</v>
      </c>
      <c r="CA155" s="45">
        <v>0</v>
      </c>
      <c r="CB155" s="46">
        <v>0</v>
      </c>
      <c r="CC155" s="118">
        <f t="shared" si="127"/>
        <v>0</v>
      </c>
      <c r="CD155" s="118">
        <v>0</v>
      </c>
      <c r="CE155" s="92">
        <f t="shared" si="128"/>
        <v>-200</v>
      </c>
      <c r="CF155" s="92">
        <f t="shared" si="129"/>
        <v>-200</v>
      </c>
      <c r="CI155" s="45">
        <v>0</v>
      </c>
      <c r="CJ155" s="46">
        <v>0</v>
      </c>
      <c r="CK155" s="118">
        <f t="shared" si="123"/>
        <v>0</v>
      </c>
      <c r="CL155" s="92">
        <f t="shared" si="110"/>
        <v>0</v>
      </c>
      <c r="CN155" s="17"/>
      <c r="CO155" s="45">
        <v>0</v>
      </c>
      <c r="CP155" s="46">
        <v>0</v>
      </c>
      <c r="CQ155" s="118">
        <f t="shared" si="111"/>
        <v>0</v>
      </c>
      <c r="CR155" s="92">
        <f t="shared" si="112"/>
        <v>0</v>
      </c>
      <c r="CS155" s="91"/>
      <c r="CT155" s="17"/>
      <c r="CU155" s="45">
        <v>0</v>
      </c>
      <c r="CV155" s="46">
        <v>0</v>
      </c>
      <c r="CW155" s="118">
        <f t="shared" si="113"/>
        <v>0</v>
      </c>
      <c r="CX155" s="45">
        <v>0</v>
      </c>
      <c r="CY155" s="46">
        <v>0</v>
      </c>
      <c r="CZ155" s="118">
        <f t="shared" si="114"/>
        <v>0</v>
      </c>
      <c r="DA155" s="168">
        <f t="shared" ref="DA155:DA161" si="135">CZ155-CQ155</f>
        <v>0</v>
      </c>
      <c r="DB155" s="168">
        <f t="shared" ref="DB155:DB161" si="136">CZ155-CW155</f>
        <v>0</v>
      </c>
      <c r="DC155" s="168">
        <f t="shared" ref="DC155:DC161" si="137">CZ155-CK155</f>
        <v>0</v>
      </c>
      <c r="DD155" s="91"/>
      <c r="DE155" s="91"/>
      <c r="DF155" s="45">
        <v>0</v>
      </c>
      <c r="DG155" s="46">
        <v>0</v>
      </c>
      <c r="DH155" s="118">
        <f t="shared" si="119"/>
        <v>0</v>
      </c>
      <c r="DI155" s="168">
        <f t="shared" si="120"/>
        <v>0</v>
      </c>
      <c r="DJ155" s="168">
        <f t="shared" si="121"/>
        <v>0</v>
      </c>
      <c r="DK155" s="168"/>
      <c r="DL155" s="168"/>
      <c r="DM155" s="168"/>
      <c r="DN155" s="92">
        <f t="shared" si="122"/>
        <v>0</v>
      </c>
      <c r="DO155" s="151">
        <v>0</v>
      </c>
      <c r="DP155" s="151">
        <v>0</v>
      </c>
      <c r="DQ155" s="151">
        <v>0</v>
      </c>
      <c r="DR155" s="151">
        <v>0</v>
      </c>
      <c r="DS155" s="151">
        <v>0</v>
      </c>
      <c r="DT155" s="151">
        <v>0</v>
      </c>
      <c r="DU155" s="151">
        <v>0</v>
      </c>
      <c r="DV155" s="151">
        <v>0</v>
      </c>
      <c r="DW155" s="151">
        <v>0</v>
      </c>
      <c r="DX155" s="151">
        <v>0</v>
      </c>
      <c r="DY155" s="151">
        <v>0</v>
      </c>
      <c r="DZ155" s="151">
        <v>0</v>
      </c>
    </row>
    <row r="156" spans="1:131" s="50" customFormat="1" ht="16.25" hidden="1" customHeight="1" x14ac:dyDescent="0.35">
      <c r="A156" s="36" t="s">
        <v>657</v>
      </c>
      <c r="B156" s="36" t="s">
        <v>660</v>
      </c>
      <c r="C156" s="36" t="s">
        <v>28</v>
      </c>
      <c r="D156" s="16" t="s">
        <v>661</v>
      </c>
      <c r="E156" s="209" t="s">
        <v>662</v>
      </c>
      <c r="F156" s="38" t="s">
        <v>114</v>
      </c>
      <c r="G156" s="32" t="s">
        <v>101</v>
      </c>
      <c r="H156" s="32"/>
      <c r="I156" s="36" t="s">
        <v>103</v>
      </c>
      <c r="J156" s="34"/>
      <c r="K156" s="36"/>
      <c r="L156" s="36"/>
      <c r="M156" s="36" t="s">
        <v>663</v>
      </c>
      <c r="N156" s="36"/>
      <c r="O156" s="38"/>
      <c r="P156" s="36" t="s">
        <v>111</v>
      </c>
      <c r="Q156" s="129">
        <f t="shared" ref="Q156:Q161" si="138">CZ156</f>
        <v>3871.9409999999998</v>
      </c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7">
        <v>21510</v>
      </c>
      <c r="AE156" s="37"/>
      <c r="AF156" s="37"/>
      <c r="AG156" s="37"/>
      <c r="AH156" s="34"/>
      <c r="AI156" s="45"/>
      <c r="AJ156" s="37">
        <v>10531</v>
      </c>
      <c r="AK156" s="46">
        <v>1</v>
      </c>
      <c r="AL156" s="47">
        <f>AJ156*AK156</f>
        <v>10531</v>
      </c>
      <c r="AM156" s="47"/>
      <c r="AN156" s="45"/>
      <c r="AO156" s="45"/>
      <c r="AP156" s="45"/>
      <c r="AQ156" s="45"/>
      <c r="AR156" s="45">
        <v>4668</v>
      </c>
      <c r="AS156" s="46">
        <v>0.9</v>
      </c>
      <c r="AT156" s="45">
        <f>AR156*AS156</f>
        <v>4201.2</v>
      </c>
      <c r="AU156" s="48"/>
      <c r="AV156" s="49">
        <f>AU156*AS156</f>
        <v>0</v>
      </c>
      <c r="AW156" s="48"/>
      <c r="AY156" s="45">
        <v>5000</v>
      </c>
      <c r="AZ156" s="46">
        <v>0.9</v>
      </c>
      <c r="BA156" s="45">
        <f>AY156*AZ156</f>
        <v>4500</v>
      </c>
      <c r="BB156" s="39">
        <f>BA156-AT156</f>
        <v>298.80000000000018</v>
      </c>
      <c r="BE156" s="45">
        <v>5000</v>
      </c>
      <c r="BF156" s="46">
        <v>0.9</v>
      </c>
      <c r="BG156" s="45">
        <f>BE156*BF156</f>
        <v>4500</v>
      </c>
      <c r="BH156" s="45"/>
      <c r="BI156" s="39">
        <f>BG156-BA156</f>
        <v>0</v>
      </c>
      <c r="BJ156" s="39"/>
      <c r="BM156" s="45">
        <v>4100</v>
      </c>
      <c r="BN156" s="46">
        <v>0.9</v>
      </c>
      <c r="BO156" s="45">
        <f t="shared" si="131"/>
        <v>3690</v>
      </c>
      <c r="BP156" s="45"/>
      <c r="BQ156" s="92">
        <f t="shared" si="132"/>
        <v>-810</v>
      </c>
      <c r="BR156" s="34" t="s">
        <v>121</v>
      </c>
      <c r="BU156" s="45">
        <v>4100</v>
      </c>
      <c r="BV156" s="46">
        <v>0.9</v>
      </c>
      <c r="BW156" s="118">
        <f t="shared" si="133"/>
        <v>3690</v>
      </c>
      <c r="BX156" s="118">
        <f t="shared" si="134"/>
        <v>0</v>
      </c>
      <c r="CA156" s="45">
        <v>3421.663</v>
      </c>
      <c r="CB156" s="46">
        <v>1</v>
      </c>
      <c r="CC156" s="118">
        <f t="shared" si="127"/>
        <v>3421.663</v>
      </c>
      <c r="CD156" s="118">
        <v>3421.663</v>
      </c>
      <c r="CE156" s="92">
        <f t="shared" si="128"/>
        <v>-268.33699999999999</v>
      </c>
      <c r="CF156" s="92">
        <f t="shared" si="129"/>
        <v>-268.33699999999999</v>
      </c>
      <c r="CI156" s="45">
        <v>3449</v>
      </c>
      <c r="CJ156" s="46">
        <v>1</v>
      </c>
      <c r="CK156" s="118">
        <f t="shared" si="123"/>
        <v>3449</v>
      </c>
      <c r="CL156" s="92">
        <f t="shared" si="110"/>
        <v>27.336999999999989</v>
      </c>
      <c r="CN156" s="17"/>
      <c r="CO156" s="45">
        <v>3471.9409999999993</v>
      </c>
      <c r="CP156" s="46">
        <v>1</v>
      </c>
      <c r="CQ156" s="118">
        <f t="shared" si="111"/>
        <v>3471.9409999999993</v>
      </c>
      <c r="CR156" s="92">
        <f t="shared" si="112"/>
        <v>22.940999999999349</v>
      </c>
      <c r="CS156" s="91"/>
      <c r="CT156" s="17"/>
      <c r="CU156" s="45">
        <v>3471.9409999999993</v>
      </c>
      <c r="CV156" s="46">
        <v>1</v>
      </c>
      <c r="CW156" s="118">
        <f t="shared" si="113"/>
        <v>3471.9409999999993</v>
      </c>
      <c r="CX156" s="45">
        <f>3471.941+400</f>
        <v>3871.9409999999998</v>
      </c>
      <c r="CY156" s="46">
        <v>1</v>
      </c>
      <c r="CZ156" s="118">
        <f t="shared" si="114"/>
        <v>3871.9409999999998</v>
      </c>
      <c r="DA156" s="168">
        <f t="shared" si="135"/>
        <v>400.00000000000045</v>
      </c>
      <c r="DB156" s="168">
        <f t="shared" si="136"/>
        <v>400.00000000000045</v>
      </c>
      <c r="DC156" s="168">
        <f t="shared" si="137"/>
        <v>422.9409999999998</v>
      </c>
      <c r="DD156" s="91" t="s">
        <v>664</v>
      </c>
      <c r="DE156" s="91"/>
      <c r="DF156" s="45">
        <v>3878</v>
      </c>
      <c r="DG156" s="46">
        <v>1</v>
      </c>
      <c r="DH156" s="118">
        <f t="shared" si="119"/>
        <v>3878</v>
      </c>
      <c r="DI156" s="168">
        <f t="shared" si="120"/>
        <v>6.0590000000001965</v>
      </c>
      <c r="DJ156" s="168">
        <f t="shared" si="121"/>
        <v>406.05900000000065</v>
      </c>
      <c r="DK156" s="168"/>
      <c r="DL156" s="168"/>
      <c r="DM156" s="168"/>
      <c r="DN156" s="92">
        <f t="shared" si="122"/>
        <v>3830.5460000000003</v>
      </c>
      <c r="DO156" s="151">
        <v>233.84</v>
      </c>
      <c r="DP156" s="151">
        <v>852.54200000000003</v>
      </c>
      <c r="DQ156" s="151">
        <v>1322.9010000000001</v>
      </c>
      <c r="DR156" s="151">
        <v>114.40300000000001</v>
      </c>
      <c r="DS156" s="151">
        <v>160.77799999999999</v>
      </c>
      <c r="DT156" s="151">
        <v>273.31299999999999</v>
      </c>
      <c r="DU156" s="151">
        <v>499.01600000000002</v>
      </c>
      <c r="DV156" s="151">
        <v>37.875999999999998</v>
      </c>
      <c r="DW156" s="151">
        <v>0</v>
      </c>
      <c r="DX156" s="151">
        <v>0</v>
      </c>
      <c r="DY156" s="151">
        <v>0</v>
      </c>
      <c r="DZ156" s="151">
        <v>335.87700000000001</v>
      </c>
    </row>
    <row r="157" spans="1:131" s="50" customFormat="1" ht="16.25" hidden="1" customHeight="1" x14ac:dyDescent="0.35">
      <c r="A157" s="36" t="s">
        <v>657</v>
      </c>
      <c r="B157" s="36" t="s">
        <v>660</v>
      </c>
      <c r="C157" s="36" t="s">
        <v>28</v>
      </c>
      <c r="D157" s="16" t="s">
        <v>665</v>
      </c>
      <c r="E157" s="38" t="s">
        <v>666</v>
      </c>
      <c r="F157" s="38" t="s">
        <v>175</v>
      </c>
      <c r="G157" s="32" t="s">
        <v>101</v>
      </c>
      <c r="H157" s="32"/>
      <c r="I157" s="36" t="s">
        <v>103</v>
      </c>
      <c r="J157" s="34"/>
      <c r="K157" s="36"/>
      <c r="L157" s="36"/>
      <c r="M157" s="36"/>
      <c r="N157" s="36"/>
      <c r="O157" s="38"/>
      <c r="P157" s="36" t="s">
        <v>111</v>
      </c>
      <c r="Q157" s="129">
        <f t="shared" si="138"/>
        <v>145.071</v>
      </c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7"/>
      <c r="AE157" s="37"/>
      <c r="AF157" s="37"/>
      <c r="AG157" s="37"/>
      <c r="AH157" s="34"/>
      <c r="AI157" s="45"/>
      <c r="AJ157" s="37"/>
      <c r="AK157" s="46"/>
      <c r="AL157" s="47"/>
      <c r="AM157" s="47"/>
      <c r="AN157" s="45"/>
      <c r="AO157" s="45"/>
      <c r="AP157" s="45"/>
      <c r="AQ157" s="45"/>
      <c r="AR157" s="45"/>
      <c r="AS157" s="46"/>
      <c r="AT157" s="45"/>
      <c r="AU157" s="48"/>
      <c r="AV157" s="49"/>
      <c r="AW157" s="48"/>
      <c r="AY157" s="45"/>
      <c r="AZ157" s="46"/>
      <c r="BA157" s="45"/>
      <c r="BB157" s="39"/>
      <c r="BE157" s="45"/>
      <c r="BF157" s="46"/>
      <c r="BG157" s="45"/>
      <c r="BH157" s="45"/>
      <c r="BI157" s="39"/>
      <c r="BJ157" s="39"/>
      <c r="BM157" s="45"/>
      <c r="BN157" s="46"/>
      <c r="BO157" s="45"/>
      <c r="BP157" s="45"/>
      <c r="BQ157" s="92"/>
      <c r="BR157" s="34"/>
      <c r="BU157" s="45"/>
      <c r="BV157" s="46"/>
      <c r="BW157" s="45"/>
      <c r="BX157" s="118">
        <f t="shared" si="134"/>
        <v>0</v>
      </c>
      <c r="CA157" s="45">
        <v>129.553</v>
      </c>
      <c r="CB157" s="46">
        <v>1</v>
      </c>
      <c r="CC157" s="118">
        <f t="shared" si="127"/>
        <v>129.553</v>
      </c>
      <c r="CD157" s="118">
        <v>129.553</v>
      </c>
      <c r="CE157" s="92">
        <f t="shared" si="128"/>
        <v>129.553</v>
      </c>
      <c r="CF157" s="92">
        <f t="shared" si="129"/>
        <v>129.553</v>
      </c>
      <c r="CI157" s="45">
        <v>142</v>
      </c>
      <c r="CJ157" s="46">
        <v>1</v>
      </c>
      <c r="CK157" s="118">
        <f t="shared" si="123"/>
        <v>142</v>
      </c>
      <c r="CL157" s="92">
        <f t="shared" si="110"/>
        <v>12.447000000000003</v>
      </c>
      <c r="CN157" s="17"/>
      <c r="CO157" s="45">
        <v>145.071</v>
      </c>
      <c r="CP157" s="46">
        <v>1</v>
      </c>
      <c r="CQ157" s="118">
        <f t="shared" si="111"/>
        <v>145.071</v>
      </c>
      <c r="CR157" s="92">
        <f t="shared" si="112"/>
        <v>3.070999999999998</v>
      </c>
      <c r="CS157" s="91"/>
      <c r="CT157" s="17"/>
      <c r="CU157" s="45">
        <v>145.071</v>
      </c>
      <c r="CV157" s="46">
        <v>1</v>
      </c>
      <c r="CW157" s="118">
        <f t="shared" si="113"/>
        <v>145.071</v>
      </c>
      <c r="CX157" s="45">
        <v>145.071</v>
      </c>
      <c r="CY157" s="46">
        <v>1</v>
      </c>
      <c r="CZ157" s="118">
        <f t="shared" si="114"/>
        <v>145.071</v>
      </c>
      <c r="DA157" s="168">
        <f t="shared" si="135"/>
        <v>0</v>
      </c>
      <c r="DB157" s="168">
        <f t="shared" si="136"/>
        <v>0</v>
      </c>
      <c r="DC157" s="168">
        <f t="shared" si="137"/>
        <v>3.070999999999998</v>
      </c>
      <c r="DD157" s="91"/>
      <c r="DE157" s="91"/>
      <c r="DF157" s="45">
        <v>206</v>
      </c>
      <c r="DG157" s="46">
        <v>1</v>
      </c>
      <c r="DH157" s="118">
        <f t="shared" si="119"/>
        <v>206</v>
      </c>
      <c r="DI157" s="168">
        <f t="shared" si="120"/>
        <v>60.929000000000002</v>
      </c>
      <c r="DJ157" s="168">
        <f t="shared" si="121"/>
        <v>60.929000000000002</v>
      </c>
      <c r="DK157" s="168"/>
      <c r="DL157" s="168"/>
      <c r="DM157" s="168"/>
      <c r="DN157" s="92">
        <f t="shared" si="122"/>
        <v>144.98099999999999</v>
      </c>
      <c r="DO157" s="152">
        <v>0</v>
      </c>
      <c r="DP157" s="152">
        <v>15.4</v>
      </c>
      <c r="DQ157" s="152">
        <v>10.023999999999999</v>
      </c>
      <c r="DR157" s="152">
        <v>8.2100000000000009</v>
      </c>
      <c r="DS157" s="152">
        <v>30.273</v>
      </c>
      <c r="DT157" s="152">
        <v>48.158000000000001</v>
      </c>
      <c r="DU157" s="152">
        <v>0</v>
      </c>
      <c r="DV157" s="152">
        <v>0</v>
      </c>
      <c r="DW157" s="152">
        <v>32.915999999999997</v>
      </c>
      <c r="DX157" s="152">
        <v>0</v>
      </c>
      <c r="DY157" s="152">
        <v>0</v>
      </c>
      <c r="DZ157" s="152">
        <v>0</v>
      </c>
    </row>
    <row r="158" spans="1:131" s="50" customFormat="1" ht="16.25" hidden="1" customHeight="1" x14ac:dyDescent="0.35">
      <c r="A158" s="36" t="s">
        <v>657</v>
      </c>
      <c r="B158" s="36" t="s">
        <v>660</v>
      </c>
      <c r="C158" s="36" t="s">
        <v>28</v>
      </c>
      <c r="D158" s="36" t="s">
        <v>667</v>
      </c>
      <c r="E158" s="38" t="s">
        <v>668</v>
      </c>
      <c r="F158" s="38" t="s">
        <v>100</v>
      </c>
      <c r="G158" s="32" t="s">
        <v>101</v>
      </c>
      <c r="H158" s="32"/>
      <c r="I158" s="36" t="s">
        <v>103</v>
      </c>
      <c r="J158" s="33"/>
      <c r="K158" s="36"/>
      <c r="L158" s="36"/>
      <c r="M158" s="36"/>
      <c r="N158" s="36"/>
      <c r="O158" s="38"/>
      <c r="P158" s="36" t="s">
        <v>111</v>
      </c>
      <c r="Q158" s="129">
        <f t="shared" si="138"/>
        <v>30.725000000000001</v>
      </c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9"/>
      <c r="AE158" s="37"/>
      <c r="AF158" s="37"/>
      <c r="AG158" s="37"/>
      <c r="AH158" s="34"/>
      <c r="AI158" s="34"/>
      <c r="AJ158" s="37"/>
      <c r="AK158" s="46"/>
      <c r="AL158" s="47"/>
      <c r="AM158" s="47"/>
      <c r="AN158" s="39"/>
      <c r="AO158" s="45"/>
      <c r="AP158" s="45"/>
      <c r="AQ158" s="45"/>
      <c r="AR158" s="45"/>
      <c r="AS158" s="46"/>
      <c r="AT158" s="37"/>
      <c r="AU158" s="48"/>
      <c r="AV158" s="49"/>
      <c r="AW158" s="48"/>
      <c r="AY158" s="45"/>
      <c r="AZ158" s="46"/>
      <c r="BA158" s="37"/>
      <c r="BB158" s="39"/>
      <c r="BE158" s="45"/>
      <c r="BF158" s="46"/>
      <c r="BG158" s="37"/>
      <c r="BH158" s="37"/>
      <c r="BI158" s="39"/>
      <c r="BJ158" s="39"/>
      <c r="BM158" s="45"/>
      <c r="BN158" s="120"/>
      <c r="BO158" s="45">
        <f>BM158*BN158</f>
        <v>0</v>
      </c>
      <c r="BP158" s="37"/>
      <c r="BQ158" s="92"/>
      <c r="BR158" s="59"/>
      <c r="BU158" s="45"/>
      <c r="BV158" s="120"/>
      <c r="BW158" s="45"/>
      <c r="BX158" s="118">
        <f t="shared" si="134"/>
        <v>0</v>
      </c>
      <c r="CA158" s="45">
        <v>30.725000000000001</v>
      </c>
      <c r="CB158" s="120">
        <v>1</v>
      </c>
      <c r="CC158" s="45">
        <f t="shared" si="127"/>
        <v>30.725000000000001</v>
      </c>
      <c r="CD158" s="100">
        <v>30.725000000000001</v>
      </c>
      <c r="CE158" s="92">
        <f t="shared" si="128"/>
        <v>30.725000000000001</v>
      </c>
      <c r="CF158" s="92">
        <f t="shared" si="129"/>
        <v>30.725000000000001</v>
      </c>
      <c r="CI158" s="45">
        <v>30.725000000000001</v>
      </c>
      <c r="CJ158" s="136">
        <v>1</v>
      </c>
      <c r="CK158" s="45">
        <f t="shared" si="123"/>
        <v>30.725000000000001</v>
      </c>
      <c r="CL158" s="92">
        <f t="shared" ref="CL158:CL189" si="139">CK158-CC158</f>
        <v>0</v>
      </c>
      <c r="CN158" s="17"/>
      <c r="CO158" s="45">
        <v>30.725000000000001</v>
      </c>
      <c r="CP158" s="120">
        <v>1</v>
      </c>
      <c r="CQ158" s="45">
        <f t="shared" si="111"/>
        <v>30.725000000000001</v>
      </c>
      <c r="CR158" s="92">
        <f t="shared" ref="CR158:CR189" si="140">CQ158-CK158</f>
        <v>0</v>
      </c>
      <c r="CS158" s="91"/>
      <c r="CT158" s="17"/>
      <c r="CU158" s="45">
        <v>30.725000000000001</v>
      </c>
      <c r="CV158" s="136">
        <v>1</v>
      </c>
      <c r="CW158" s="45">
        <f t="shared" si="113"/>
        <v>30.725000000000001</v>
      </c>
      <c r="CX158" s="45">
        <v>30.725000000000001</v>
      </c>
      <c r="CY158" s="136">
        <v>1</v>
      </c>
      <c r="CZ158" s="45">
        <f t="shared" si="114"/>
        <v>30.725000000000001</v>
      </c>
      <c r="DA158" s="168">
        <f t="shared" si="135"/>
        <v>0</v>
      </c>
      <c r="DB158" s="168">
        <f t="shared" si="136"/>
        <v>0</v>
      </c>
      <c r="DC158" s="168">
        <f t="shared" si="137"/>
        <v>0</v>
      </c>
      <c r="DD158" s="91"/>
      <c r="DE158" s="91"/>
      <c r="DF158" s="45">
        <v>30.725000000000001</v>
      </c>
      <c r="DG158" s="136">
        <v>1</v>
      </c>
      <c r="DH158" s="45">
        <f t="shared" si="119"/>
        <v>30.725000000000001</v>
      </c>
      <c r="DI158" s="168">
        <f t="shared" si="120"/>
        <v>0</v>
      </c>
      <c r="DJ158" s="168">
        <f t="shared" si="121"/>
        <v>0</v>
      </c>
      <c r="DK158" s="168"/>
      <c r="DL158" s="168"/>
      <c r="DM158" s="168"/>
      <c r="DN158" s="92">
        <f t="shared" si="122"/>
        <v>31.054000000000002</v>
      </c>
      <c r="DO158" s="152">
        <v>30.725000000000001</v>
      </c>
      <c r="DP158" s="152">
        <v>0</v>
      </c>
      <c r="DQ158" s="152">
        <v>0</v>
      </c>
      <c r="DR158" s="152">
        <v>0.32900000000000001</v>
      </c>
      <c r="DS158" s="152">
        <v>0</v>
      </c>
      <c r="DT158" s="152">
        <v>0</v>
      </c>
      <c r="DU158" s="152">
        <v>0</v>
      </c>
      <c r="DV158" s="152">
        <v>0</v>
      </c>
      <c r="DW158" s="152">
        <v>0</v>
      </c>
      <c r="DX158" s="152">
        <v>0</v>
      </c>
      <c r="DY158" s="152">
        <v>0</v>
      </c>
      <c r="DZ158" s="152">
        <v>0</v>
      </c>
    </row>
    <row r="159" spans="1:131" s="50" customFormat="1" ht="16.25" hidden="1" customHeight="1" x14ac:dyDescent="0.35">
      <c r="A159" s="36" t="s">
        <v>657</v>
      </c>
      <c r="B159" s="36" t="s">
        <v>660</v>
      </c>
      <c r="C159" s="36" t="s">
        <v>20</v>
      </c>
      <c r="D159" s="36" t="s">
        <v>669</v>
      </c>
      <c r="E159" s="38" t="s">
        <v>670</v>
      </c>
      <c r="F159" s="38" t="s">
        <v>110</v>
      </c>
      <c r="G159" s="32" t="s">
        <v>101</v>
      </c>
      <c r="H159" s="32"/>
      <c r="I159" s="36" t="s">
        <v>103</v>
      </c>
      <c r="J159" s="33"/>
      <c r="K159" s="36"/>
      <c r="L159" s="36"/>
      <c r="M159" s="36"/>
      <c r="N159" s="36"/>
      <c r="O159" s="38" t="s">
        <v>103</v>
      </c>
      <c r="P159" s="36" t="s">
        <v>111</v>
      </c>
      <c r="Q159" s="129">
        <f t="shared" si="138"/>
        <v>-5.0000000000000001E-3</v>
      </c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6"/>
      <c r="AD159" s="39"/>
      <c r="AE159" s="37"/>
      <c r="AF159" s="37"/>
      <c r="AG159" s="37"/>
      <c r="AH159" s="34"/>
      <c r="AI159" s="34"/>
      <c r="AJ159" s="37"/>
      <c r="AK159" s="46"/>
      <c r="AL159" s="47"/>
      <c r="AM159" s="47"/>
      <c r="AN159" s="39"/>
      <c r="AO159" s="45"/>
      <c r="AP159" s="45"/>
      <c r="AQ159" s="45"/>
      <c r="AR159" s="45"/>
      <c r="AS159" s="46"/>
      <c r="AT159" s="37"/>
      <c r="AU159" s="48"/>
      <c r="AV159" s="49"/>
      <c r="AW159" s="48"/>
      <c r="AY159" s="45"/>
      <c r="AZ159" s="46"/>
      <c r="BA159" s="37"/>
      <c r="BB159" s="39"/>
      <c r="BE159" s="45"/>
      <c r="BF159" s="46"/>
      <c r="BG159" s="37"/>
      <c r="BH159" s="37"/>
      <c r="BI159" s="39"/>
      <c r="BJ159" s="39"/>
      <c r="BM159" s="45"/>
      <c r="BN159" s="120"/>
      <c r="BO159" s="45">
        <f>BM159*BN159</f>
        <v>0</v>
      </c>
      <c r="BP159" s="37"/>
      <c r="BQ159" s="92"/>
      <c r="BR159" s="59"/>
      <c r="BU159" s="45">
        <v>2.27</v>
      </c>
      <c r="BV159" s="120">
        <v>1</v>
      </c>
      <c r="BW159" s="45">
        <f t="shared" ref="BW159:BW180" si="141">BU159*BV159</f>
        <v>2.27</v>
      </c>
      <c r="BX159" s="118">
        <f t="shared" si="134"/>
        <v>2.27</v>
      </c>
      <c r="CA159" s="45">
        <v>2.27</v>
      </c>
      <c r="CB159" s="120">
        <v>1</v>
      </c>
      <c r="CC159" s="45">
        <f t="shared" si="127"/>
        <v>2.27</v>
      </c>
      <c r="CD159" s="100">
        <v>2.27</v>
      </c>
      <c r="CE159" s="92">
        <f t="shared" si="128"/>
        <v>0</v>
      </c>
      <c r="CF159" s="92">
        <f t="shared" si="129"/>
        <v>2.27</v>
      </c>
      <c r="CI159" s="45">
        <v>0</v>
      </c>
      <c r="CJ159" s="136">
        <v>1</v>
      </c>
      <c r="CK159" s="45">
        <f t="shared" si="123"/>
        <v>0</v>
      </c>
      <c r="CL159" s="92">
        <f t="shared" si="139"/>
        <v>-2.27</v>
      </c>
      <c r="CN159" s="17"/>
      <c r="CO159" s="45">
        <v>-5.0000000000000001E-3</v>
      </c>
      <c r="CP159" s="120">
        <v>1</v>
      </c>
      <c r="CQ159" s="45">
        <f t="shared" si="111"/>
        <v>-5.0000000000000001E-3</v>
      </c>
      <c r="CR159" s="92">
        <f t="shared" si="140"/>
        <v>-5.0000000000000001E-3</v>
      </c>
      <c r="CS159" s="91"/>
      <c r="CT159" s="17"/>
      <c r="CU159" s="45">
        <v>-5.0000000000000001E-3</v>
      </c>
      <c r="CV159" s="136">
        <v>1</v>
      </c>
      <c r="CW159" s="45">
        <f t="shared" si="113"/>
        <v>-5.0000000000000001E-3</v>
      </c>
      <c r="CX159" s="45">
        <v>-5.0000000000000001E-3</v>
      </c>
      <c r="CY159" s="136">
        <v>1</v>
      </c>
      <c r="CZ159" s="45">
        <f t="shared" si="114"/>
        <v>-5.0000000000000001E-3</v>
      </c>
      <c r="DA159" s="168">
        <f t="shared" si="135"/>
        <v>0</v>
      </c>
      <c r="DB159" s="168">
        <f t="shared" si="136"/>
        <v>0</v>
      </c>
      <c r="DC159" s="168">
        <f t="shared" si="137"/>
        <v>-5.0000000000000001E-3</v>
      </c>
      <c r="DD159" s="91"/>
      <c r="DE159" s="91"/>
      <c r="DF159" s="45">
        <v>-5.0000000000000001E-3</v>
      </c>
      <c r="DG159" s="136">
        <v>1</v>
      </c>
      <c r="DH159" s="45">
        <f t="shared" si="119"/>
        <v>-5.0000000000000001E-3</v>
      </c>
      <c r="DI159" s="168">
        <f t="shared" si="120"/>
        <v>0</v>
      </c>
      <c r="DJ159" s="168">
        <f t="shared" si="121"/>
        <v>0</v>
      </c>
      <c r="DK159" s="168"/>
      <c r="DL159" s="168"/>
      <c r="DM159" s="168"/>
      <c r="DN159" s="92">
        <f t="shared" si="122"/>
        <v>-5.0000000000000001E-3</v>
      </c>
      <c r="DO159" s="152">
        <v>0</v>
      </c>
      <c r="DP159" s="152">
        <v>0</v>
      </c>
      <c r="DQ159" s="152">
        <v>-5.0000000000000001E-3</v>
      </c>
      <c r="DR159" s="152">
        <v>0</v>
      </c>
      <c r="DS159" s="152">
        <v>0</v>
      </c>
      <c r="DT159" s="152">
        <v>0</v>
      </c>
      <c r="DU159" s="152">
        <v>0</v>
      </c>
      <c r="DV159" s="152">
        <v>0</v>
      </c>
      <c r="DW159" s="152">
        <v>0</v>
      </c>
      <c r="DX159" s="152">
        <v>0</v>
      </c>
      <c r="DY159" s="152">
        <v>0</v>
      </c>
      <c r="DZ159" s="152">
        <v>0</v>
      </c>
    </row>
    <row r="160" spans="1:131" s="50" customFormat="1" ht="16.25" hidden="1" customHeight="1" x14ac:dyDescent="0.35">
      <c r="A160" s="36" t="s">
        <v>657</v>
      </c>
      <c r="B160" s="36" t="s">
        <v>660</v>
      </c>
      <c r="C160" s="36" t="s">
        <v>671</v>
      </c>
      <c r="D160" s="16" t="s">
        <v>672</v>
      </c>
      <c r="E160" s="38" t="s">
        <v>673</v>
      </c>
      <c r="F160" s="38" t="s">
        <v>100</v>
      </c>
      <c r="G160" s="32" t="s">
        <v>101</v>
      </c>
      <c r="H160" s="32"/>
      <c r="I160" s="36" t="s">
        <v>103</v>
      </c>
      <c r="J160" s="34"/>
      <c r="K160" s="36"/>
      <c r="L160" s="36"/>
      <c r="M160" s="36"/>
      <c r="N160" s="36"/>
      <c r="O160" s="38"/>
      <c r="P160" s="36" t="s">
        <v>111</v>
      </c>
      <c r="Q160" s="129">
        <f t="shared" si="138"/>
        <v>1170</v>
      </c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6"/>
      <c r="AD160" s="37"/>
      <c r="AE160" s="37"/>
      <c r="AF160" s="37"/>
      <c r="AG160" s="37"/>
      <c r="AH160" s="34"/>
      <c r="AI160" s="45"/>
      <c r="AJ160" s="37">
        <v>15755</v>
      </c>
      <c r="AK160" s="46">
        <v>1</v>
      </c>
      <c r="AL160" s="47">
        <f>AJ160*AK160</f>
        <v>15755</v>
      </c>
      <c r="AM160" s="47"/>
      <c r="AN160" s="45"/>
      <c r="AO160" s="45"/>
      <c r="AP160" s="45"/>
      <c r="AQ160" s="45"/>
      <c r="AR160" s="54">
        <v>3600</v>
      </c>
      <c r="AS160" s="46">
        <v>0.75</v>
      </c>
      <c r="AT160" s="45">
        <f>AR160*AS160</f>
        <v>2700</v>
      </c>
      <c r="AU160" s="48"/>
      <c r="AV160" s="49">
        <f>AU160*AS160</f>
        <v>0</v>
      </c>
      <c r="AW160" s="48"/>
      <c r="AY160" s="54">
        <v>3600</v>
      </c>
      <c r="AZ160" s="46">
        <v>0.75</v>
      </c>
      <c r="BA160" s="45">
        <f>AY160*AZ160</f>
        <v>2700</v>
      </c>
      <c r="BB160" s="39">
        <f>BA160-AT160</f>
        <v>0</v>
      </c>
      <c r="BE160" s="54">
        <v>3600</v>
      </c>
      <c r="BF160" s="46">
        <v>0.75</v>
      </c>
      <c r="BG160" s="45">
        <f>BE160*BF160</f>
        <v>2700</v>
      </c>
      <c r="BH160" s="45"/>
      <c r="BI160" s="39">
        <f>BG160-BA160</f>
        <v>0</v>
      </c>
      <c r="BJ160" s="39"/>
      <c r="BM160" s="54">
        <f>3600-700</f>
        <v>2900</v>
      </c>
      <c r="BN160" s="46">
        <v>0.75</v>
      </c>
      <c r="BO160" s="45">
        <f>BM160*BN160</f>
        <v>2175</v>
      </c>
      <c r="BP160" s="45"/>
      <c r="BQ160" s="92">
        <f>BO160-BA160</f>
        <v>-525</v>
      </c>
      <c r="BR160" s="34" t="s">
        <v>121</v>
      </c>
      <c r="BU160" s="54">
        <f>3600-700</f>
        <v>2900</v>
      </c>
      <c r="BV160" s="46">
        <v>0.75</v>
      </c>
      <c r="BW160" s="118">
        <f t="shared" si="141"/>
        <v>2175</v>
      </c>
      <c r="BX160" s="118">
        <f t="shared" si="134"/>
        <v>0</v>
      </c>
      <c r="CA160" s="54">
        <v>2900</v>
      </c>
      <c r="CB160" s="46">
        <v>0.75</v>
      </c>
      <c r="CC160" s="118">
        <f t="shared" si="127"/>
        <v>2175</v>
      </c>
      <c r="CD160" s="118">
        <v>2175</v>
      </c>
      <c r="CE160" s="92">
        <f t="shared" si="128"/>
        <v>0</v>
      </c>
      <c r="CF160" s="92">
        <f t="shared" si="129"/>
        <v>0</v>
      </c>
      <c r="CI160" s="54">
        <v>2900</v>
      </c>
      <c r="CJ160" s="46">
        <v>0.75</v>
      </c>
      <c r="CK160" s="118">
        <f t="shared" si="123"/>
        <v>2175</v>
      </c>
      <c r="CL160" s="92">
        <f t="shared" si="139"/>
        <v>0</v>
      </c>
      <c r="CN160" s="17"/>
      <c r="CO160" s="54">
        <v>1300</v>
      </c>
      <c r="CP160" s="46">
        <v>0.9</v>
      </c>
      <c r="CQ160" s="45">
        <f t="shared" si="111"/>
        <v>1170</v>
      </c>
      <c r="CR160" s="92">
        <f t="shared" si="140"/>
        <v>-1005</v>
      </c>
      <c r="CS160" s="91" t="s">
        <v>674</v>
      </c>
      <c r="CT160" s="17"/>
      <c r="CU160" s="54">
        <v>1300</v>
      </c>
      <c r="CV160" s="46">
        <v>0.9</v>
      </c>
      <c r="CW160" s="45">
        <f t="shared" si="113"/>
        <v>1170</v>
      </c>
      <c r="CX160" s="54">
        <v>1300</v>
      </c>
      <c r="CY160" s="46">
        <v>0.9</v>
      </c>
      <c r="CZ160" s="45">
        <f t="shared" si="114"/>
        <v>1170</v>
      </c>
      <c r="DA160" s="168">
        <f t="shared" si="135"/>
        <v>0</v>
      </c>
      <c r="DB160" s="168">
        <f t="shared" si="136"/>
        <v>0</v>
      </c>
      <c r="DC160" s="168">
        <f t="shared" si="137"/>
        <v>-1005</v>
      </c>
      <c r="DD160" s="91"/>
      <c r="DE160" s="91"/>
      <c r="DF160" s="54">
        <v>2000</v>
      </c>
      <c r="DG160" s="46">
        <v>1</v>
      </c>
      <c r="DH160" s="45">
        <f t="shared" si="119"/>
        <v>2000</v>
      </c>
      <c r="DI160" s="168">
        <f t="shared" si="120"/>
        <v>830</v>
      </c>
      <c r="DJ160" s="168">
        <f t="shared" si="121"/>
        <v>830</v>
      </c>
      <c r="DK160" s="168"/>
      <c r="DL160" s="168"/>
      <c r="DM160" s="168"/>
      <c r="DN160" s="92">
        <f t="shared" si="122"/>
        <v>1169.1526000000001</v>
      </c>
      <c r="DO160" s="152">
        <v>61.707999999999998</v>
      </c>
      <c r="DP160" s="152">
        <v>32.149000000000001</v>
      </c>
      <c r="DQ160" s="152">
        <v>24.928000000000001</v>
      </c>
      <c r="DR160" s="152">
        <v>80.209000000000003</v>
      </c>
      <c r="DS160" s="152">
        <v>86.863500000000002</v>
      </c>
      <c r="DT160" s="152">
        <v>30.604500000000002</v>
      </c>
      <c r="DU160" s="152">
        <v>468.0342</v>
      </c>
      <c r="DV160" s="152">
        <v>0</v>
      </c>
      <c r="DW160" s="152">
        <v>0</v>
      </c>
      <c r="DX160" s="152">
        <v>384.65640000000002</v>
      </c>
      <c r="DY160" s="152">
        <v>0</v>
      </c>
      <c r="DZ160" s="152">
        <v>0</v>
      </c>
    </row>
    <row r="161" spans="1:130" s="50" customFormat="1" ht="16.25" hidden="1" customHeight="1" x14ac:dyDescent="0.35">
      <c r="A161" s="36" t="s">
        <v>657</v>
      </c>
      <c r="B161" s="36" t="s">
        <v>660</v>
      </c>
      <c r="C161" s="36" t="s">
        <v>27</v>
      </c>
      <c r="D161" s="16" t="s">
        <v>675</v>
      </c>
      <c r="E161" s="33" t="s">
        <v>676</v>
      </c>
      <c r="F161" s="38" t="s">
        <v>114</v>
      </c>
      <c r="G161" s="32" t="s">
        <v>101</v>
      </c>
      <c r="H161" s="32"/>
      <c r="I161" s="36" t="s">
        <v>103</v>
      </c>
      <c r="J161" s="38"/>
      <c r="K161" s="36"/>
      <c r="L161" s="36"/>
      <c r="M161" s="36" t="s">
        <v>282</v>
      </c>
      <c r="N161" s="36"/>
      <c r="O161" s="33" t="s">
        <v>677</v>
      </c>
      <c r="P161" s="36" t="s">
        <v>111</v>
      </c>
      <c r="Q161" s="129">
        <f t="shared" si="138"/>
        <v>2101.3420000000001</v>
      </c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6"/>
      <c r="AD161" s="39">
        <v>25890</v>
      </c>
      <c r="AE161" s="39">
        <v>22840</v>
      </c>
      <c r="AF161" s="37"/>
      <c r="AG161" s="37"/>
      <c r="AH161" s="34"/>
      <c r="AI161" s="45"/>
      <c r="AJ161" s="37">
        <v>0</v>
      </c>
      <c r="AK161" s="46">
        <v>0</v>
      </c>
      <c r="AL161" s="47">
        <f>AJ161*AK161</f>
        <v>0</v>
      </c>
      <c r="AM161" s="47"/>
      <c r="AN161" s="45"/>
      <c r="AO161" s="45"/>
      <c r="AP161" s="45"/>
      <c r="AQ161" s="45"/>
      <c r="AR161" s="39">
        <f>2500+189.117999999999</f>
        <v>2689.117999999999</v>
      </c>
      <c r="AS161" s="40">
        <v>0.9</v>
      </c>
      <c r="AT161" s="39">
        <f>AR161*AS161</f>
        <v>2420.2061999999992</v>
      </c>
      <c r="AU161" s="48"/>
      <c r="AV161" s="49">
        <f>AU161*AS161</f>
        <v>0</v>
      </c>
      <c r="AW161" s="48" t="s">
        <v>678</v>
      </c>
      <c r="AY161" s="39">
        <v>2100</v>
      </c>
      <c r="AZ161" s="40">
        <v>0.9</v>
      </c>
      <c r="BA161" s="39">
        <f>AY161*AZ161</f>
        <v>1890</v>
      </c>
      <c r="BB161" s="39">
        <f>BA161-AT161</f>
        <v>-530.20619999999917</v>
      </c>
      <c r="BC161" s="59" t="s">
        <v>679</v>
      </c>
      <c r="BE161" s="39">
        <f>1400+200</f>
        <v>1600</v>
      </c>
      <c r="BF161" s="40">
        <v>0.9</v>
      </c>
      <c r="BG161" s="39">
        <f>BE161*BF161</f>
        <v>1440</v>
      </c>
      <c r="BH161" s="39"/>
      <c r="BI161" s="39">
        <f>BG161-BA161</f>
        <v>-450</v>
      </c>
      <c r="BJ161" s="39"/>
      <c r="BK161" s="59" t="s">
        <v>680</v>
      </c>
      <c r="BM161" s="39">
        <v>2100</v>
      </c>
      <c r="BN161" s="40">
        <v>0.9</v>
      </c>
      <c r="BO161" s="39">
        <f>BM161*BN161</f>
        <v>1890</v>
      </c>
      <c r="BP161" s="39"/>
      <c r="BQ161" s="92">
        <f>BO161-BA161</f>
        <v>0</v>
      </c>
      <c r="BR161" s="59"/>
      <c r="BU161" s="39">
        <v>2100</v>
      </c>
      <c r="BV161" s="40">
        <v>0.9</v>
      </c>
      <c r="BW161" s="118">
        <f t="shared" si="141"/>
        <v>1890</v>
      </c>
      <c r="BX161" s="118">
        <f t="shared" si="134"/>
        <v>0</v>
      </c>
      <c r="BY161" s="34"/>
      <c r="CA161" s="39">
        <v>2228</v>
      </c>
      <c r="CB161" s="40">
        <v>0.9</v>
      </c>
      <c r="CC161" s="118">
        <f t="shared" si="127"/>
        <v>2005.2</v>
      </c>
      <c r="CD161" s="118">
        <v>2005.2</v>
      </c>
      <c r="CE161" s="92">
        <f t="shared" si="128"/>
        <v>115.20000000000005</v>
      </c>
      <c r="CF161" s="92">
        <f t="shared" si="129"/>
        <v>115.20000000000005</v>
      </c>
      <c r="CG161" s="50" t="s">
        <v>681</v>
      </c>
      <c r="CI161" s="39">
        <v>2280</v>
      </c>
      <c r="CJ161" s="40">
        <v>0.9</v>
      </c>
      <c r="CK161" s="118">
        <f t="shared" si="123"/>
        <v>2052</v>
      </c>
      <c r="CL161" s="92">
        <f t="shared" si="139"/>
        <v>46.799999999999955</v>
      </c>
      <c r="CN161" s="17"/>
      <c r="CO161" s="39">
        <v>2271.0619999999999</v>
      </c>
      <c r="CP161" s="40">
        <v>0.9</v>
      </c>
      <c r="CQ161" s="118">
        <v>2101.3420000000001</v>
      </c>
      <c r="CR161" s="92">
        <f t="shared" si="140"/>
        <v>49.342000000000098</v>
      </c>
      <c r="CS161" s="91"/>
      <c r="CT161" s="17"/>
      <c r="CU161" s="39">
        <v>2271.0619999999999</v>
      </c>
      <c r="CV161" s="40">
        <v>0.9</v>
      </c>
      <c r="CW161" s="118">
        <v>2101.3420000000001</v>
      </c>
      <c r="CX161" s="39">
        <v>2271.0619999999999</v>
      </c>
      <c r="CY161" s="40">
        <v>0.9</v>
      </c>
      <c r="CZ161" s="118">
        <v>2101.3420000000001</v>
      </c>
      <c r="DA161" s="168">
        <f t="shared" si="135"/>
        <v>0</v>
      </c>
      <c r="DB161" s="168">
        <f t="shared" si="136"/>
        <v>0</v>
      </c>
      <c r="DC161" s="168">
        <f t="shared" si="137"/>
        <v>49.342000000000098</v>
      </c>
      <c r="DD161" s="91"/>
      <c r="DE161" s="91"/>
      <c r="DF161" s="39">
        <v>2110</v>
      </c>
      <c r="DG161" s="40">
        <v>1</v>
      </c>
      <c r="DH161" s="118">
        <f t="shared" si="119"/>
        <v>2110</v>
      </c>
      <c r="DI161" s="168">
        <f t="shared" si="120"/>
        <v>8.6579999999999018</v>
      </c>
      <c r="DJ161" s="168">
        <f t="shared" si="121"/>
        <v>8.6579999999999018</v>
      </c>
      <c r="DK161" s="168"/>
      <c r="DL161" s="168"/>
      <c r="DM161" s="168"/>
      <c r="DN161" s="92">
        <f t="shared" si="122"/>
        <v>2103.4378000000002</v>
      </c>
      <c r="DO161" s="152">
        <v>246.46700000000001</v>
      </c>
      <c r="DP161" s="152">
        <v>164.274</v>
      </c>
      <c r="DQ161" s="152">
        <v>163.12200000000001</v>
      </c>
      <c r="DR161" s="152">
        <v>92.57</v>
      </c>
      <c r="DS161" s="152">
        <v>607.75920000000008</v>
      </c>
      <c r="DT161" s="152">
        <v>179.50049999999999</v>
      </c>
      <c r="DU161" s="152">
        <v>445.50810000000001</v>
      </c>
      <c r="DV161" s="152">
        <v>105.98310000000001</v>
      </c>
      <c r="DW161" s="152">
        <v>20.390400000000003</v>
      </c>
      <c r="DX161" s="152">
        <v>20.356200000000001</v>
      </c>
      <c r="DY161" s="152">
        <v>20.390400000000003</v>
      </c>
      <c r="DZ161" s="152">
        <v>37.116900000000001</v>
      </c>
    </row>
    <row r="162" spans="1:130" s="50" customFormat="1" ht="16.25" hidden="1" customHeight="1" x14ac:dyDescent="0.35">
      <c r="A162" s="36" t="s">
        <v>657</v>
      </c>
      <c r="B162" s="36" t="s">
        <v>660</v>
      </c>
      <c r="C162" s="36" t="s">
        <v>27</v>
      </c>
      <c r="D162" s="16" t="s">
        <v>675</v>
      </c>
      <c r="E162" s="33" t="s">
        <v>682</v>
      </c>
      <c r="F162" s="38" t="s">
        <v>114</v>
      </c>
      <c r="G162" s="32" t="s">
        <v>263</v>
      </c>
      <c r="H162" s="32"/>
      <c r="I162" s="36"/>
      <c r="J162" s="38"/>
      <c r="K162" s="36"/>
      <c r="L162" s="36"/>
      <c r="M162" s="68" t="s">
        <v>640</v>
      </c>
      <c r="N162" s="36"/>
      <c r="O162" s="33" t="s">
        <v>683</v>
      </c>
      <c r="P162" s="36" t="s">
        <v>193</v>
      </c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6"/>
      <c r="AD162" s="39">
        <v>25000</v>
      </c>
      <c r="AE162" s="39"/>
      <c r="AF162" s="37"/>
      <c r="AG162" s="37"/>
      <c r="AH162" s="34"/>
      <c r="AI162" s="45"/>
      <c r="AJ162" s="37">
        <v>0</v>
      </c>
      <c r="AK162" s="46">
        <v>0</v>
      </c>
      <c r="AL162" s="47">
        <f>AJ162*AK162</f>
        <v>0</v>
      </c>
      <c r="AM162" s="47"/>
      <c r="AN162" s="37"/>
      <c r="AO162" s="37"/>
      <c r="AP162" s="37"/>
      <c r="AQ162" s="37"/>
      <c r="AR162" s="39">
        <v>5000</v>
      </c>
      <c r="AS162" s="40">
        <v>0.75</v>
      </c>
      <c r="AT162" s="39">
        <f>AR162*AS162</f>
        <v>3750</v>
      </c>
      <c r="AU162" s="48"/>
      <c r="AV162" s="49">
        <f>AU162*AS162</f>
        <v>0</v>
      </c>
      <c r="AW162" s="48"/>
      <c r="AY162" s="39">
        <v>5000</v>
      </c>
      <c r="AZ162" s="46">
        <v>1</v>
      </c>
      <c r="BA162" s="39">
        <f>AY162*AZ162</f>
        <v>5000</v>
      </c>
      <c r="BB162" s="39"/>
      <c r="BC162" s="80"/>
      <c r="BE162" s="39">
        <v>5000</v>
      </c>
      <c r="BF162" s="40">
        <v>0.5</v>
      </c>
      <c r="BG162" s="39">
        <f>BE162*BF162</f>
        <v>2500</v>
      </c>
      <c r="BH162" s="39"/>
      <c r="BI162" s="39">
        <f>BG162-BA162</f>
        <v>-2500</v>
      </c>
      <c r="BJ162" s="39"/>
      <c r="BK162" s="80">
        <f>BE162/1000</f>
        <v>5</v>
      </c>
      <c r="BM162" s="39">
        <v>1000</v>
      </c>
      <c r="BN162" s="40">
        <v>1</v>
      </c>
      <c r="BO162" s="39">
        <f>BM162*BN162</f>
        <v>1000</v>
      </c>
      <c r="BP162" s="39"/>
      <c r="BQ162" s="92">
        <f>BO162-BA162</f>
        <v>-4000</v>
      </c>
      <c r="BR162" s="59"/>
      <c r="BU162" s="39">
        <v>0</v>
      </c>
      <c r="BV162" s="40">
        <v>1</v>
      </c>
      <c r="BW162" s="39">
        <f t="shared" si="141"/>
        <v>0</v>
      </c>
      <c r="BX162" s="118">
        <f t="shared" si="134"/>
        <v>-1000</v>
      </c>
      <c r="BY162" s="34"/>
      <c r="CA162" s="39">
        <v>0</v>
      </c>
      <c r="CB162" s="40">
        <v>1</v>
      </c>
      <c r="CC162" s="39">
        <f t="shared" si="127"/>
        <v>0</v>
      </c>
      <c r="CD162" s="100">
        <v>0</v>
      </c>
      <c r="CE162" s="92">
        <f t="shared" si="128"/>
        <v>0</v>
      </c>
      <c r="CF162" s="92">
        <f t="shared" si="129"/>
        <v>-1000</v>
      </c>
      <c r="CI162" s="39">
        <v>0</v>
      </c>
      <c r="CJ162" s="40">
        <v>1</v>
      </c>
      <c r="CK162" s="39">
        <f t="shared" si="123"/>
        <v>0</v>
      </c>
      <c r="CL162" s="92">
        <f t="shared" si="139"/>
        <v>0</v>
      </c>
      <c r="CN162" s="17"/>
      <c r="CO162" s="39">
        <v>0</v>
      </c>
      <c r="CP162" s="40">
        <v>1</v>
      </c>
      <c r="CQ162" s="39">
        <f t="shared" ref="CQ162:CQ173" si="142">CO162*CP162</f>
        <v>0</v>
      </c>
      <c r="CR162" s="92">
        <f t="shared" si="140"/>
        <v>0</v>
      </c>
      <c r="CS162" s="91"/>
      <c r="CT162" s="17"/>
      <c r="CU162" s="39">
        <v>0</v>
      </c>
      <c r="CV162" s="40">
        <v>1</v>
      </c>
      <c r="CW162" s="39">
        <f t="shared" ref="CW162:CW173" si="143">CU162*CV162</f>
        <v>0</v>
      </c>
      <c r="CX162" s="39">
        <v>0</v>
      </c>
      <c r="CY162" s="40">
        <v>1</v>
      </c>
      <c r="CZ162" s="39">
        <f t="shared" ref="CZ162:CZ175" si="144">CX162*CY162</f>
        <v>0</v>
      </c>
      <c r="DA162" s="92">
        <f>CW162-CQ162</f>
        <v>0</v>
      </c>
      <c r="DB162" s="92"/>
      <c r="DC162" s="92"/>
      <c r="DD162" s="91"/>
      <c r="DE162" s="91"/>
      <c r="DF162" s="39">
        <v>0</v>
      </c>
      <c r="DG162" s="40">
        <v>1</v>
      </c>
      <c r="DH162" s="39">
        <f t="shared" si="119"/>
        <v>0</v>
      </c>
      <c r="DI162" s="168">
        <f t="shared" si="120"/>
        <v>0</v>
      </c>
      <c r="DJ162" s="168">
        <f t="shared" si="121"/>
        <v>0</v>
      </c>
      <c r="DK162" s="91"/>
      <c r="DL162" s="91"/>
      <c r="DM162" s="91"/>
      <c r="DN162" s="92">
        <f t="shared" si="122"/>
        <v>0</v>
      </c>
      <c r="DO162" s="151">
        <v>0</v>
      </c>
      <c r="DP162" s="151">
        <v>0</v>
      </c>
      <c r="DQ162" s="151">
        <v>0</v>
      </c>
      <c r="DR162" s="151">
        <v>0</v>
      </c>
      <c r="DS162" s="151">
        <v>0</v>
      </c>
      <c r="DT162" s="151">
        <v>0</v>
      </c>
      <c r="DU162" s="151">
        <v>0</v>
      </c>
      <c r="DV162" s="151">
        <v>0</v>
      </c>
      <c r="DW162" s="151">
        <v>0</v>
      </c>
      <c r="DX162" s="151">
        <v>0</v>
      </c>
      <c r="DY162" s="151">
        <v>0</v>
      </c>
      <c r="DZ162" s="151">
        <v>0</v>
      </c>
    </row>
    <row r="163" spans="1:130" s="50" customFormat="1" ht="16.25" hidden="1" customHeight="1" x14ac:dyDescent="0.35">
      <c r="A163" s="36" t="s">
        <v>657</v>
      </c>
      <c r="B163" s="36" t="s">
        <v>660</v>
      </c>
      <c r="C163" s="36" t="s">
        <v>28</v>
      </c>
      <c r="D163" s="16" t="s">
        <v>684</v>
      </c>
      <c r="E163" s="33" t="s">
        <v>1026</v>
      </c>
      <c r="F163" s="38" t="s">
        <v>114</v>
      </c>
      <c r="G163" s="32" t="s">
        <v>101</v>
      </c>
      <c r="H163" s="32"/>
      <c r="I163" s="36" t="s">
        <v>103</v>
      </c>
      <c r="J163" s="38"/>
      <c r="K163" s="36"/>
      <c r="L163" s="36"/>
      <c r="M163" s="36"/>
      <c r="N163" s="36"/>
      <c r="O163" s="33"/>
      <c r="P163" s="36" t="s">
        <v>111</v>
      </c>
      <c r="Q163" s="129">
        <f>CZ163</f>
        <v>0.50900000000000001</v>
      </c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6"/>
      <c r="AD163" s="39"/>
      <c r="AE163" s="39"/>
      <c r="AF163" s="37"/>
      <c r="AG163" s="37"/>
      <c r="AH163" s="34"/>
      <c r="AI163" s="45"/>
      <c r="AJ163" s="37"/>
      <c r="AK163" s="46"/>
      <c r="AL163" s="47"/>
      <c r="AM163" s="47"/>
      <c r="AN163" s="45"/>
      <c r="AO163" s="45"/>
      <c r="AP163" s="45"/>
      <c r="AQ163" s="45"/>
      <c r="AR163" s="39"/>
      <c r="AS163" s="40"/>
      <c r="AT163" s="39"/>
      <c r="AU163" s="48"/>
      <c r="AV163" s="49"/>
      <c r="AW163" s="48"/>
      <c r="AY163" s="39"/>
      <c r="AZ163" s="40"/>
      <c r="BA163" s="39"/>
      <c r="BB163" s="39"/>
      <c r="BC163" s="59"/>
      <c r="BE163" s="39"/>
      <c r="BF163" s="40"/>
      <c r="BG163" s="39"/>
      <c r="BH163" s="39"/>
      <c r="BI163" s="39"/>
      <c r="BJ163" s="39"/>
      <c r="BK163" s="59"/>
      <c r="BM163" s="39"/>
      <c r="BN163" s="40"/>
      <c r="BO163" s="39"/>
      <c r="BP163" s="39"/>
      <c r="BQ163" s="92"/>
      <c r="BR163" s="59"/>
      <c r="BU163" s="39">
        <v>0</v>
      </c>
      <c r="BV163" s="40">
        <v>0</v>
      </c>
      <c r="BW163" s="118">
        <f t="shared" si="141"/>
        <v>0</v>
      </c>
      <c r="BX163" s="118"/>
      <c r="BY163" s="34"/>
      <c r="CA163" s="39">
        <v>0.50900000000000001</v>
      </c>
      <c r="CB163" s="120">
        <v>1</v>
      </c>
      <c r="CC163" s="118">
        <f t="shared" si="127"/>
        <v>0.50900000000000001</v>
      </c>
      <c r="CD163" s="118">
        <v>0.50900000000000001</v>
      </c>
      <c r="CE163" s="92">
        <f t="shared" si="128"/>
        <v>0.50900000000000001</v>
      </c>
      <c r="CF163" s="92">
        <f t="shared" si="129"/>
        <v>0.50900000000000001</v>
      </c>
      <c r="CI163" s="39">
        <v>0.50900000000000001</v>
      </c>
      <c r="CJ163" s="136">
        <v>1</v>
      </c>
      <c r="CK163" s="118">
        <f t="shared" si="123"/>
        <v>0.50900000000000001</v>
      </c>
      <c r="CL163" s="92">
        <f t="shared" si="139"/>
        <v>0</v>
      </c>
      <c r="CN163" s="17"/>
      <c r="CO163" s="39">
        <v>0.50900000000000001</v>
      </c>
      <c r="CP163" s="120">
        <v>1</v>
      </c>
      <c r="CQ163" s="118">
        <f t="shared" si="142"/>
        <v>0.50900000000000001</v>
      </c>
      <c r="CR163" s="92">
        <f t="shared" si="140"/>
        <v>0</v>
      </c>
      <c r="CS163" s="91"/>
      <c r="CT163" s="17"/>
      <c r="CU163" s="39">
        <v>0.50900000000000001</v>
      </c>
      <c r="CV163" s="136">
        <v>1</v>
      </c>
      <c r="CW163" s="118">
        <f t="shared" si="143"/>
        <v>0.50900000000000001</v>
      </c>
      <c r="CX163" s="39">
        <v>0.50900000000000001</v>
      </c>
      <c r="CY163" s="136">
        <v>1</v>
      </c>
      <c r="CZ163" s="118">
        <f t="shared" si="144"/>
        <v>0.50900000000000001</v>
      </c>
      <c r="DA163" s="168">
        <f>CZ163-CQ163</f>
        <v>0</v>
      </c>
      <c r="DB163" s="168">
        <f>CZ163-CW163</f>
        <v>0</v>
      </c>
      <c r="DC163" s="168">
        <f>CZ163-CK163</f>
        <v>0</v>
      </c>
      <c r="DD163" s="91"/>
      <c r="DE163" s="91"/>
      <c r="DF163" s="39">
        <v>0.50900000000000001</v>
      </c>
      <c r="DG163" s="136">
        <v>1</v>
      </c>
      <c r="DH163" s="118">
        <f t="shared" ref="DH163:DH175" si="145">DF163*DG163</f>
        <v>0.50900000000000001</v>
      </c>
      <c r="DI163" s="168">
        <f t="shared" si="120"/>
        <v>0</v>
      </c>
      <c r="DJ163" s="168">
        <f t="shared" si="121"/>
        <v>0</v>
      </c>
      <c r="DK163" s="168"/>
      <c r="DL163" s="168"/>
      <c r="DM163" s="168"/>
      <c r="DN163" s="92">
        <f t="shared" ref="DN163:DN172" si="146">SUM(DO163:DZ163)</f>
        <v>3.194</v>
      </c>
      <c r="DO163" s="152">
        <v>1.544</v>
      </c>
      <c r="DP163" s="152">
        <v>0.52800000000000002</v>
      </c>
      <c r="DQ163" s="152">
        <v>1.1220000000000001</v>
      </c>
      <c r="DR163" s="152">
        <v>0</v>
      </c>
      <c r="DS163" s="152">
        <v>0</v>
      </c>
      <c r="DT163" s="152">
        <v>0</v>
      </c>
      <c r="DU163" s="152">
        <v>0</v>
      </c>
      <c r="DV163" s="152">
        <v>0</v>
      </c>
      <c r="DW163" s="152">
        <v>0</v>
      </c>
      <c r="DX163" s="152">
        <v>0</v>
      </c>
      <c r="DY163" s="152">
        <v>0</v>
      </c>
      <c r="DZ163" s="152">
        <v>0</v>
      </c>
    </row>
    <row r="164" spans="1:130" s="50" customFormat="1" ht="16.25" hidden="1" customHeight="1" x14ac:dyDescent="0.35">
      <c r="A164" s="36" t="s">
        <v>657</v>
      </c>
      <c r="B164" s="36" t="s">
        <v>660</v>
      </c>
      <c r="C164" s="36" t="s">
        <v>27</v>
      </c>
      <c r="D164" s="16" t="s">
        <v>685</v>
      </c>
      <c r="E164" s="33" t="s">
        <v>686</v>
      </c>
      <c r="F164" s="38" t="s">
        <v>110</v>
      </c>
      <c r="G164" s="32" t="s">
        <v>101</v>
      </c>
      <c r="H164" s="32"/>
      <c r="I164" s="36" t="s">
        <v>103</v>
      </c>
      <c r="J164" s="38"/>
      <c r="K164" s="36"/>
      <c r="L164" s="36"/>
      <c r="M164" s="36"/>
      <c r="N164" s="36"/>
      <c r="O164" s="38" t="s">
        <v>103</v>
      </c>
      <c r="P164" s="36" t="s">
        <v>111</v>
      </c>
      <c r="Q164" s="129">
        <f>CZ164</f>
        <v>23.99</v>
      </c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6"/>
      <c r="AD164" s="39"/>
      <c r="AE164" s="39"/>
      <c r="AF164" s="37"/>
      <c r="AG164" s="37"/>
      <c r="AH164" s="34"/>
      <c r="AI164" s="45"/>
      <c r="AJ164" s="37"/>
      <c r="AK164" s="46"/>
      <c r="AL164" s="47"/>
      <c r="AM164" s="47"/>
      <c r="AN164" s="45"/>
      <c r="AO164" s="45"/>
      <c r="AP164" s="45"/>
      <c r="AQ164" s="45"/>
      <c r="AR164" s="39"/>
      <c r="AS164" s="40"/>
      <c r="AT164" s="39"/>
      <c r="AU164" s="48"/>
      <c r="AV164" s="49"/>
      <c r="AW164" s="48"/>
      <c r="AY164" s="39"/>
      <c r="AZ164" s="40"/>
      <c r="BA164" s="39"/>
      <c r="BB164" s="39"/>
      <c r="BC164" s="59"/>
      <c r="BE164" s="39"/>
      <c r="BF164" s="40"/>
      <c r="BG164" s="39"/>
      <c r="BH164" s="39"/>
      <c r="BI164" s="39"/>
      <c r="BJ164" s="39"/>
      <c r="BK164" s="59"/>
      <c r="BM164" s="39"/>
      <c r="BN164" s="40"/>
      <c r="BO164" s="39"/>
      <c r="BP164" s="39"/>
      <c r="BQ164" s="92"/>
      <c r="BR164" s="59"/>
      <c r="BU164" s="39">
        <v>0</v>
      </c>
      <c r="BV164" s="40">
        <v>0</v>
      </c>
      <c r="BW164" s="118">
        <f t="shared" si="141"/>
        <v>0</v>
      </c>
      <c r="BX164" s="118">
        <f t="shared" ref="BX164:BX185" si="147">BW164-BO164</f>
        <v>0</v>
      </c>
      <c r="BY164" s="34"/>
      <c r="CA164" s="39">
        <v>23.99</v>
      </c>
      <c r="CB164" s="40">
        <v>1</v>
      </c>
      <c r="CC164" s="118">
        <f t="shared" si="127"/>
        <v>23.99</v>
      </c>
      <c r="CD164" s="118">
        <v>23.99</v>
      </c>
      <c r="CE164" s="92">
        <f t="shared" si="128"/>
        <v>23.99</v>
      </c>
      <c r="CF164" s="92">
        <f t="shared" si="129"/>
        <v>23.99</v>
      </c>
      <c r="CG164" s="50" t="s">
        <v>687</v>
      </c>
      <c r="CI164" s="39">
        <v>23.99</v>
      </c>
      <c r="CJ164" s="40">
        <v>1</v>
      </c>
      <c r="CK164" s="118">
        <f t="shared" si="123"/>
        <v>23.99</v>
      </c>
      <c r="CL164" s="92">
        <f t="shared" si="139"/>
        <v>0</v>
      </c>
      <c r="CN164" s="17"/>
      <c r="CO164" s="39">
        <v>23.99</v>
      </c>
      <c r="CP164" s="40">
        <v>1</v>
      </c>
      <c r="CQ164" s="118">
        <f t="shared" si="142"/>
        <v>23.99</v>
      </c>
      <c r="CR164" s="92">
        <f t="shared" si="140"/>
        <v>0</v>
      </c>
      <c r="CS164" s="91"/>
      <c r="CT164" s="17"/>
      <c r="CU164" s="39">
        <v>23.99</v>
      </c>
      <c r="CV164" s="40">
        <v>1</v>
      </c>
      <c r="CW164" s="118">
        <f t="shared" si="143"/>
        <v>23.99</v>
      </c>
      <c r="CX164" s="39">
        <v>23.99</v>
      </c>
      <c r="CY164" s="40">
        <v>1</v>
      </c>
      <c r="CZ164" s="118">
        <f t="shared" si="144"/>
        <v>23.99</v>
      </c>
      <c r="DA164" s="168">
        <f>CZ164-CQ164</f>
        <v>0</v>
      </c>
      <c r="DB164" s="168">
        <f>CZ164-CW164</f>
        <v>0</v>
      </c>
      <c r="DC164" s="168">
        <f>CZ164-CK164</f>
        <v>0</v>
      </c>
      <c r="DD164" s="91"/>
      <c r="DE164" s="91"/>
      <c r="DF164" s="39">
        <v>23.99</v>
      </c>
      <c r="DG164" s="40">
        <v>1</v>
      </c>
      <c r="DH164" s="118">
        <f t="shared" si="145"/>
        <v>23.99</v>
      </c>
      <c r="DI164" s="168">
        <f t="shared" si="120"/>
        <v>0</v>
      </c>
      <c r="DJ164" s="168">
        <f t="shared" si="121"/>
        <v>0</v>
      </c>
      <c r="DK164" s="168"/>
      <c r="DL164" s="168"/>
      <c r="DM164" s="168"/>
      <c r="DN164" s="92">
        <f t="shared" si="146"/>
        <v>23.990000000000002</v>
      </c>
      <c r="DO164" s="152">
        <v>24.134</v>
      </c>
      <c r="DP164" s="152">
        <v>-0.14399999999999999</v>
      </c>
      <c r="DQ164" s="152">
        <v>0</v>
      </c>
      <c r="DR164" s="152">
        <v>0</v>
      </c>
      <c r="DS164" s="152">
        <v>0</v>
      </c>
      <c r="DT164" s="152">
        <v>0</v>
      </c>
      <c r="DU164" s="152">
        <v>0</v>
      </c>
      <c r="DV164" s="152">
        <v>0</v>
      </c>
      <c r="DW164" s="152">
        <v>0</v>
      </c>
      <c r="DX164" s="152">
        <v>0</v>
      </c>
      <c r="DY164" s="152">
        <v>0</v>
      </c>
      <c r="DZ164" s="152">
        <v>0</v>
      </c>
    </row>
    <row r="165" spans="1:130" s="50" customFormat="1" ht="16.25" hidden="1" customHeight="1" x14ac:dyDescent="0.35">
      <c r="A165" s="36" t="s">
        <v>657</v>
      </c>
      <c r="B165" s="36" t="s">
        <v>660</v>
      </c>
      <c r="C165" s="36" t="s">
        <v>27</v>
      </c>
      <c r="D165" s="16" t="s">
        <v>688</v>
      </c>
      <c r="E165" s="33" t="s">
        <v>689</v>
      </c>
      <c r="F165" s="38" t="s">
        <v>114</v>
      </c>
      <c r="G165" s="32" t="s">
        <v>101</v>
      </c>
      <c r="H165" s="32"/>
      <c r="I165" s="36" t="s">
        <v>103</v>
      </c>
      <c r="J165" s="38"/>
      <c r="K165" s="36"/>
      <c r="L165" s="36"/>
      <c r="M165" s="36" t="s">
        <v>331</v>
      </c>
      <c r="N165" s="36"/>
      <c r="O165" s="33" t="s">
        <v>690</v>
      </c>
      <c r="P165" s="36" t="s">
        <v>170</v>
      </c>
      <c r="Q165" s="80">
        <f>CW165</f>
        <v>252.637</v>
      </c>
      <c r="R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6"/>
      <c r="AD165" s="37">
        <v>740</v>
      </c>
      <c r="AE165" s="37">
        <v>680</v>
      </c>
      <c r="AF165" s="37"/>
      <c r="AG165" s="37"/>
      <c r="AH165" s="34"/>
      <c r="AI165" s="45"/>
      <c r="AJ165" s="37">
        <v>75</v>
      </c>
      <c r="AK165" s="46">
        <v>1</v>
      </c>
      <c r="AL165" s="47">
        <f>AJ165*AK165</f>
        <v>75</v>
      </c>
      <c r="AM165" s="47"/>
      <c r="AN165" s="45"/>
      <c r="AO165" s="45"/>
      <c r="AP165" s="45"/>
      <c r="AQ165" s="45"/>
      <c r="AR165" s="39">
        <v>300</v>
      </c>
      <c r="AS165" s="40">
        <v>0.9</v>
      </c>
      <c r="AT165" s="39">
        <f>AR165*AS165</f>
        <v>270</v>
      </c>
      <c r="AU165" s="48"/>
      <c r="AV165" s="49">
        <f>AU165*AS165</f>
        <v>0</v>
      </c>
      <c r="AW165" s="48"/>
      <c r="AY165" s="39">
        <v>275</v>
      </c>
      <c r="AZ165" s="40">
        <v>0.9</v>
      </c>
      <c r="BA165" s="39">
        <f>AY165*AZ165</f>
        <v>247.5</v>
      </c>
      <c r="BB165" s="39">
        <f>BA165-AT165</f>
        <v>-22.5</v>
      </c>
      <c r="BE165" s="39">
        <v>275</v>
      </c>
      <c r="BF165" s="40">
        <v>0.9</v>
      </c>
      <c r="BG165" s="39">
        <f>BE165*BF165</f>
        <v>247.5</v>
      </c>
      <c r="BH165" s="39"/>
      <c r="BI165" s="39">
        <f>BG165-BA165</f>
        <v>0</v>
      </c>
      <c r="BJ165" s="39"/>
      <c r="BM165" s="39">
        <v>275</v>
      </c>
      <c r="BN165" s="40">
        <v>0.9</v>
      </c>
      <c r="BO165" s="39">
        <f t="shared" ref="BO165:BO180" si="148">BM165*BN165</f>
        <v>247.5</v>
      </c>
      <c r="BP165" s="39"/>
      <c r="BQ165" s="92">
        <f>BO165-BA165</f>
        <v>0</v>
      </c>
      <c r="BR165" s="59"/>
      <c r="BU165" s="39">
        <v>275</v>
      </c>
      <c r="BV165" s="40">
        <v>0.9</v>
      </c>
      <c r="BW165" s="118">
        <f t="shared" si="141"/>
        <v>247.5</v>
      </c>
      <c r="BX165" s="118">
        <f t="shared" si="147"/>
        <v>0</v>
      </c>
      <c r="BY165" s="34"/>
      <c r="CA165" s="39">
        <v>275</v>
      </c>
      <c r="CB165" s="40">
        <v>0.9</v>
      </c>
      <c r="CC165" s="118">
        <f t="shared" si="127"/>
        <v>247.5</v>
      </c>
      <c r="CD165" s="118">
        <v>247.5</v>
      </c>
      <c r="CE165" s="92">
        <f t="shared" si="128"/>
        <v>0</v>
      </c>
      <c r="CF165" s="92">
        <f t="shared" si="129"/>
        <v>0</v>
      </c>
      <c r="CI165" s="39">
        <v>275</v>
      </c>
      <c r="CJ165" s="40">
        <v>0.9</v>
      </c>
      <c r="CK165" s="118">
        <f t="shared" ref="CK165:CK196" si="149">CI165*CJ165</f>
        <v>247.5</v>
      </c>
      <c r="CL165" s="92">
        <f t="shared" si="139"/>
        <v>0</v>
      </c>
      <c r="CM165" s="50" t="s">
        <v>691</v>
      </c>
      <c r="CN165" s="17"/>
      <c r="CO165" s="39">
        <v>252.637</v>
      </c>
      <c r="CP165" s="40">
        <v>1</v>
      </c>
      <c r="CQ165" s="118">
        <f t="shared" si="142"/>
        <v>252.637</v>
      </c>
      <c r="CR165" s="92">
        <f t="shared" si="140"/>
        <v>5.1370000000000005</v>
      </c>
      <c r="CS165" s="91"/>
      <c r="CT165" s="17"/>
      <c r="CU165" s="39">
        <v>252.637</v>
      </c>
      <c r="CV165" s="40">
        <v>1</v>
      </c>
      <c r="CW165" s="118">
        <f t="shared" si="143"/>
        <v>252.637</v>
      </c>
      <c r="CX165" s="39">
        <v>252.637</v>
      </c>
      <c r="CY165" s="40">
        <v>1</v>
      </c>
      <c r="CZ165" s="118">
        <f t="shared" si="144"/>
        <v>252.637</v>
      </c>
      <c r="DA165" s="168">
        <f>CZ165-CQ165</f>
        <v>0</v>
      </c>
      <c r="DB165" s="168">
        <f>CZ165-CW165</f>
        <v>0</v>
      </c>
      <c r="DC165" s="168">
        <f>CZ165-CK165</f>
        <v>5.1370000000000005</v>
      </c>
      <c r="DD165" s="91"/>
      <c r="DE165" s="91"/>
      <c r="DF165" s="39">
        <v>252.637</v>
      </c>
      <c r="DG165" s="40">
        <v>1</v>
      </c>
      <c r="DH165" s="118">
        <f t="shared" si="145"/>
        <v>252.637</v>
      </c>
      <c r="DI165" s="168">
        <f t="shared" si="120"/>
        <v>0</v>
      </c>
      <c r="DJ165" s="168">
        <f t="shared" si="121"/>
        <v>0</v>
      </c>
      <c r="DK165" s="168"/>
      <c r="DL165" s="168"/>
      <c r="DM165" s="168"/>
      <c r="DN165" s="92">
        <f t="shared" si="146"/>
        <v>254.744</v>
      </c>
      <c r="DO165" s="152">
        <v>0</v>
      </c>
      <c r="DP165" s="152">
        <v>0</v>
      </c>
      <c r="DQ165" s="152">
        <v>37.904000000000003</v>
      </c>
      <c r="DR165" s="152">
        <v>0</v>
      </c>
      <c r="DS165" s="152">
        <v>0</v>
      </c>
      <c r="DT165" s="152">
        <v>11.363</v>
      </c>
      <c r="DU165" s="152">
        <v>189.38</v>
      </c>
      <c r="DV165" s="152">
        <v>0</v>
      </c>
      <c r="DW165" s="152">
        <v>0</v>
      </c>
      <c r="DX165" s="152">
        <v>0</v>
      </c>
      <c r="DY165" s="152">
        <v>0</v>
      </c>
      <c r="DZ165" s="152">
        <v>16.097000000000001</v>
      </c>
    </row>
    <row r="166" spans="1:130" s="50" customFormat="1" ht="16.25" hidden="1" customHeight="1" x14ac:dyDescent="0.35">
      <c r="A166" s="36" t="s">
        <v>657</v>
      </c>
      <c r="B166" s="36" t="s">
        <v>660</v>
      </c>
      <c r="C166" s="36" t="s">
        <v>28</v>
      </c>
      <c r="D166" s="16" t="s">
        <v>692</v>
      </c>
      <c r="E166" s="33" t="s">
        <v>693</v>
      </c>
      <c r="F166" s="38" t="s">
        <v>110</v>
      </c>
      <c r="G166" s="32" t="s">
        <v>101</v>
      </c>
      <c r="H166" s="32"/>
      <c r="I166" s="36" t="s">
        <v>103</v>
      </c>
      <c r="J166" s="38"/>
      <c r="K166" s="38"/>
      <c r="L166" s="38"/>
      <c r="M166" s="36" t="s">
        <v>332</v>
      </c>
      <c r="N166" s="36"/>
      <c r="O166" s="33" t="s">
        <v>694</v>
      </c>
      <c r="P166" s="36" t="s">
        <v>170</v>
      </c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6"/>
      <c r="AD166" s="37">
        <v>1530</v>
      </c>
      <c r="AE166" s="37">
        <v>1430</v>
      </c>
      <c r="AF166" s="37"/>
      <c r="AG166" s="37"/>
      <c r="AH166" s="34"/>
      <c r="AI166" s="45"/>
      <c r="AJ166" s="37">
        <v>790</v>
      </c>
      <c r="AK166" s="46">
        <v>0.9</v>
      </c>
      <c r="AL166" s="47">
        <f>AJ166*AK166</f>
        <v>711</v>
      </c>
      <c r="AM166" s="47"/>
      <c r="AN166" s="37"/>
      <c r="AO166" s="37"/>
      <c r="AP166" s="37"/>
      <c r="AQ166" s="37"/>
      <c r="AR166" s="39">
        <f>AE166-AJ166</f>
        <v>640</v>
      </c>
      <c r="AS166" s="46">
        <v>0.9</v>
      </c>
      <c r="AT166" s="45">
        <f>AR166*AS166</f>
        <v>576</v>
      </c>
      <c r="AU166" s="48"/>
      <c r="AV166" s="49"/>
      <c r="AW166" s="48"/>
      <c r="AY166" s="39">
        <v>1400</v>
      </c>
      <c r="AZ166" s="46">
        <v>0.5</v>
      </c>
      <c r="BA166" s="45">
        <f>AY166*AZ166</f>
        <v>700</v>
      </c>
      <c r="BB166" s="39">
        <f>BA166-AT166</f>
        <v>124</v>
      </c>
      <c r="BE166" s="39">
        <v>1400</v>
      </c>
      <c r="BF166" s="46">
        <v>0.5</v>
      </c>
      <c r="BG166" s="45">
        <f>BE166*BF166</f>
        <v>700</v>
      </c>
      <c r="BH166" s="45"/>
      <c r="BI166" s="39">
        <f>BG166-BA166</f>
        <v>0</v>
      </c>
      <c r="BJ166" s="39"/>
      <c r="BM166" s="39">
        <v>0</v>
      </c>
      <c r="BN166" s="46">
        <v>0.5</v>
      </c>
      <c r="BO166" s="45">
        <f t="shared" si="148"/>
        <v>0</v>
      </c>
      <c r="BP166" s="39"/>
      <c r="BQ166" s="92">
        <f>BO166-BA166</f>
        <v>-700</v>
      </c>
      <c r="BR166" s="34" t="s">
        <v>178</v>
      </c>
      <c r="BS166" s="50" t="s">
        <v>695</v>
      </c>
      <c r="BU166" s="39">
        <v>0</v>
      </c>
      <c r="BV166" s="46">
        <v>0.5</v>
      </c>
      <c r="BW166" s="118">
        <f t="shared" si="141"/>
        <v>0</v>
      </c>
      <c r="BX166" s="118">
        <f t="shared" si="147"/>
        <v>0</v>
      </c>
      <c r="CA166" s="39">
        <v>0</v>
      </c>
      <c r="CB166" s="46">
        <v>0.5</v>
      </c>
      <c r="CC166" s="118">
        <f t="shared" si="127"/>
        <v>0</v>
      </c>
      <c r="CD166" s="118">
        <v>0</v>
      </c>
      <c r="CE166" s="92">
        <f t="shared" si="128"/>
        <v>0</v>
      </c>
      <c r="CF166" s="92">
        <f t="shared" si="129"/>
        <v>0</v>
      </c>
      <c r="CI166" s="39">
        <v>0</v>
      </c>
      <c r="CJ166" s="46">
        <v>0.5</v>
      </c>
      <c r="CK166" s="118">
        <f t="shared" si="149"/>
        <v>0</v>
      </c>
      <c r="CL166" s="92">
        <f t="shared" si="139"/>
        <v>0</v>
      </c>
      <c r="CN166" s="17"/>
      <c r="CO166" s="39">
        <v>0</v>
      </c>
      <c r="CP166" s="46">
        <v>0.5</v>
      </c>
      <c r="CQ166" s="118">
        <f t="shared" si="142"/>
        <v>0</v>
      </c>
      <c r="CR166" s="92">
        <f t="shared" si="140"/>
        <v>0</v>
      </c>
      <c r="CS166" s="91"/>
      <c r="CT166" s="17"/>
      <c r="CU166" s="39">
        <v>0</v>
      </c>
      <c r="CV166" s="46">
        <v>0.5</v>
      </c>
      <c r="CW166" s="118">
        <f t="shared" si="143"/>
        <v>0</v>
      </c>
      <c r="CX166" s="39">
        <v>0</v>
      </c>
      <c r="CY166" s="46">
        <v>0.5</v>
      </c>
      <c r="CZ166" s="118">
        <f t="shared" si="144"/>
        <v>0</v>
      </c>
      <c r="DA166" s="168">
        <f>CZ166-CQ166</f>
        <v>0</v>
      </c>
      <c r="DB166" s="168">
        <f>CZ166-CW166</f>
        <v>0</v>
      </c>
      <c r="DC166" s="168">
        <f>CZ166-CK166</f>
        <v>0</v>
      </c>
      <c r="DD166" s="91"/>
      <c r="DE166" s="91"/>
      <c r="DF166" s="39">
        <v>0</v>
      </c>
      <c r="DG166" s="46">
        <v>0.5</v>
      </c>
      <c r="DH166" s="118">
        <f t="shared" si="145"/>
        <v>0</v>
      </c>
      <c r="DI166" s="168">
        <f t="shared" si="120"/>
        <v>0</v>
      </c>
      <c r="DJ166" s="168">
        <f t="shared" si="121"/>
        <v>0</v>
      </c>
      <c r="DK166" s="168"/>
      <c r="DL166" s="168"/>
      <c r="DM166" s="168"/>
      <c r="DN166" s="92">
        <f t="shared" si="146"/>
        <v>0</v>
      </c>
      <c r="DO166" s="151">
        <v>0</v>
      </c>
      <c r="DP166" s="151">
        <v>0</v>
      </c>
      <c r="DQ166" s="151">
        <v>0</v>
      </c>
      <c r="DR166" s="151">
        <v>0</v>
      </c>
      <c r="DS166" s="151">
        <v>0</v>
      </c>
      <c r="DT166" s="151">
        <v>0</v>
      </c>
      <c r="DU166" s="151">
        <v>0</v>
      </c>
      <c r="DV166" s="151">
        <v>0</v>
      </c>
      <c r="DW166" s="151">
        <v>0</v>
      </c>
      <c r="DX166" s="151">
        <v>0</v>
      </c>
      <c r="DY166" s="151">
        <v>0</v>
      </c>
      <c r="DZ166" s="151">
        <v>0</v>
      </c>
    </row>
    <row r="167" spans="1:130" s="50" customFormat="1" ht="16.25" hidden="1" customHeight="1" x14ac:dyDescent="0.35">
      <c r="A167" s="36" t="s">
        <v>657</v>
      </c>
      <c r="B167" s="36" t="s">
        <v>660</v>
      </c>
      <c r="C167" s="36" t="s">
        <v>28</v>
      </c>
      <c r="D167" s="15" t="s">
        <v>692</v>
      </c>
      <c r="E167" s="33" t="s">
        <v>693</v>
      </c>
      <c r="F167" s="38" t="s">
        <v>110</v>
      </c>
      <c r="G167" s="32" t="s">
        <v>263</v>
      </c>
      <c r="H167" s="32"/>
      <c r="I167" s="36" t="s">
        <v>103</v>
      </c>
      <c r="J167" s="38"/>
      <c r="K167" s="38"/>
      <c r="L167" s="38"/>
      <c r="M167" s="36" t="s">
        <v>332</v>
      </c>
      <c r="N167" s="36"/>
      <c r="O167" s="33" t="s">
        <v>694</v>
      </c>
      <c r="P167" s="36" t="s">
        <v>111</v>
      </c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6"/>
      <c r="AD167" s="37">
        <v>1530</v>
      </c>
      <c r="AE167" s="37">
        <v>1430</v>
      </c>
      <c r="AF167" s="37"/>
      <c r="AG167" s="37"/>
      <c r="AH167" s="34"/>
      <c r="AI167" s="45"/>
      <c r="AJ167" s="37">
        <v>790</v>
      </c>
      <c r="AK167" s="46">
        <v>0.9</v>
      </c>
      <c r="AL167" s="47">
        <f>AJ167*AK167</f>
        <v>711</v>
      </c>
      <c r="AM167" s="47"/>
      <c r="AN167" s="37"/>
      <c r="AO167" s="37"/>
      <c r="AP167" s="37"/>
      <c r="AQ167" s="37"/>
      <c r="AR167" s="39">
        <f>AE167-AJ167</f>
        <v>640</v>
      </c>
      <c r="AS167" s="46">
        <v>0.9</v>
      </c>
      <c r="AT167" s="45">
        <f>AR167*AS167</f>
        <v>576</v>
      </c>
      <c r="AU167" s="48"/>
      <c r="AV167" s="49"/>
      <c r="AW167" s="48"/>
      <c r="AX167" s="34"/>
      <c r="AY167" s="39">
        <v>0</v>
      </c>
      <c r="AZ167" s="46">
        <v>0</v>
      </c>
      <c r="BA167" s="45">
        <f>AY167*AZ167</f>
        <v>0</v>
      </c>
      <c r="BB167" s="39">
        <f>BA167-AT167</f>
        <v>-576</v>
      </c>
      <c r="BD167" s="34"/>
      <c r="BE167" s="39">
        <v>1400</v>
      </c>
      <c r="BF167" s="46">
        <v>0.5</v>
      </c>
      <c r="BG167" s="45">
        <f>BE167*BF167</f>
        <v>700</v>
      </c>
      <c r="BH167" s="45"/>
      <c r="BI167" s="39">
        <f>BG167-BA167</f>
        <v>700</v>
      </c>
      <c r="BJ167" s="39"/>
      <c r="BL167" s="34"/>
      <c r="BM167" s="39">
        <v>1400</v>
      </c>
      <c r="BN167" s="101">
        <v>1</v>
      </c>
      <c r="BO167" s="45">
        <f t="shared" si="148"/>
        <v>1400</v>
      </c>
      <c r="BP167" s="102">
        <v>600</v>
      </c>
      <c r="BQ167" s="92">
        <f>BO167-BA167</f>
        <v>1400</v>
      </c>
      <c r="BR167" s="59"/>
      <c r="BT167" s="34"/>
      <c r="BU167" s="39">
        <v>1400</v>
      </c>
      <c r="BV167" s="101">
        <v>1</v>
      </c>
      <c r="BW167" s="39">
        <f t="shared" si="141"/>
        <v>1400</v>
      </c>
      <c r="BX167" s="118">
        <f t="shared" si="147"/>
        <v>0</v>
      </c>
      <c r="BZ167" s="34"/>
      <c r="CA167" s="39">
        <v>1400</v>
      </c>
      <c r="CB167" s="101">
        <v>1</v>
      </c>
      <c r="CC167" s="39">
        <f t="shared" ref="CC167:CC189" si="150">CA167*CB167</f>
        <v>1400</v>
      </c>
      <c r="CD167" s="100">
        <v>1400</v>
      </c>
      <c r="CE167" s="92">
        <f t="shared" ref="CE167:CE185" si="151">CC167-BW167</f>
        <v>0</v>
      </c>
      <c r="CF167" s="92">
        <f t="shared" ref="CF167:CF185" si="152">CC167-BO167</f>
        <v>0</v>
      </c>
      <c r="CH167" s="34"/>
      <c r="CI167" s="39">
        <v>1400</v>
      </c>
      <c r="CJ167" s="40">
        <v>0</v>
      </c>
      <c r="CK167" s="39">
        <f t="shared" si="149"/>
        <v>0</v>
      </c>
      <c r="CL167" s="118">
        <f t="shared" si="139"/>
        <v>-1400</v>
      </c>
      <c r="CM167" s="34"/>
      <c r="CN167" s="17"/>
      <c r="CO167" s="39">
        <v>0</v>
      </c>
      <c r="CP167" s="40">
        <v>0</v>
      </c>
      <c r="CQ167" s="39">
        <f t="shared" si="142"/>
        <v>0</v>
      </c>
      <c r="CR167" s="92">
        <f t="shared" si="140"/>
        <v>0</v>
      </c>
      <c r="CS167" s="91"/>
      <c r="CT167" s="17"/>
      <c r="CU167" s="39">
        <v>0</v>
      </c>
      <c r="CV167" s="40">
        <v>0</v>
      </c>
      <c r="CW167" s="39">
        <f t="shared" si="143"/>
        <v>0</v>
      </c>
      <c r="CX167" s="39">
        <v>0</v>
      </c>
      <c r="CY167" s="40">
        <v>0</v>
      </c>
      <c r="CZ167" s="39">
        <f t="shared" si="144"/>
        <v>0</v>
      </c>
      <c r="DA167" s="92">
        <f>CW167-CQ167</f>
        <v>0</v>
      </c>
      <c r="DB167" s="92"/>
      <c r="DC167" s="92"/>
      <c r="DD167" s="91"/>
      <c r="DE167" s="91"/>
      <c r="DF167" s="39">
        <v>0</v>
      </c>
      <c r="DG167" s="40">
        <v>0</v>
      </c>
      <c r="DH167" s="39">
        <f t="shared" si="145"/>
        <v>0</v>
      </c>
      <c r="DI167" s="168">
        <f t="shared" si="120"/>
        <v>0</v>
      </c>
      <c r="DJ167" s="168">
        <f t="shared" si="121"/>
        <v>0</v>
      </c>
      <c r="DK167" s="91"/>
      <c r="DL167" s="91"/>
      <c r="DM167" s="91"/>
      <c r="DN167" s="92">
        <f t="shared" si="146"/>
        <v>0</v>
      </c>
      <c r="DO167" s="151">
        <v>0</v>
      </c>
      <c r="DP167" s="151">
        <v>0</v>
      </c>
      <c r="DQ167" s="151">
        <v>0</v>
      </c>
      <c r="DR167" s="151">
        <v>0</v>
      </c>
      <c r="DS167" s="151">
        <v>0</v>
      </c>
      <c r="DT167" s="151">
        <v>0</v>
      </c>
      <c r="DU167" s="151">
        <v>0</v>
      </c>
      <c r="DV167" s="151">
        <v>0</v>
      </c>
      <c r="DW167" s="151">
        <v>0</v>
      </c>
      <c r="DX167" s="151">
        <v>0</v>
      </c>
      <c r="DY167" s="151">
        <v>0</v>
      </c>
      <c r="DZ167" s="151">
        <v>0</v>
      </c>
    </row>
    <row r="168" spans="1:130" s="50" customFormat="1" ht="16.25" hidden="1" customHeight="1" x14ac:dyDescent="0.35">
      <c r="A168" s="36" t="s">
        <v>657</v>
      </c>
      <c r="B168" s="36" t="s">
        <v>660</v>
      </c>
      <c r="C168" s="36" t="s">
        <v>20</v>
      </c>
      <c r="D168" s="16" t="s">
        <v>696</v>
      </c>
      <c r="E168" s="38" t="s">
        <v>697</v>
      </c>
      <c r="F168" s="38" t="s">
        <v>110</v>
      </c>
      <c r="G168" s="32" t="s">
        <v>101</v>
      </c>
      <c r="H168" s="32"/>
      <c r="I168" s="36" t="s">
        <v>103</v>
      </c>
      <c r="J168" s="34"/>
      <c r="K168" s="36"/>
      <c r="L168" s="36"/>
      <c r="M168" s="36"/>
      <c r="N168" s="36"/>
      <c r="O168" s="38" t="s">
        <v>103</v>
      </c>
      <c r="P168" s="36" t="s">
        <v>111</v>
      </c>
      <c r="Q168" s="129">
        <f>CZ168</f>
        <v>74.025000000000006</v>
      </c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6"/>
      <c r="AD168" s="37"/>
      <c r="AE168" s="37"/>
      <c r="AF168" s="37"/>
      <c r="AG168" s="37"/>
      <c r="AH168" s="34"/>
      <c r="AI168" s="34"/>
      <c r="AJ168" s="37"/>
      <c r="AK168" s="46"/>
      <c r="AL168" s="47"/>
      <c r="AM168" s="47"/>
      <c r="AN168" s="45"/>
      <c r="AO168" s="45"/>
      <c r="AP168" s="45"/>
      <c r="AQ168" s="45"/>
      <c r="AR168" s="45"/>
      <c r="AS168" s="46"/>
      <c r="AT168" s="37"/>
      <c r="AU168" s="48"/>
      <c r="AV168" s="49"/>
      <c r="AW168" s="48"/>
      <c r="AY168" s="45"/>
      <c r="AZ168" s="46"/>
      <c r="BA168" s="37"/>
      <c r="BB168" s="39"/>
      <c r="BE168" s="45"/>
      <c r="BF168" s="46"/>
      <c r="BG168" s="37"/>
      <c r="BH168" s="37"/>
      <c r="BI168" s="39"/>
      <c r="BJ168" s="39"/>
      <c r="BM168" s="45">
        <v>90.4</v>
      </c>
      <c r="BN168" s="46">
        <v>1</v>
      </c>
      <c r="BO168" s="37">
        <f t="shared" si="148"/>
        <v>90.4</v>
      </c>
      <c r="BP168" s="37"/>
      <c r="BQ168" s="92">
        <f>BO168-BA168</f>
        <v>90.4</v>
      </c>
      <c r="BR168" s="34" t="s">
        <v>106</v>
      </c>
      <c r="BU168" s="45">
        <v>90</v>
      </c>
      <c r="BV168" s="46">
        <v>1</v>
      </c>
      <c r="BW168" s="118">
        <f t="shared" si="141"/>
        <v>90</v>
      </c>
      <c r="BX168" s="118">
        <f t="shared" si="147"/>
        <v>-0.40000000000000568</v>
      </c>
      <c r="CA168" s="45">
        <v>74</v>
      </c>
      <c r="CB168" s="46">
        <v>1</v>
      </c>
      <c r="CC168" s="118">
        <f t="shared" si="150"/>
        <v>74</v>
      </c>
      <c r="CD168" s="118">
        <v>74</v>
      </c>
      <c r="CE168" s="92">
        <f t="shared" si="151"/>
        <v>-16</v>
      </c>
      <c r="CF168" s="92">
        <f t="shared" si="152"/>
        <v>-16.400000000000006</v>
      </c>
      <c r="CI168" s="45">
        <v>73</v>
      </c>
      <c r="CJ168" s="46">
        <v>1</v>
      </c>
      <c r="CK168" s="118">
        <f t="shared" si="149"/>
        <v>73</v>
      </c>
      <c r="CL168" s="92">
        <f t="shared" si="139"/>
        <v>-1</v>
      </c>
      <c r="CN168" s="17"/>
      <c r="CO168" s="45">
        <v>74.025000000000006</v>
      </c>
      <c r="CP168" s="46">
        <v>1</v>
      </c>
      <c r="CQ168" s="118">
        <f t="shared" si="142"/>
        <v>74.025000000000006</v>
      </c>
      <c r="CR168" s="92">
        <f t="shared" si="140"/>
        <v>1.0250000000000057</v>
      </c>
      <c r="CS168" s="91"/>
      <c r="CT168" s="17"/>
      <c r="CU168" s="45">
        <v>74.025000000000006</v>
      </c>
      <c r="CV168" s="46">
        <v>1</v>
      </c>
      <c r="CW168" s="118">
        <f t="shared" si="143"/>
        <v>74.025000000000006</v>
      </c>
      <c r="CX168" s="45">
        <v>74.025000000000006</v>
      </c>
      <c r="CY168" s="46">
        <v>1</v>
      </c>
      <c r="CZ168" s="118">
        <f t="shared" si="144"/>
        <v>74.025000000000006</v>
      </c>
      <c r="DA168" s="168">
        <f t="shared" ref="DA168:DA196" si="153">CZ168-CQ168</f>
        <v>0</v>
      </c>
      <c r="DB168" s="168">
        <f t="shared" ref="DB168:DB196" si="154">CZ168-CW168</f>
        <v>0</v>
      </c>
      <c r="DC168" s="168">
        <f t="shared" ref="DC168:DC196" si="155">CZ168-CK168</f>
        <v>1.0250000000000057</v>
      </c>
      <c r="DD168" s="91"/>
      <c r="DE168" s="91"/>
      <c r="DF168" s="45">
        <v>67</v>
      </c>
      <c r="DG168" s="46">
        <v>1</v>
      </c>
      <c r="DH168" s="118">
        <f t="shared" si="145"/>
        <v>67</v>
      </c>
      <c r="DI168" s="168">
        <f t="shared" si="120"/>
        <v>-7.0250000000000057</v>
      </c>
      <c r="DJ168" s="168">
        <f t="shared" si="121"/>
        <v>-7.0250000000000057</v>
      </c>
      <c r="DK168" s="168"/>
      <c r="DL168" s="168"/>
      <c r="DM168" s="168"/>
      <c r="DN168" s="92">
        <f t="shared" si="146"/>
        <v>72.013000000000005</v>
      </c>
      <c r="DO168" s="152">
        <v>32.767000000000003</v>
      </c>
      <c r="DP168" s="152">
        <v>7.7839999999999998</v>
      </c>
      <c r="DQ168" s="152">
        <v>8.7129999999999992</v>
      </c>
      <c r="DR168" s="152">
        <v>2.8639999999999999</v>
      </c>
      <c r="DS168" s="152">
        <v>0</v>
      </c>
      <c r="DT168" s="152">
        <v>19.885000000000002</v>
      </c>
      <c r="DU168" s="152">
        <v>0</v>
      </c>
      <c r="DV168" s="152">
        <v>0</v>
      </c>
      <c r="DW168" s="152">
        <v>0</v>
      </c>
      <c r="DX168" s="152">
        <v>0</v>
      </c>
      <c r="DY168" s="152">
        <v>0</v>
      </c>
      <c r="DZ168" s="152">
        <v>0</v>
      </c>
    </row>
    <row r="169" spans="1:130" s="50" customFormat="1" ht="16.25" hidden="1" customHeight="1" x14ac:dyDescent="0.35">
      <c r="A169" s="36" t="s">
        <v>657</v>
      </c>
      <c r="B169" s="36" t="s">
        <v>660</v>
      </c>
      <c r="C169" s="36" t="s">
        <v>20</v>
      </c>
      <c r="D169" s="16" t="s">
        <v>698</v>
      </c>
      <c r="E169" s="38" t="s">
        <v>699</v>
      </c>
      <c r="F169" s="38" t="s">
        <v>110</v>
      </c>
      <c r="G169" s="32" t="s">
        <v>101</v>
      </c>
      <c r="H169" s="32"/>
      <c r="I169" s="36" t="s">
        <v>103</v>
      </c>
      <c r="J169" s="34"/>
      <c r="K169" s="36"/>
      <c r="L169" s="36"/>
      <c r="M169" s="36"/>
      <c r="N169" s="36"/>
      <c r="O169" s="38" t="s">
        <v>103</v>
      </c>
      <c r="P169" s="36" t="s">
        <v>111</v>
      </c>
      <c r="Q169" s="129">
        <f>CZ169</f>
        <v>76.599000000000004</v>
      </c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6"/>
      <c r="AD169" s="37"/>
      <c r="AE169" s="37"/>
      <c r="AF169" s="37"/>
      <c r="AG169" s="37"/>
      <c r="AH169" s="34"/>
      <c r="AI169" s="34"/>
      <c r="AJ169" s="37"/>
      <c r="AK169" s="46"/>
      <c r="AL169" s="47"/>
      <c r="AM169" s="47"/>
      <c r="AN169" s="45"/>
      <c r="AO169" s="45"/>
      <c r="AP169" s="45"/>
      <c r="AQ169" s="45"/>
      <c r="AR169" s="45"/>
      <c r="AS169" s="46"/>
      <c r="AT169" s="37"/>
      <c r="AU169" s="48"/>
      <c r="AV169" s="49"/>
      <c r="AW169" s="48"/>
      <c r="AY169" s="45"/>
      <c r="AZ169" s="46"/>
      <c r="BA169" s="37"/>
      <c r="BB169" s="39"/>
      <c r="BE169" s="45"/>
      <c r="BF169" s="46"/>
      <c r="BG169" s="37"/>
      <c r="BH169" s="37"/>
      <c r="BI169" s="39"/>
      <c r="BJ169" s="39"/>
      <c r="BM169" s="45">
        <v>0</v>
      </c>
      <c r="BN169" s="46">
        <v>0</v>
      </c>
      <c r="BO169" s="37">
        <f t="shared" si="148"/>
        <v>0</v>
      </c>
      <c r="BP169" s="37"/>
      <c r="BQ169" s="92"/>
      <c r="BR169" s="34"/>
      <c r="BU169" s="45">
        <v>0</v>
      </c>
      <c r="BV169" s="46">
        <v>1</v>
      </c>
      <c r="BW169" s="118">
        <f t="shared" si="141"/>
        <v>0</v>
      </c>
      <c r="BX169" s="118">
        <f t="shared" si="147"/>
        <v>0</v>
      </c>
      <c r="CA169" s="45">
        <v>75</v>
      </c>
      <c r="CB169" s="46">
        <v>1</v>
      </c>
      <c r="CC169" s="118">
        <f t="shared" si="150"/>
        <v>75</v>
      </c>
      <c r="CD169" s="118">
        <v>75</v>
      </c>
      <c r="CE169" s="92">
        <f t="shared" si="151"/>
        <v>75</v>
      </c>
      <c r="CF169" s="92">
        <f t="shared" si="152"/>
        <v>75</v>
      </c>
      <c r="CI169" s="45">
        <v>76</v>
      </c>
      <c r="CJ169" s="46">
        <v>1</v>
      </c>
      <c r="CK169" s="118">
        <f t="shared" si="149"/>
        <v>76</v>
      </c>
      <c r="CL169" s="92">
        <f t="shared" si="139"/>
        <v>1</v>
      </c>
      <c r="CN169" s="17"/>
      <c r="CO169" s="45">
        <v>76.599000000000004</v>
      </c>
      <c r="CP169" s="46">
        <v>1</v>
      </c>
      <c r="CQ169" s="118">
        <f t="shared" si="142"/>
        <v>76.599000000000004</v>
      </c>
      <c r="CR169" s="92">
        <f t="shared" si="140"/>
        <v>0.59900000000000375</v>
      </c>
      <c r="CS169" s="91"/>
      <c r="CT169" s="17"/>
      <c r="CU169" s="45">
        <v>76.599000000000004</v>
      </c>
      <c r="CV169" s="46">
        <v>1</v>
      </c>
      <c r="CW169" s="118">
        <f t="shared" si="143"/>
        <v>76.599000000000004</v>
      </c>
      <c r="CX169" s="45">
        <v>76.599000000000004</v>
      </c>
      <c r="CY169" s="46">
        <v>1</v>
      </c>
      <c r="CZ169" s="118">
        <f t="shared" si="144"/>
        <v>76.599000000000004</v>
      </c>
      <c r="DA169" s="168">
        <f t="shared" si="153"/>
        <v>0</v>
      </c>
      <c r="DB169" s="168">
        <f t="shared" si="154"/>
        <v>0</v>
      </c>
      <c r="DC169" s="168">
        <f t="shared" si="155"/>
        <v>0.59900000000000375</v>
      </c>
      <c r="DD169" s="91"/>
      <c r="DE169" s="91"/>
      <c r="DF169" s="45">
        <v>74</v>
      </c>
      <c r="DG169" s="46">
        <v>1</v>
      </c>
      <c r="DH169" s="118">
        <f t="shared" si="145"/>
        <v>74</v>
      </c>
      <c r="DI169" s="168">
        <f t="shared" si="120"/>
        <v>-2.5990000000000038</v>
      </c>
      <c r="DJ169" s="168">
        <f t="shared" si="121"/>
        <v>-2.5990000000000038</v>
      </c>
      <c r="DK169" s="168"/>
      <c r="DL169" s="168"/>
      <c r="DM169" s="168"/>
      <c r="DN169" s="92">
        <f t="shared" si="146"/>
        <v>74.237000000000009</v>
      </c>
      <c r="DO169" s="152">
        <v>3.2490000000000001</v>
      </c>
      <c r="DP169" s="152">
        <v>28.379000000000001</v>
      </c>
      <c r="DQ169" s="152">
        <v>7.3570000000000002</v>
      </c>
      <c r="DR169" s="152">
        <v>10.292</v>
      </c>
      <c r="DS169" s="152">
        <v>5.0750000000000002</v>
      </c>
      <c r="DT169" s="152">
        <v>19.885000000000002</v>
      </c>
      <c r="DU169" s="152">
        <v>0</v>
      </c>
      <c r="DV169" s="152">
        <v>0</v>
      </c>
      <c r="DW169" s="152">
        <v>0</v>
      </c>
      <c r="DX169" s="152">
        <v>0</v>
      </c>
      <c r="DY169" s="152">
        <v>0</v>
      </c>
      <c r="DZ169" s="152">
        <v>0</v>
      </c>
    </row>
    <row r="170" spans="1:130" s="50" customFormat="1" ht="16.25" hidden="1" customHeight="1" x14ac:dyDescent="0.35">
      <c r="A170" s="36" t="s">
        <v>657</v>
      </c>
      <c r="B170" s="36" t="s">
        <v>660</v>
      </c>
      <c r="C170" s="36" t="s">
        <v>27</v>
      </c>
      <c r="D170" s="16" t="s">
        <v>700</v>
      </c>
      <c r="E170" s="33" t="s">
        <v>701</v>
      </c>
      <c r="F170" s="38" t="s">
        <v>110</v>
      </c>
      <c r="G170" s="36" t="s">
        <v>101</v>
      </c>
      <c r="H170" s="36"/>
      <c r="I170" s="36" t="s">
        <v>103</v>
      </c>
      <c r="J170" s="33" t="s">
        <v>702</v>
      </c>
      <c r="K170" s="36" t="s">
        <v>703</v>
      </c>
      <c r="L170" s="36" t="s">
        <v>130</v>
      </c>
      <c r="M170" s="36" t="s">
        <v>131</v>
      </c>
      <c r="N170" s="36" t="s">
        <v>332</v>
      </c>
      <c r="O170" s="38"/>
      <c r="P170" s="36" t="s">
        <v>111</v>
      </c>
      <c r="Q170" s="129">
        <f>CZ170</f>
        <v>687.51900000000001</v>
      </c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6"/>
      <c r="AD170" s="39">
        <v>6490</v>
      </c>
      <c r="AE170" s="39">
        <v>5500</v>
      </c>
      <c r="AF170" s="37"/>
      <c r="AG170" s="37"/>
      <c r="AH170" s="34"/>
      <c r="AI170" s="45"/>
      <c r="AJ170" s="37">
        <v>0</v>
      </c>
      <c r="AK170" s="46">
        <v>0</v>
      </c>
      <c r="AL170" s="47">
        <f>AJ170*AK170</f>
        <v>0</v>
      </c>
      <c r="AM170" s="47"/>
      <c r="AN170" s="45"/>
      <c r="AO170" s="45"/>
      <c r="AP170" s="45"/>
      <c r="AQ170" s="45"/>
      <c r="AR170" s="39">
        <f>800+500</f>
        <v>1300</v>
      </c>
      <c r="AS170" s="40">
        <v>0.9</v>
      </c>
      <c r="AT170" s="39">
        <f>AR170*AS170</f>
        <v>1170</v>
      </c>
      <c r="AU170" s="48"/>
      <c r="AV170" s="49">
        <f>AU170*AS170</f>
        <v>0</v>
      </c>
      <c r="AW170" s="48"/>
      <c r="AY170" s="39">
        <v>1300</v>
      </c>
      <c r="AZ170" s="40">
        <v>0.9</v>
      </c>
      <c r="BA170" s="39">
        <f>AY170*AZ170</f>
        <v>1170</v>
      </c>
      <c r="BB170" s="39">
        <f>BA170-AT170</f>
        <v>0</v>
      </c>
      <c r="BE170" s="39">
        <f>400+350</f>
        <v>750</v>
      </c>
      <c r="BF170" s="40">
        <v>1</v>
      </c>
      <c r="BG170" s="39">
        <f>BE170*BF170</f>
        <v>750</v>
      </c>
      <c r="BH170" s="39"/>
      <c r="BI170" s="39">
        <f>BG170-BA170</f>
        <v>-420</v>
      </c>
      <c r="BJ170" s="39"/>
      <c r="BM170" s="39">
        <f>200+550</f>
        <v>750</v>
      </c>
      <c r="BN170" s="40">
        <v>0.9</v>
      </c>
      <c r="BO170" s="39">
        <f t="shared" si="148"/>
        <v>675</v>
      </c>
      <c r="BP170" s="75">
        <v>750</v>
      </c>
      <c r="BQ170" s="92">
        <f t="shared" ref="BQ170:BQ180" si="156">BO170-BA170</f>
        <v>-495</v>
      </c>
      <c r="BR170" s="34" t="s">
        <v>121</v>
      </c>
      <c r="BU170" s="39">
        <f>200+550</f>
        <v>750</v>
      </c>
      <c r="BV170" s="40">
        <v>0.9</v>
      </c>
      <c r="BW170" s="118">
        <f t="shared" si="141"/>
        <v>675</v>
      </c>
      <c r="BX170" s="118">
        <f t="shared" si="147"/>
        <v>0</v>
      </c>
      <c r="BY170" s="34"/>
      <c r="CA170" s="39">
        <v>747</v>
      </c>
      <c r="CB170" s="40">
        <v>0.9</v>
      </c>
      <c r="CC170" s="118">
        <f t="shared" si="150"/>
        <v>672.30000000000007</v>
      </c>
      <c r="CD170" s="118">
        <v>672.30000000000007</v>
      </c>
      <c r="CE170" s="92">
        <f t="shared" si="151"/>
        <v>-2.6999999999999318</v>
      </c>
      <c r="CF170" s="92">
        <f t="shared" si="152"/>
        <v>-2.6999999999999318</v>
      </c>
      <c r="CI170" s="39">
        <v>747</v>
      </c>
      <c r="CJ170" s="40">
        <v>0.9</v>
      </c>
      <c r="CK170" s="118">
        <f t="shared" si="149"/>
        <v>672.30000000000007</v>
      </c>
      <c r="CL170" s="92">
        <f t="shared" si="139"/>
        <v>0</v>
      </c>
      <c r="CN170" s="17"/>
      <c r="CO170" s="39">
        <v>687.51900000000001</v>
      </c>
      <c r="CP170" s="40">
        <v>1</v>
      </c>
      <c r="CQ170" s="118">
        <f t="shared" si="142"/>
        <v>687.51900000000001</v>
      </c>
      <c r="CR170" s="92">
        <f t="shared" si="140"/>
        <v>15.218999999999937</v>
      </c>
      <c r="CS170" s="91" t="s">
        <v>704</v>
      </c>
      <c r="CT170" s="17"/>
      <c r="CU170" s="39">
        <v>687.51900000000001</v>
      </c>
      <c r="CV170" s="40">
        <v>1</v>
      </c>
      <c r="CW170" s="118">
        <f t="shared" si="143"/>
        <v>687.51900000000001</v>
      </c>
      <c r="CX170" s="39">
        <v>687.51900000000001</v>
      </c>
      <c r="CY170" s="40">
        <v>1</v>
      </c>
      <c r="CZ170" s="118">
        <f t="shared" si="144"/>
        <v>687.51900000000001</v>
      </c>
      <c r="DA170" s="168">
        <f t="shared" si="153"/>
        <v>0</v>
      </c>
      <c r="DB170" s="168">
        <f t="shared" si="154"/>
        <v>0</v>
      </c>
      <c r="DC170" s="168">
        <f t="shared" si="155"/>
        <v>15.218999999999937</v>
      </c>
      <c r="DD170" s="91"/>
      <c r="DE170" s="91"/>
      <c r="DF170" s="39">
        <v>482</v>
      </c>
      <c r="DG170" s="40">
        <v>1</v>
      </c>
      <c r="DH170" s="118">
        <f t="shared" si="145"/>
        <v>482</v>
      </c>
      <c r="DI170" s="168">
        <f t="shared" si="120"/>
        <v>-205.51900000000001</v>
      </c>
      <c r="DJ170" s="168">
        <f t="shared" si="121"/>
        <v>-205.51900000000001</v>
      </c>
      <c r="DK170" s="168" t="s">
        <v>705</v>
      </c>
      <c r="DL170" s="168"/>
      <c r="DM170" s="168"/>
      <c r="DN170" s="92">
        <f t="shared" si="146"/>
        <v>687.178</v>
      </c>
      <c r="DO170" s="152">
        <v>66.176000000000002</v>
      </c>
      <c r="DP170" s="152">
        <v>223.53700000000001</v>
      </c>
      <c r="DQ170" s="152">
        <v>22.181999999999999</v>
      </c>
      <c r="DR170" s="152">
        <v>109.051</v>
      </c>
      <c r="DS170" s="152">
        <v>67.466999999999999</v>
      </c>
      <c r="DT170" s="152">
        <v>-67.878</v>
      </c>
      <c r="DU170" s="152">
        <v>0</v>
      </c>
      <c r="DV170" s="152">
        <v>0</v>
      </c>
      <c r="DW170" s="152">
        <v>266.64299999999997</v>
      </c>
      <c r="DX170" s="152">
        <v>0</v>
      </c>
      <c r="DY170" s="152">
        <v>0</v>
      </c>
      <c r="DZ170" s="152">
        <v>0</v>
      </c>
    </row>
    <row r="171" spans="1:130" s="50" customFormat="1" ht="16.25" hidden="1" customHeight="1" x14ac:dyDescent="0.35">
      <c r="A171" s="36" t="s">
        <v>657</v>
      </c>
      <c r="B171" s="36" t="s">
        <v>660</v>
      </c>
      <c r="C171" s="36" t="s">
        <v>28</v>
      </c>
      <c r="D171" s="15" t="s">
        <v>706</v>
      </c>
      <c r="E171" s="33" t="s">
        <v>707</v>
      </c>
      <c r="F171" s="38" t="s">
        <v>110</v>
      </c>
      <c r="G171" s="32" t="s">
        <v>101</v>
      </c>
      <c r="H171" s="32"/>
      <c r="I171" s="36" t="s">
        <v>103</v>
      </c>
      <c r="J171" s="38"/>
      <c r="K171" s="36"/>
      <c r="L171" s="36"/>
      <c r="M171" s="36"/>
      <c r="N171" s="36"/>
      <c r="O171" s="33" t="s">
        <v>708</v>
      </c>
      <c r="P171" s="36" t="s">
        <v>111</v>
      </c>
      <c r="Q171" s="129">
        <f>CZ171</f>
        <v>126</v>
      </c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6"/>
      <c r="AD171" s="37">
        <v>1760</v>
      </c>
      <c r="AE171" s="37">
        <v>1480</v>
      </c>
      <c r="AF171" s="37"/>
      <c r="AG171" s="37"/>
      <c r="AH171" s="34"/>
      <c r="AI171" s="45"/>
      <c r="AJ171" s="37">
        <v>1153</v>
      </c>
      <c r="AK171" s="46">
        <v>1</v>
      </c>
      <c r="AL171" s="47">
        <f>AJ171*AK171</f>
        <v>1153</v>
      </c>
      <c r="AM171" s="47"/>
      <c r="AN171" s="45"/>
      <c r="AO171" s="45"/>
      <c r="AP171" s="45"/>
      <c r="AQ171" s="45"/>
      <c r="AR171" s="39">
        <v>360</v>
      </c>
      <c r="AS171" s="40">
        <v>0.9</v>
      </c>
      <c r="AT171" s="39">
        <f>AR171*AS171</f>
        <v>324</v>
      </c>
      <c r="AU171" s="48"/>
      <c r="AV171" s="49">
        <f>AU171*AS171</f>
        <v>0</v>
      </c>
      <c r="AW171" s="48"/>
      <c r="AY171" s="39">
        <v>500</v>
      </c>
      <c r="AZ171" s="40">
        <v>0.9</v>
      </c>
      <c r="BA171" s="39">
        <f>AY171*AZ171</f>
        <v>450</v>
      </c>
      <c r="BB171" s="39">
        <f>BA171-AT171</f>
        <v>126</v>
      </c>
      <c r="BE171" s="39">
        <f>1760-1153</f>
        <v>607</v>
      </c>
      <c r="BF171" s="40">
        <v>0.9</v>
      </c>
      <c r="BG171" s="39">
        <f>BE171*BF171</f>
        <v>546.30000000000007</v>
      </c>
      <c r="BH171" s="39"/>
      <c r="BI171" s="39">
        <f>BG171-BA171</f>
        <v>96.300000000000068</v>
      </c>
      <c r="BJ171" s="39"/>
      <c r="BM171" s="39">
        <v>307</v>
      </c>
      <c r="BN171" s="40">
        <v>0.9</v>
      </c>
      <c r="BO171" s="39">
        <f t="shared" si="148"/>
        <v>276.3</v>
      </c>
      <c r="BP171" s="39"/>
      <c r="BQ171" s="92">
        <f t="shared" si="156"/>
        <v>-173.7</v>
      </c>
      <c r="BR171" s="34" t="s">
        <v>121</v>
      </c>
      <c r="BU171" s="39">
        <v>307</v>
      </c>
      <c r="BV171" s="40">
        <v>0.9</v>
      </c>
      <c r="BW171" s="118">
        <f t="shared" si="141"/>
        <v>276.3</v>
      </c>
      <c r="BX171" s="118">
        <f t="shared" si="147"/>
        <v>0</v>
      </c>
      <c r="CA171" s="39">
        <v>307</v>
      </c>
      <c r="CB171" s="40">
        <v>0.9</v>
      </c>
      <c r="CC171" s="118">
        <f t="shared" si="150"/>
        <v>276.3</v>
      </c>
      <c r="CD171" s="118">
        <v>276.3</v>
      </c>
      <c r="CE171" s="92">
        <f t="shared" si="151"/>
        <v>0</v>
      </c>
      <c r="CF171" s="92">
        <f t="shared" si="152"/>
        <v>0</v>
      </c>
      <c r="CI171" s="39">
        <v>307</v>
      </c>
      <c r="CJ171" s="40">
        <v>0.9</v>
      </c>
      <c r="CK171" s="118">
        <f t="shared" si="149"/>
        <v>276.3</v>
      </c>
      <c r="CL171" s="92">
        <f t="shared" si="139"/>
        <v>0</v>
      </c>
      <c r="CN171" s="17"/>
      <c r="CO171" s="39">
        <v>280.93900000000002</v>
      </c>
      <c r="CP171" s="40">
        <v>1</v>
      </c>
      <c r="CQ171" s="118">
        <f t="shared" si="142"/>
        <v>280.93900000000002</v>
      </c>
      <c r="CR171" s="92">
        <f t="shared" si="140"/>
        <v>4.63900000000001</v>
      </c>
      <c r="CS171" s="91"/>
      <c r="CT171" s="17"/>
      <c r="CU171" s="39">
        <v>280.93900000000002</v>
      </c>
      <c r="CV171" s="40">
        <v>1</v>
      </c>
      <c r="CW171" s="118">
        <f t="shared" si="143"/>
        <v>280.93900000000002</v>
      </c>
      <c r="CX171" s="39">
        <v>126</v>
      </c>
      <c r="CY171" s="40">
        <v>1</v>
      </c>
      <c r="CZ171" s="118">
        <f t="shared" si="144"/>
        <v>126</v>
      </c>
      <c r="DA171" s="168">
        <f t="shared" si="153"/>
        <v>-154.93900000000002</v>
      </c>
      <c r="DB171" s="168">
        <f t="shared" si="154"/>
        <v>-154.93900000000002</v>
      </c>
      <c r="DC171" s="168">
        <f t="shared" si="155"/>
        <v>-150.30000000000001</v>
      </c>
      <c r="DD171" s="91" t="s">
        <v>521</v>
      </c>
      <c r="DE171" s="91"/>
      <c r="DF171" s="39">
        <v>126</v>
      </c>
      <c r="DG171" s="40">
        <v>1</v>
      </c>
      <c r="DH171" s="118">
        <f t="shared" si="145"/>
        <v>126</v>
      </c>
      <c r="DI171" s="168">
        <f t="shared" si="120"/>
        <v>0</v>
      </c>
      <c r="DJ171" s="168">
        <f t="shared" si="121"/>
        <v>-154.93900000000002</v>
      </c>
      <c r="DK171" s="168"/>
      <c r="DL171" s="168"/>
      <c r="DM171" s="168"/>
      <c r="DN171" s="92">
        <f t="shared" si="146"/>
        <v>126.38700000000001</v>
      </c>
      <c r="DO171" s="152">
        <v>-7.6020000000000003</v>
      </c>
      <c r="DP171" s="152">
        <v>-1E-3</v>
      </c>
      <c r="DQ171" s="152">
        <v>133.99</v>
      </c>
      <c r="DR171" s="152">
        <v>0</v>
      </c>
      <c r="DS171" s="152">
        <v>0</v>
      </c>
      <c r="DT171" s="152">
        <v>0</v>
      </c>
      <c r="DU171" s="152">
        <v>0</v>
      </c>
      <c r="DV171" s="152">
        <v>0</v>
      </c>
      <c r="DW171" s="152">
        <v>0</v>
      </c>
      <c r="DX171" s="152">
        <v>0</v>
      </c>
      <c r="DY171" s="152">
        <v>0</v>
      </c>
      <c r="DZ171" s="152">
        <v>0</v>
      </c>
    </row>
    <row r="172" spans="1:130" s="50" customFormat="1" ht="16.25" hidden="1" customHeight="1" x14ac:dyDescent="0.35">
      <c r="A172" s="36" t="s">
        <v>657</v>
      </c>
      <c r="B172" s="36" t="s">
        <v>660</v>
      </c>
      <c r="C172" s="36" t="s">
        <v>20</v>
      </c>
      <c r="D172" s="16" t="s">
        <v>709</v>
      </c>
      <c r="E172" s="38" t="s">
        <v>125</v>
      </c>
      <c r="F172" s="38" t="s">
        <v>110</v>
      </c>
      <c r="G172" s="32" t="s">
        <v>101</v>
      </c>
      <c r="H172" s="32"/>
      <c r="I172" s="36" t="s">
        <v>103</v>
      </c>
      <c r="J172" s="34"/>
      <c r="K172" s="36"/>
      <c r="L172" s="36"/>
      <c r="M172" s="36"/>
      <c r="N172" s="36"/>
      <c r="O172" s="38" t="s">
        <v>103</v>
      </c>
      <c r="P172" s="36" t="s">
        <v>111</v>
      </c>
      <c r="Q172" s="129">
        <f>CZ172</f>
        <v>150.17500000000001</v>
      </c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6"/>
      <c r="AD172" s="37"/>
      <c r="AE172" s="37"/>
      <c r="AF172" s="37"/>
      <c r="AG172" s="37"/>
      <c r="AH172" s="34"/>
      <c r="AI172" s="34"/>
      <c r="AJ172" s="37"/>
      <c r="AK172" s="46"/>
      <c r="AL172" s="47"/>
      <c r="AM172" s="47"/>
      <c r="AN172" s="45"/>
      <c r="AO172" s="45"/>
      <c r="AP172" s="45"/>
      <c r="AQ172" s="45"/>
      <c r="AR172" s="45"/>
      <c r="AS172" s="46"/>
      <c r="AT172" s="37"/>
      <c r="AU172" s="48"/>
      <c r="AV172" s="49"/>
      <c r="AW172" s="48"/>
      <c r="AY172" s="45"/>
      <c r="AZ172" s="46"/>
      <c r="BA172" s="37"/>
      <c r="BB172" s="39"/>
      <c r="BE172" s="45"/>
      <c r="BF172" s="46"/>
      <c r="BG172" s="37"/>
      <c r="BH172" s="37"/>
      <c r="BI172" s="39"/>
      <c r="BJ172" s="39"/>
      <c r="BM172" s="45">
        <v>130</v>
      </c>
      <c r="BN172" s="46">
        <v>1</v>
      </c>
      <c r="BO172" s="37">
        <f t="shared" si="148"/>
        <v>130</v>
      </c>
      <c r="BP172" s="37"/>
      <c r="BQ172" s="92">
        <f t="shared" si="156"/>
        <v>130</v>
      </c>
      <c r="BR172" s="34" t="s">
        <v>106</v>
      </c>
      <c r="BU172" s="45">
        <v>130</v>
      </c>
      <c r="BV172" s="46">
        <v>1</v>
      </c>
      <c r="BW172" s="118">
        <f t="shared" si="141"/>
        <v>130</v>
      </c>
      <c r="BX172" s="118">
        <f t="shared" si="147"/>
        <v>0</v>
      </c>
      <c r="CA172" s="45">
        <v>147</v>
      </c>
      <c r="CB172" s="46">
        <v>1</v>
      </c>
      <c r="CC172" s="118">
        <f t="shared" si="150"/>
        <v>147</v>
      </c>
      <c r="CD172" s="118">
        <v>147</v>
      </c>
      <c r="CE172" s="92">
        <f t="shared" si="151"/>
        <v>17</v>
      </c>
      <c r="CF172" s="92">
        <f t="shared" si="152"/>
        <v>17</v>
      </c>
      <c r="CI172" s="45">
        <v>147</v>
      </c>
      <c r="CJ172" s="46">
        <v>1</v>
      </c>
      <c r="CK172" s="118">
        <f t="shared" si="149"/>
        <v>147</v>
      </c>
      <c r="CL172" s="92">
        <f t="shared" si="139"/>
        <v>0</v>
      </c>
      <c r="CN172" s="17"/>
      <c r="CO172" s="45">
        <v>150.17500000000001</v>
      </c>
      <c r="CP172" s="46">
        <v>1</v>
      </c>
      <c r="CQ172" s="118">
        <f t="shared" si="142"/>
        <v>150.17500000000001</v>
      </c>
      <c r="CR172" s="92">
        <f t="shared" si="140"/>
        <v>3.1750000000000114</v>
      </c>
      <c r="CS172" s="91"/>
      <c r="CT172" s="17"/>
      <c r="CU172" s="45">
        <v>150.17500000000001</v>
      </c>
      <c r="CV172" s="46">
        <v>1</v>
      </c>
      <c r="CW172" s="118">
        <f t="shared" si="143"/>
        <v>150.17500000000001</v>
      </c>
      <c r="CX172" s="45">
        <v>150.17500000000001</v>
      </c>
      <c r="CY172" s="46">
        <v>1</v>
      </c>
      <c r="CZ172" s="118">
        <f t="shared" si="144"/>
        <v>150.17500000000001</v>
      </c>
      <c r="DA172" s="168">
        <f t="shared" si="153"/>
        <v>0</v>
      </c>
      <c r="DB172" s="168">
        <f t="shared" si="154"/>
        <v>0</v>
      </c>
      <c r="DC172" s="168">
        <f t="shared" si="155"/>
        <v>3.1750000000000114</v>
      </c>
      <c r="DD172" s="91"/>
      <c r="DE172" s="91"/>
      <c r="DF172" s="45">
        <v>149</v>
      </c>
      <c r="DG172" s="46">
        <v>1</v>
      </c>
      <c r="DH172" s="118">
        <f t="shared" si="145"/>
        <v>149</v>
      </c>
      <c r="DI172" s="168">
        <f t="shared" si="120"/>
        <v>-1.1750000000000114</v>
      </c>
      <c r="DJ172" s="168">
        <f t="shared" si="121"/>
        <v>-1.1750000000000114</v>
      </c>
      <c r="DK172" s="168"/>
      <c r="DL172" s="168"/>
      <c r="DM172" s="168"/>
      <c r="DN172" s="92">
        <f t="shared" si="146"/>
        <v>148.833</v>
      </c>
      <c r="DO172" s="152">
        <v>16.690000000000001</v>
      </c>
      <c r="DP172" s="152">
        <v>0</v>
      </c>
      <c r="DQ172" s="152">
        <v>111.81699999999999</v>
      </c>
      <c r="DR172" s="152">
        <v>12.933999999999999</v>
      </c>
      <c r="DS172" s="152">
        <v>0</v>
      </c>
      <c r="DT172" s="152">
        <v>7.3920000000000003</v>
      </c>
      <c r="DU172" s="152">
        <v>0</v>
      </c>
      <c r="DV172" s="152">
        <v>0</v>
      </c>
      <c r="DW172" s="152">
        <v>0</v>
      </c>
      <c r="DX172" s="152">
        <v>0</v>
      </c>
      <c r="DY172" s="152">
        <v>0</v>
      </c>
      <c r="DZ172" s="152">
        <v>0</v>
      </c>
    </row>
    <row r="173" spans="1:130" s="50" customFormat="1" ht="16.25" hidden="1" customHeight="1" x14ac:dyDescent="0.35">
      <c r="A173" s="36" t="s">
        <v>657</v>
      </c>
      <c r="B173" s="36" t="s">
        <v>660</v>
      </c>
      <c r="C173" s="36" t="s">
        <v>27</v>
      </c>
      <c r="D173" s="16" t="s">
        <v>710</v>
      </c>
      <c r="E173" s="33" t="s">
        <v>711</v>
      </c>
      <c r="F173" s="38" t="s">
        <v>114</v>
      </c>
      <c r="G173" s="32" t="s">
        <v>101</v>
      </c>
      <c r="H173" s="32"/>
      <c r="I173" s="53"/>
      <c r="J173" s="38"/>
      <c r="K173" s="36"/>
      <c r="L173" s="36"/>
      <c r="M173" s="68" t="s">
        <v>248</v>
      </c>
      <c r="N173" s="36"/>
      <c r="O173" s="33" t="s">
        <v>712</v>
      </c>
      <c r="P173" s="36" t="s">
        <v>193</v>
      </c>
      <c r="R173" s="39"/>
      <c r="S173" s="39"/>
      <c r="T173" s="39"/>
      <c r="U173" s="39"/>
      <c r="V173" s="39"/>
      <c r="W173" s="39">
        <v>4000</v>
      </c>
      <c r="X173" s="39"/>
      <c r="Y173" s="39"/>
      <c r="Z173" s="39">
        <f>CZ173-W173</f>
        <v>-4000</v>
      </c>
      <c r="AB173" s="39"/>
      <c r="AC173" s="36"/>
      <c r="AD173" s="39"/>
      <c r="AE173" s="39"/>
      <c r="AF173" s="37"/>
      <c r="AG173" s="37"/>
      <c r="AH173" s="34"/>
      <c r="AI173" s="45"/>
      <c r="AJ173" s="37">
        <v>446</v>
      </c>
      <c r="AK173" s="46">
        <v>1</v>
      </c>
      <c r="AL173" s="47">
        <f>AJ173*AK173</f>
        <v>446</v>
      </c>
      <c r="AM173" s="47"/>
      <c r="AN173" s="45"/>
      <c r="AO173" s="45"/>
      <c r="AP173" s="45"/>
      <c r="AQ173" s="45"/>
      <c r="AR173" s="39">
        <f>AD173</f>
        <v>0</v>
      </c>
      <c r="AS173" s="40">
        <v>0.9</v>
      </c>
      <c r="AT173" s="39">
        <f t="shared" ref="AT173:AT180" si="157">AR173*AS173</f>
        <v>0</v>
      </c>
      <c r="AU173" s="48"/>
      <c r="AV173" s="49">
        <f t="shared" ref="AV173:AV180" si="158">AU173*AS173</f>
        <v>0</v>
      </c>
      <c r="AW173" s="48" t="s">
        <v>678</v>
      </c>
      <c r="AY173" s="39">
        <v>19500</v>
      </c>
      <c r="AZ173" s="40">
        <v>0.9</v>
      </c>
      <c r="BA173" s="39">
        <f t="shared" ref="BA173:BA180" si="159">AY173*AZ173</f>
        <v>17550</v>
      </c>
      <c r="BB173" s="39">
        <f t="shared" ref="BB173:BB180" si="160">BA173-AT173</f>
        <v>17550</v>
      </c>
      <c r="BC173" s="80" t="s">
        <v>713</v>
      </c>
      <c r="BE173" s="39">
        <v>19500</v>
      </c>
      <c r="BF173" s="40">
        <v>0.9</v>
      </c>
      <c r="BG173" s="39">
        <f t="shared" ref="BG173:BG180" si="161">BE173*BF173</f>
        <v>17550</v>
      </c>
      <c r="BH173" s="39"/>
      <c r="BI173" s="39">
        <f t="shared" ref="BI173:BI180" si="162">BG173-BA173</f>
        <v>0</v>
      </c>
      <c r="BJ173" s="39"/>
      <c r="BK173" s="80"/>
      <c r="BM173" s="39">
        <v>19500</v>
      </c>
      <c r="BN173" s="40">
        <v>0.9</v>
      </c>
      <c r="BO173" s="39">
        <f t="shared" si="148"/>
        <v>17550</v>
      </c>
      <c r="BP173" s="75">
        <v>17550</v>
      </c>
      <c r="BQ173" s="92">
        <f t="shared" si="156"/>
        <v>0</v>
      </c>
      <c r="BR173" s="59"/>
      <c r="BU173" s="39">
        <v>14700</v>
      </c>
      <c r="BV173" s="40">
        <v>0.9</v>
      </c>
      <c r="BW173" s="118">
        <f t="shared" si="141"/>
        <v>13230</v>
      </c>
      <c r="BX173" s="118">
        <f t="shared" si="147"/>
        <v>-4320</v>
      </c>
      <c r="BY173" s="38" t="s">
        <v>714</v>
      </c>
      <c r="CA173" s="39">
        <v>14650</v>
      </c>
      <c r="CB173" s="40">
        <v>0.9</v>
      </c>
      <c r="CC173" s="118">
        <f t="shared" si="150"/>
        <v>13185</v>
      </c>
      <c r="CD173" s="118">
        <v>13185</v>
      </c>
      <c r="CE173" s="92">
        <f t="shared" si="151"/>
        <v>-45</v>
      </c>
      <c r="CF173" s="92">
        <f t="shared" si="152"/>
        <v>-4365</v>
      </c>
      <c r="CG173" s="50" t="s">
        <v>715</v>
      </c>
      <c r="CI173" s="39">
        <v>14650</v>
      </c>
      <c r="CJ173" s="40">
        <v>0.9</v>
      </c>
      <c r="CK173" s="118">
        <f t="shared" si="149"/>
        <v>13185</v>
      </c>
      <c r="CL173" s="92">
        <f t="shared" si="139"/>
        <v>0</v>
      </c>
      <c r="CN173" s="17"/>
      <c r="CO173" s="39">
        <v>12400</v>
      </c>
      <c r="CP173" s="40">
        <v>0.9</v>
      </c>
      <c r="CQ173" s="118">
        <f t="shared" si="142"/>
        <v>11160</v>
      </c>
      <c r="CR173" s="92">
        <f t="shared" si="140"/>
        <v>-2025</v>
      </c>
      <c r="CS173" s="91" t="s">
        <v>716</v>
      </c>
      <c r="CT173" s="17"/>
      <c r="CU173" s="39">
        <v>12400</v>
      </c>
      <c r="CV173" s="40">
        <v>0.9</v>
      </c>
      <c r="CW173" s="118">
        <f t="shared" si="143"/>
        <v>11160</v>
      </c>
      <c r="CX173" s="39">
        <v>0</v>
      </c>
      <c r="CY173" s="40">
        <v>0</v>
      </c>
      <c r="CZ173" s="118">
        <f t="shared" si="144"/>
        <v>0</v>
      </c>
      <c r="DA173" s="168">
        <f t="shared" si="153"/>
        <v>-11160</v>
      </c>
      <c r="DB173" s="168">
        <f t="shared" si="154"/>
        <v>-11160</v>
      </c>
      <c r="DC173" s="168">
        <f t="shared" si="155"/>
        <v>-13185</v>
      </c>
      <c r="DD173" s="91" t="s">
        <v>717</v>
      </c>
      <c r="DE173" s="91"/>
      <c r="DF173" s="39">
        <v>0</v>
      </c>
      <c r="DG173" s="40">
        <v>0</v>
      </c>
      <c r="DH173" s="118">
        <f t="shared" si="145"/>
        <v>0</v>
      </c>
      <c r="DI173" s="168">
        <f t="shared" si="120"/>
        <v>0</v>
      </c>
      <c r="DJ173" s="168">
        <f t="shared" si="121"/>
        <v>-11160</v>
      </c>
      <c r="DK173" s="168"/>
      <c r="DL173" s="168"/>
      <c r="DM173" s="168"/>
    </row>
    <row r="174" spans="1:130" s="50" customFormat="1" ht="16.25" hidden="1" customHeight="1" x14ac:dyDescent="0.35">
      <c r="A174" s="36" t="s">
        <v>657</v>
      </c>
      <c r="B174" s="36" t="s">
        <v>660</v>
      </c>
      <c r="C174" s="36" t="s">
        <v>28</v>
      </c>
      <c r="D174" s="16" t="s">
        <v>718</v>
      </c>
      <c r="E174" s="38" t="s">
        <v>719</v>
      </c>
      <c r="F174" s="38" t="s">
        <v>110</v>
      </c>
      <c r="G174" s="32" t="s">
        <v>101</v>
      </c>
      <c r="H174" s="32"/>
      <c r="I174" s="36"/>
      <c r="J174" s="34"/>
      <c r="K174" s="36" t="s">
        <v>176</v>
      </c>
      <c r="L174" s="36" t="s">
        <v>184</v>
      </c>
      <c r="M174" s="36" t="s">
        <v>720</v>
      </c>
      <c r="N174" s="36" t="s">
        <v>283</v>
      </c>
      <c r="O174" s="33" t="s">
        <v>721</v>
      </c>
      <c r="P174" s="36" t="s">
        <v>111</v>
      </c>
      <c r="Q174" s="39">
        <v>2600</v>
      </c>
      <c r="R174" s="39"/>
      <c r="S174" s="39"/>
      <c r="T174" s="39"/>
      <c r="U174" s="39">
        <f>CZ174-Q174</f>
        <v>2525.5</v>
      </c>
      <c r="W174" s="39"/>
      <c r="X174" s="39"/>
      <c r="Y174" s="39"/>
      <c r="Z174" s="39"/>
      <c r="AA174" s="39"/>
      <c r="AB174" s="39"/>
      <c r="AC174" s="36"/>
      <c r="AD174" s="37">
        <v>7000</v>
      </c>
      <c r="AE174" s="37"/>
      <c r="AF174" s="37"/>
      <c r="AG174" s="37"/>
      <c r="AH174" s="34"/>
      <c r="AI174" s="45"/>
      <c r="AJ174" s="37">
        <v>979</v>
      </c>
      <c r="AK174" s="46">
        <v>1</v>
      </c>
      <c r="AL174" s="47">
        <f>AJ174*AK174</f>
        <v>979</v>
      </c>
      <c r="AM174" s="47"/>
      <c r="AN174" s="45"/>
      <c r="AO174" s="45"/>
      <c r="AP174" s="45"/>
      <c r="AQ174" s="45"/>
      <c r="AR174" s="45">
        <v>13200</v>
      </c>
      <c r="AS174" s="46">
        <v>0.5</v>
      </c>
      <c r="AT174" s="45">
        <f t="shared" si="157"/>
        <v>6600</v>
      </c>
      <c r="AU174" s="48"/>
      <c r="AV174" s="49">
        <f t="shared" si="158"/>
        <v>0</v>
      </c>
      <c r="AW174" s="69" t="s">
        <v>722</v>
      </c>
      <c r="AY174" s="45">
        <f>7000-980</f>
        <v>6020</v>
      </c>
      <c r="AZ174" s="46">
        <v>0.9</v>
      </c>
      <c r="BA174" s="45">
        <f t="shared" si="159"/>
        <v>5418</v>
      </c>
      <c r="BB174" s="39">
        <f t="shared" si="160"/>
        <v>-1182</v>
      </c>
      <c r="BC174" s="59" t="s">
        <v>723</v>
      </c>
      <c r="BE174" s="45">
        <f>7000-979</f>
        <v>6021</v>
      </c>
      <c r="BF174" s="46">
        <v>0.9</v>
      </c>
      <c r="BG174" s="45">
        <f t="shared" si="161"/>
        <v>5418.9000000000005</v>
      </c>
      <c r="BH174" s="45"/>
      <c r="BI174" s="39">
        <f t="shared" si="162"/>
        <v>0.9000000000005457</v>
      </c>
      <c r="BJ174" s="39"/>
      <c r="BK174" s="59"/>
      <c r="BM174" s="45">
        <v>6021</v>
      </c>
      <c r="BN174" s="46">
        <v>0.9</v>
      </c>
      <c r="BO174" s="45">
        <f t="shared" si="148"/>
        <v>5418.9000000000005</v>
      </c>
      <c r="BP174" s="45"/>
      <c r="BQ174" s="92">
        <f t="shared" si="156"/>
        <v>0.9000000000005457</v>
      </c>
      <c r="BR174" s="34" t="s">
        <v>193</v>
      </c>
      <c r="BU174" s="45">
        <v>6021</v>
      </c>
      <c r="BV174" s="46">
        <v>0.9</v>
      </c>
      <c r="BW174" s="118">
        <f t="shared" si="141"/>
        <v>5418.9000000000005</v>
      </c>
      <c r="BX174" s="118">
        <f t="shared" si="147"/>
        <v>0</v>
      </c>
      <c r="CA174" s="45">
        <v>6000</v>
      </c>
      <c r="CB174" s="46">
        <v>0.9</v>
      </c>
      <c r="CC174" s="118">
        <f t="shared" si="150"/>
        <v>5400</v>
      </c>
      <c r="CD174" s="118">
        <v>5400</v>
      </c>
      <c r="CE174" s="92">
        <f t="shared" si="151"/>
        <v>-18.900000000000546</v>
      </c>
      <c r="CF174" s="92">
        <f t="shared" si="152"/>
        <v>-18.900000000000546</v>
      </c>
      <c r="CI174" s="45">
        <v>6000</v>
      </c>
      <c r="CJ174" s="46">
        <v>0.9</v>
      </c>
      <c r="CK174" s="118">
        <f t="shared" si="149"/>
        <v>5400</v>
      </c>
      <c r="CL174" s="92">
        <f t="shared" si="139"/>
        <v>0</v>
      </c>
      <c r="CN174" s="17"/>
      <c r="CO174" s="45">
        <v>6000</v>
      </c>
      <c r="CP174" s="46">
        <v>0.9</v>
      </c>
      <c r="CQ174" s="45">
        <v>5489.6167999999998</v>
      </c>
      <c r="CR174" s="92">
        <f t="shared" si="140"/>
        <v>89.616799999999785</v>
      </c>
      <c r="CS174" s="91" t="s">
        <v>724</v>
      </c>
      <c r="CT174" s="17"/>
      <c r="CU174" s="45">
        <v>6000</v>
      </c>
      <c r="CV174" s="46">
        <v>0.9</v>
      </c>
      <c r="CW174" s="45">
        <v>5489.6167999999998</v>
      </c>
      <c r="CX174" s="45">
        <v>5695</v>
      </c>
      <c r="CY174" s="46">
        <v>0.9</v>
      </c>
      <c r="CZ174" s="45">
        <f t="shared" si="144"/>
        <v>5125.5</v>
      </c>
      <c r="DA174" s="168">
        <f t="shared" si="153"/>
        <v>-364.11679999999978</v>
      </c>
      <c r="DB174" s="168">
        <f t="shared" si="154"/>
        <v>-364.11679999999978</v>
      </c>
      <c r="DC174" s="168">
        <f t="shared" si="155"/>
        <v>-274.5</v>
      </c>
      <c r="DD174" s="91" t="s">
        <v>725</v>
      </c>
      <c r="DE174" s="91"/>
      <c r="DF174" s="45">
        <v>5386</v>
      </c>
      <c r="DG174" s="46">
        <v>1</v>
      </c>
      <c r="DH174" s="45">
        <f t="shared" si="145"/>
        <v>5386</v>
      </c>
      <c r="DI174" s="168">
        <f t="shared" si="120"/>
        <v>260.5</v>
      </c>
      <c r="DJ174" s="168">
        <f t="shared" si="121"/>
        <v>-103.61679999999978</v>
      </c>
      <c r="DK174" s="168"/>
      <c r="DL174" s="168"/>
      <c r="DM174" s="168"/>
      <c r="DN174" s="92">
        <f t="shared" ref="DN174:DN196" si="163">SUM(DO174:DZ174)</f>
        <v>5157.6124999999993</v>
      </c>
      <c r="DO174" s="152">
        <v>151.011</v>
      </c>
      <c r="DP174" s="152">
        <v>188.286</v>
      </c>
      <c r="DQ174" s="152">
        <v>238.899</v>
      </c>
      <c r="DR174" s="152">
        <v>297.31200000000001</v>
      </c>
      <c r="DS174" s="152">
        <v>175.239</v>
      </c>
      <c r="DT174" s="152">
        <v>543.15409999999997</v>
      </c>
      <c r="DU174" s="152">
        <v>1113.6745000000001</v>
      </c>
      <c r="DV174" s="152">
        <v>86.796000000000006</v>
      </c>
      <c r="DW174" s="152">
        <v>621.79470000000003</v>
      </c>
      <c r="DX174" s="152">
        <v>1298.8278</v>
      </c>
      <c r="DY174" s="152">
        <v>329.39190000000002</v>
      </c>
      <c r="DZ174" s="152">
        <v>113.2265</v>
      </c>
    </row>
    <row r="175" spans="1:130" s="50" customFormat="1" ht="16.25" hidden="1" customHeight="1" x14ac:dyDescent="0.35">
      <c r="A175" s="36" t="s">
        <v>657</v>
      </c>
      <c r="B175" s="36" t="s">
        <v>660</v>
      </c>
      <c r="C175" s="36" t="s">
        <v>28</v>
      </c>
      <c r="D175" s="16" t="s">
        <v>726</v>
      </c>
      <c r="E175" s="33" t="s">
        <v>727</v>
      </c>
      <c r="F175" s="38" t="s">
        <v>110</v>
      </c>
      <c r="G175" s="32" t="s">
        <v>101</v>
      </c>
      <c r="H175" s="32"/>
      <c r="I175" s="36" t="s">
        <v>103</v>
      </c>
      <c r="J175" s="38"/>
      <c r="K175" s="36"/>
      <c r="L175" s="36"/>
      <c r="M175" s="36" t="s">
        <v>332</v>
      </c>
      <c r="N175" s="36"/>
      <c r="O175" s="33" t="s">
        <v>728</v>
      </c>
      <c r="P175" s="36" t="s">
        <v>111</v>
      </c>
      <c r="Q175" s="129">
        <f>CZ175</f>
        <v>251.18899999999999</v>
      </c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6"/>
      <c r="AD175" s="39">
        <v>700</v>
      </c>
      <c r="AE175" s="39">
        <v>630</v>
      </c>
      <c r="AF175" s="37"/>
      <c r="AG175" s="37"/>
      <c r="AH175" s="34"/>
      <c r="AI175" s="45"/>
      <c r="AJ175" s="37">
        <v>423</v>
      </c>
      <c r="AK175" s="46">
        <v>1</v>
      </c>
      <c r="AL175" s="47">
        <f>AJ175*AK175</f>
        <v>423</v>
      </c>
      <c r="AM175" s="47"/>
      <c r="AN175" s="45"/>
      <c r="AO175" s="45"/>
      <c r="AP175" s="45"/>
      <c r="AQ175" s="45"/>
      <c r="AR175" s="39">
        <v>140</v>
      </c>
      <c r="AS175" s="40">
        <v>0.9</v>
      </c>
      <c r="AT175" s="39">
        <f t="shared" si="157"/>
        <v>126</v>
      </c>
      <c r="AU175" s="48"/>
      <c r="AV175" s="49">
        <f t="shared" si="158"/>
        <v>0</v>
      </c>
      <c r="AW175" s="48" t="s">
        <v>729</v>
      </c>
      <c r="AY175" s="39">
        <f>140+134</f>
        <v>274</v>
      </c>
      <c r="AZ175" s="40">
        <v>0.9</v>
      </c>
      <c r="BA175" s="39">
        <f t="shared" si="159"/>
        <v>246.6</v>
      </c>
      <c r="BB175" s="39">
        <f t="shared" si="160"/>
        <v>120.6</v>
      </c>
      <c r="BE175" s="39">
        <f>700-423</f>
        <v>277</v>
      </c>
      <c r="BF175" s="40">
        <v>0.9</v>
      </c>
      <c r="BG175" s="39">
        <f t="shared" si="161"/>
        <v>249.3</v>
      </c>
      <c r="BH175" s="39"/>
      <c r="BI175" s="39">
        <f t="shared" si="162"/>
        <v>2.7000000000000171</v>
      </c>
      <c r="BJ175" s="39"/>
      <c r="BM175" s="39">
        <v>277</v>
      </c>
      <c r="BN175" s="40">
        <v>0.9</v>
      </c>
      <c r="BO175" s="39">
        <f t="shared" si="148"/>
        <v>249.3</v>
      </c>
      <c r="BP175" s="39"/>
      <c r="BQ175" s="92">
        <f t="shared" si="156"/>
        <v>2.7000000000000171</v>
      </c>
      <c r="BR175" s="34" t="s">
        <v>193</v>
      </c>
      <c r="BU175" s="39">
        <v>277</v>
      </c>
      <c r="BV175" s="40">
        <v>0.9</v>
      </c>
      <c r="BW175" s="118">
        <f t="shared" si="141"/>
        <v>249.3</v>
      </c>
      <c r="BX175" s="118">
        <f t="shared" si="147"/>
        <v>0</v>
      </c>
      <c r="CA175" s="39">
        <v>248.22300000000001</v>
      </c>
      <c r="CB175" s="40">
        <v>1</v>
      </c>
      <c r="CC175" s="118">
        <f t="shared" si="150"/>
        <v>248.22300000000001</v>
      </c>
      <c r="CD175" s="118">
        <v>248.22300000000001</v>
      </c>
      <c r="CE175" s="92">
        <f t="shared" si="151"/>
        <v>-1.0769999999999982</v>
      </c>
      <c r="CF175" s="92">
        <f t="shared" si="152"/>
        <v>-1.0769999999999982</v>
      </c>
      <c r="CI175" s="39">
        <v>248.22300000000001</v>
      </c>
      <c r="CJ175" s="40">
        <v>1</v>
      </c>
      <c r="CK175" s="118">
        <f t="shared" si="149"/>
        <v>248.22300000000001</v>
      </c>
      <c r="CL175" s="92">
        <f t="shared" si="139"/>
        <v>0</v>
      </c>
      <c r="CN175" s="17"/>
      <c r="CO175" s="39">
        <v>251.18899999999999</v>
      </c>
      <c r="CP175" s="40">
        <v>1</v>
      </c>
      <c r="CQ175" s="118">
        <f>CO175*CP175</f>
        <v>251.18899999999999</v>
      </c>
      <c r="CR175" s="92">
        <f t="shared" si="140"/>
        <v>2.9659999999999798</v>
      </c>
      <c r="CS175" s="91"/>
      <c r="CT175" s="17"/>
      <c r="CU175" s="39">
        <v>251.18899999999999</v>
      </c>
      <c r="CV175" s="40">
        <v>1</v>
      </c>
      <c r="CW175" s="118">
        <f>CU175*CV175</f>
        <v>251.18899999999999</v>
      </c>
      <c r="CX175" s="39">
        <v>251.18899999999999</v>
      </c>
      <c r="CY175" s="40">
        <v>1</v>
      </c>
      <c r="CZ175" s="118">
        <f t="shared" si="144"/>
        <v>251.18899999999999</v>
      </c>
      <c r="DA175" s="168">
        <f t="shared" si="153"/>
        <v>0</v>
      </c>
      <c r="DB175" s="168">
        <f t="shared" si="154"/>
        <v>0</v>
      </c>
      <c r="DC175" s="168">
        <f t="shared" si="155"/>
        <v>2.9659999999999798</v>
      </c>
      <c r="DD175" s="91"/>
      <c r="DE175" s="91"/>
      <c r="DF175" s="39">
        <v>186</v>
      </c>
      <c r="DG175" s="40">
        <v>1</v>
      </c>
      <c r="DH175" s="118">
        <f t="shared" si="145"/>
        <v>186</v>
      </c>
      <c r="DI175" s="168">
        <f t="shared" si="120"/>
        <v>-65.188999999999993</v>
      </c>
      <c r="DJ175" s="168">
        <f t="shared" si="121"/>
        <v>-65.188999999999993</v>
      </c>
      <c r="DK175" s="168" t="s">
        <v>123</v>
      </c>
      <c r="DL175" s="168"/>
      <c r="DM175" s="168"/>
      <c r="DN175" s="92">
        <f t="shared" si="163"/>
        <v>251.13499999999999</v>
      </c>
      <c r="DO175" s="152">
        <v>100.538</v>
      </c>
      <c r="DP175" s="152">
        <v>0.11600000000000001</v>
      </c>
      <c r="DQ175" s="152">
        <v>77.091999999999999</v>
      </c>
      <c r="DR175" s="152">
        <v>0.80800000000000005</v>
      </c>
      <c r="DS175" s="152">
        <v>0</v>
      </c>
      <c r="DT175" s="152">
        <v>0</v>
      </c>
      <c r="DU175" s="152">
        <v>40.256</v>
      </c>
      <c r="DV175" s="152">
        <v>0</v>
      </c>
      <c r="DW175" s="152">
        <v>32.325000000000003</v>
      </c>
      <c r="DX175" s="152">
        <v>0</v>
      </c>
      <c r="DY175" s="152">
        <v>0</v>
      </c>
      <c r="DZ175" s="152">
        <v>0</v>
      </c>
    </row>
    <row r="176" spans="1:130" s="50" customFormat="1" ht="16.25" hidden="1" customHeight="1" x14ac:dyDescent="0.35">
      <c r="A176" s="36" t="s">
        <v>657</v>
      </c>
      <c r="B176" s="36" t="s">
        <v>660</v>
      </c>
      <c r="C176" s="36" t="s">
        <v>27</v>
      </c>
      <c r="D176" s="15" t="s">
        <v>730</v>
      </c>
      <c r="E176" s="33" t="s">
        <v>731</v>
      </c>
      <c r="F176" s="38" t="s">
        <v>110</v>
      </c>
      <c r="G176" s="36" t="s">
        <v>101</v>
      </c>
      <c r="H176" s="36"/>
      <c r="I176" s="53"/>
      <c r="J176" s="33" t="s">
        <v>732</v>
      </c>
      <c r="K176" s="36" t="s">
        <v>733</v>
      </c>
      <c r="L176" s="36" t="s">
        <v>332</v>
      </c>
      <c r="M176" s="36" t="s">
        <v>149</v>
      </c>
      <c r="N176" s="36" t="s">
        <v>734</v>
      </c>
      <c r="O176" s="33" t="s">
        <v>735</v>
      </c>
      <c r="P176" s="36" t="s">
        <v>111</v>
      </c>
      <c r="Q176" s="39">
        <f>800-210</f>
        <v>590</v>
      </c>
      <c r="R176" s="39">
        <f>CZ176-Q176</f>
        <v>1725.4780000000001</v>
      </c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6"/>
      <c r="AD176" s="39">
        <v>2700</v>
      </c>
      <c r="AE176" s="39"/>
      <c r="AF176" s="37"/>
      <c r="AG176" s="37"/>
      <c r="AH176" s="34"/>
      <c r="AI176" s="45"/>
      <c r="AJ176" s="37">
        <v>364</v>
      </c>
      <c r="AK176" s="46">
        <v>1</v>
      </c>
      <c r="AL176" s="47">
        <f>AJ176*AK176</f>
        <v>364</v>
      </c>
      <c r="AM176" s="47"/>
      <c r="AN176" s="45"/>
      <c r="AO176" s="45"/>
      <c r="AP176" s="45"/>
      <c r="AQ176" s="45"/>
      <c r="AR176" s="39">
        <f>5900*85%-AL176</f>
        <v>4651</v>
      </c>
      <c r="AS176" s="40">
        <v>0.9</v>
      </c>
      <c r="AT176" s="39">
        <f t="shared" si="157"/>
        <v>4185.9000000000005</v>
      </c>
      <c r="AU176" s="48"/>
      <c r="AV176" s="49">
        <f t="shared" si="158"/>
        <v>0</v>
      </c>
      <c r="AW176" s="48" t="s">
        <v>736</v>
      </c>
      <c r="AY176" s="39">
        <v>4835</v>
      </c>
      <c r="AZ176" s="40">
        <v>0.9</v>
      </c>
      <c r="BA176" s="39">
        <f t="shared" si="159"/>
        <v>4351.5</v>
      </c>
      <c r="BB176" s="39">
        <f t="shared" si="160"/>
        <v>165.59999999999945</v>
      </c>
      <c r="BE176" s="39">
        <f>3600-364</f>
        <v>3236</v>
      </c>
      <c r="BF176" s="40">
        <v>0.9</v>
      </c>
      <c r="BG176" s="39">
        <f t="shared" si="161"/>
        <v>2912.4</v>
      </c>
      <c r="BH176" s="39"/>
      <c r="BI176" s="39">
        <f t="shared" si="162"/>
        <v>-1439.1</v>
      </c>
      <c r="BJ176" s="39" t="s">
        <v>737</v>
      </c>
      <c r="BM176" s="39">
        <v>3236</v>
      </c>
      <c r="BN176" s="40">
        <v>0.9</v>
      </c>
      <c r="BO176" s="39">
        <f t="shared" si="148"/>
        <v>2912.4</v>
      </c>
      <c r="BP176" s="39"/>
      <c r="BQ176" s="92">
        <f t="shared" si="156"/>
        <v>-1439.1</v>
      </c>
      <c r="BR176" s="34" t="s">
        <v>504</v>
      </c>
      <c r="BS176" s="59" t="s">
        <v>738</v>
      </c>
      <c r="BU176" s="39">
        <f>3000-180</f>
        <v>2820</v>
      </c>
      <c r="BV176" s="40">
        <v>0.9</v>
      </c>
      <c r="BW176" s="133">
        <f t="shared" si="141"/>
        <v>2538</v>
      </c>
      <c r="BX176" s="118">
        <f t="shared" si="147"/>
        <v>-374.40000000000009</v>
      </c>
      <c r="BY176" s="34"/>
      <c r="CA176" s="39">
        <f>2700-180</f>
        <v>2520</v>
      </c>
      <c r="CB176" s="40">
        <v>0.9</v>
      </c>
      <c r="CC176" s="118">
        <f t="shared" si="150"/>
        <v>2268</v>
      </c>
      <c r="CD176" s="118">
        <v>2268</v>
      </c>
      <c r="CE176" s="92">
        <f t="shared" si="151"/>
        <v>-270</v>
      </c>
      <c r="CF176" s="92">
        <f t="shared" si="152"/>
        <v>-644.40000000000009</v>
      </c>
      <c r="CI176" s="39">
        <f>2700-180</f>
        <v>2520</v>
      </c>
      <c r="CJ176" s="40">
        <v>0.9</v>
      </c>
      <c r="CK176" s="118">
        <f t="shared" si="149"/>
        <v>2268</v>
      </c>
      <c r="CL176" s="92">
        <f t="shared" si="139"/>
        <v>0</v>
      </c>
      <c r="CN176" s="17"/>
      <c r="CO176" s="39">
        <f>2700-180</f>
        <v>2520</v>
      </c>
      <c r="CP176" s="40">
        <v>0.9</v>
      </c>
      <c r="CQ176" s="118">
        <v>2315.4780000000001</v>
      </c>
      <c r="CR176" s="92">
        <f t="shared" si="140"/>
        <v>47.478000000000065</v>
      </c>
      <c r="CS176" s="91"/>
      <c r="CT176" s="17"/>
      <c r="CU176" s="39">
        <f>2700-180</f>
        <v>2520</v>
      </c>
      <c r="CV176" s="40">
        <v>0.9</v>
      </c>
      <c r="CW176" s="118">
        <v>2315.4780000000001</v>
      </c>
      <c r="CX176" s="39">
        <f>2700-180</f>
        <v>2520</v>
      </c>
      <c r="CY176" s="40">
        <v>0.9</v>
      </c>
      <c r="CZ176" s="118">
        <v>2315.4780000000001</v>
      </c>
      <c r="DA176" s="168">
        <f t="shared" si="153"/>
        <v>0</v>
      </c>
      <c r="DB176" s="168">
        <f t="shared" si="154"/>
        <v>0</v>
      </c>
      <c r="DC176" s="168">
        <f t="shared" si="155"/>
        <v>47.478000000000065</v>
      </c>
      <c r="DD176" s="91"/>
      <c r="DE176" s="91"/>
      <c r="DF176" s="39">
        <f>2700-180+170</f>
        <v>2690</v>
      </c>
      <c r="DG176" s="40">
        <v>0.9</v>
      </c>
      <c r="DH176" s="118">
        <f>2329+150</f>
        <v>2479</v>
      </c>
      <c r="DI176" s="168">
        <f t="shared" si="120"/>
        <v>163.52199999999993</v>
      </c>
      <c r="DJ176" s="168">
        <f t="shared" si="121"/>
        <v>163.52199999999993</v>
      </c>
      <c r="DK176" s="168"/>
      <c r="DL176" s="168"/>
      <c r="DM176" s="168"/>
      <c r="DN176" s="92">
        <f t="shared" si="163"/>
        <v>2327.7359999999999</v>
      </c>
      <c r="DO176" s="152">
        <v>10.226000000000001</v>
      </c>
      <c r="DP176" s="152">
        <v>14.901</v>
      </c>
      <c r="DQ176" s="152">
        <v>598.65200000000004</v>
      </c>
      <c r="DR176" s="152">
        <v>42.225000000000001</v>
      </c>
      <c r="DS176" s="152">
        <v>12.558</v>
      </c>
      <c r="DT176" s="152">
        <v>347.58699999999999</v>
      </c>
      <c r="DU176" s="152">
        <v>464.40699999999998</v>
      </c>
      <c r="DV176" s="152">
        <v>16.806999999999999</v>
      </c>
      <c r="DW176" s="152">
        <v>364.65300000000002</v>
      </c>
      <c r="DX176" s="152">
        <v>0</v>
      </c>
      <c r="DY176" s="152">
        <v>63.442</v>
      </c>
      <c r="DZ176" s="152">
        <v>392.27800000000002</v>
      </c>
    </row>
    <row r="177" spans="1:132" s="50" customFormat="1" ht="16.25" hidden="1" customHeight="1" x14ac:dyDescent="0.35">
      <c r="A177" s="36" t="s">
        <v>657</v>
      </c>
      <c r="B177" s="36" t="s">
        <v>660</v>
      </c>
      <c r="C177" s="36" t="s">
        <v>172</v>
      </c>
      <c r="D177" s="16" t="s">
        <v>739</v>
      </c>
      <c r="E177" s="38" t="s">
        <v>740</v>
      </c>
      <c r="F177" s="38" t="s">
        <v>175</v>
      </c>
      <c r="G177" s="32" t="s">
        <v>101</v>
      </c>
      <c r="H177" s="32"/>
      <c r="I177" s="32"/>
      <c r="J177" s="43"/>
      <c r="K177" s="36"/>
      <c r="L177" s="36"/>
      <c r="M177" s="36"/>
      <c r="N177" s="36"/>
      <c r="O177" s="33"/>
      <c r="P177" s="36" t="s">
        <v>111</v>
      </c>
      <c r="Q177" s="129">
        <f>CZ177</f>
        <v>244.60809765299999</v>
      </c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6"/>
      <c r="AD177" s="39"/>
      <c r="AE177" s="37"/>
      <c r="AF177" s="37"/>
      <c r="AG177" s="37"/>
      <c r="AH177" s="34"/>
      <c r="AI177" s="45"/>
      <c r="AJ177" s="37"/>
      <c r="AK177" s="46"/>
      <c r="AL177" s="47"/>
      <c r="AM177" s="47"/>
      <c r="AN177" s="45"/>
      <c r="AO177" s="45"/>
      <c r="AP177" s="45"/>
      <c r="AQ177" s="45"/>
      <c r="AR177" s="37">
        <v>1000</v>
      </c>
      <c r="AS177" s="46">
        <v>0.9</v>
      </c>
      <c r="AT177" s="37">
        <f t="shared" si="157"/>
        <v>900</v>
      </c>
      <c r="AU177" s="48"/>
      <c r="AV177" s="49">
        <f t="shared" si="158"/>
        <v>0</v>
      </c>
      <c r="AW177" s="48"/>
      <c r="AY177" s="37">
        <v>1000</v>
      </c>
      <c r="AZ177" s="46">
        <v>0.9</v>
      </c>
      <c r="BA177" s="37">
        <f t="shared" si="159"/>
        <v>900</v>
      </c>
      <c r="BB177" s="39">
        <f t="shared" si="160"/>
        <v>0</v>
      </c>
      <c r="BE177" s="37">
        <v>272.8</v>
      </c>
      <c r="BF177" s="46">
        <v>0.9</v>
      </c>
      <c r="BG177" s="37">
        <f t="shared" si="161"/>
        <v>245.52</v>
      </c>
      <c r="BH177" s="37"/>
      <c r="BI177" s="39">
        <f t="shared" si="162"/>
        <v>-654.48</v>
      </c>
      <c r="BJ177" s="39"/>
      <c r="BM177" s="37">
        <v>273</v>
      </c>
      <c r="BN177" s="46">
        <v>0.9</v>
      </c>
      <c r="BO177" s="37">
        <f t="shared" si="148"/>
        <v>245.70000000000002</v>
      </c>
      <c r="BP177" s="37"/>
      <c r="BQ177" s="92">
        <f t="shared" si="156"/>
        <v>-654.29999999999995</v>
      </c>
      <c r="BR177" s="34" t="s">
        <v>193</v>
      </c>
      <c r="BU177" s="37">
        <v>273</v>
      </c>
      <c r="BV177" s="46">
        <v>0.9</v>
      </c>
      <c r="BW177" s="118">
        <f t="shared" si="141"/>
        <v>245.70000000000002</v>
      </c>
      <c r="BX177" s="118">
        <f t="shared" si="147"/>
        <v>0</v>
      </c>
      <c r="CA177" s="37">
        <v>185.345</v>
      </c>
      <c r="CB177" s="40">
        <v>1</v>
      </c>
      <c r="CC177" s="118">
        <f t="shared" si="150"/>
        <v>185.345</v>
      </c>
      <c r="CD177" s="118">
        <v>185.345</v>
      </c>
      <c r="CE177" s="92">
        <f t="shared" si="151"/>
        <v>-60.355000000000018</v>
      </c>
      <c r="CF177" s="92">
        <f t="shared" si="152"/>
        <v>-60.355000000000018</v>
      </c>
      <c r="CG177" s="80"/>
      <c r="CI177" s="37">
        <v>185.345</v>
      </c>
      <c r="CJ177" s="40">
        <v>1</v>
      </c>
      <c r="CK177" s="118">
        <f t="shared" si="149"/>
        <v>185.345</v>
      </c>
      <c r="CL177" s="92">
        <f t="shared" si="139"/>
        <v>0</v>
      </c>
      <c r="CM177" s="80"/>
      <c r="CN177" s="17"/>
      <c r="CO177" s="37">
        <v>190.52</v>
      </c>
      <c r="CP177" s="40">
        <v>1</v>
      </c>
      <c r="CQ177" s="118">
        <f>CO177*CP177</f>
        <v>190.52</v>
      </c>
      <c r="CR177" s="92">
        <f t="shared" si="140"/>
        <v>5.1750000000000114</v>
      </c>
      <c r="CS177" s="91"/>
      <c r="CT177" s="17"/>
      <c r="CU177" s="37">
        <v>190.52</v>
      </c>
      <c r="CV177" s="40">
        <v>1</v>
      </c>
      <c r="CW177" s="118">
        <f>CU177*CV177</f>
        <v>190.52</v>
      </c>
      <c r="CX177" s="37">
        <v>244.60809765299999</v>
      </c>
      <c r="CY177" s="40">
        <v>1</v>
      </c>
      <c r="CZ177" s="118">
        <f>CX177*CY177</f>
        <v>244.60809765299999</v>
      </c>
      <c r="DA177" s="168">
        <f t="shared" si="153"/>
        <v>54.088097652999977</v>
      </c>
      <c r="DB177" s="168">
        <f t="shared" si="154"/>
        <v>54.088097652999977</v>
      </c>
      <c r="DC177" s="168">
        <f t="shared" si="155"/>
        <v>59.263097652999988</v>
      </c>
      <c r="DD177" s="91"/>
      <c r="DE177" s="91"/>
      <c r="DF177" s="37">
        <v>244.60809765299999</v>
      </c>
      <c r="DG177" s="40">
        <v>1</v>
      </c>
      <c r="DH177" s="118">
        <f>DF177*DG177</f>
        <v>244.60809765299999</v>
      </c>
      <c r="DI177" s="168">
        <f t="shared" si="120"/>
        <v>0</v>
      </c>
      <c r="DJ177" s="168">
        <f t="shared" si="121"/>
        <v>54.088097652999977</v>
      </c>
      <c r="DK177" s="168"/>
      <c r="DL177" s="168"/>
      <c r="DM177" s="168"/>
      <c r="DN177" s="92">
        <f t="shared" si="163"/>
        <v>244.64600000000002</v>
      </c>
      <c r="DO177" s="152">
        <v>0</v>
      </c>
      <c r="DP177" s="152">
        <v>112.971</v>
      </c>
      <c r="DQ177" s="152">
        <v>0</v>
      </c>
      <c r="DR177" s="152">
        <v>0</v>
      </c>
      <c r="DS177" s="152">
        <v>0</v>
      </c>
      <c r="DT177" s="152">
        <v>0</v>
      </c>
      <c r="DU177" s="152">
        <v>0</v>
      </c>
      <c r="DV177" s="152">
        <v>0</v>
      </c>
      <c r="DW177" s="152">
        <v>123.125</v>
      </c>
      <c r="DX177" s="152">
        <v>0</v>
      </c>
      <c r="DY177" s="152">
        <v>8.5500000000000007</v>
      </c>
      <c r="DZ177" s="152">
        <v>0</v>
      </c>
    </row>
    <row r="178" spans="1:132" s="50" customFormat="1" ht="16.25" hidden="1" customHeight="1" x14ac:dyDescent="0.35">
      <c r="A178" s="36" t="s">
        <v>657</v>
      </c>
      <c r="B178" s="36" t="s">
        <v>660</v>
      </c>
      <c r="C178" s="36" t="s">
        <v>27</v>
      </c>
      <c r="D178" s="15" t="s">
        <v>741</v>
      </c>
      <c r="E178" s="33" t="s">
        <v>742</v>
      </c>
      <c r="F178" s="38" t="s">
        <v>110</v>
      </c>
      <c r="G178" s="36" t="s">
        <v>101</v>
      </c>
      <c r="H178" s="36"/>
      <c r="I178" s="36" t="s">
        <v>743</v>
      </c>
      <c r="J178" s="33" t="s">
        <v>744</v>
      </c>
      <c r="K178" s="36" t="s">
        <v>131</v>
      </c>
      <c r="L178" s="36" t="s">
        <v>332</v>
      </c>
      <c r="M178" s="36" t="s">
        <v>149</v>
      </c>
      <c r="N178" s="36" t="s">
        <v>201</v>
      </c>
      <c r="O178" s="43" t="s">
        <v>745</v>
      </c>
      <c r="P178" s="36" t="s">
        <v>111</v>
      </c>
      <c r="Q178" s="39">
        <f>820-375</f>
        <v>445</v>
      </c>
      <c r="R178" s="39">
        <f>CZ178-Q178</f>
        <v>1340.2570000000001</v>
      </c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6"/>
      <c r="AD178" s="39">
        <v>2300</v>
      </c>
      <c r="AE178" s="39">
        <v>2000</v>
      </c>
      <c r="AF178" s="37"/>
      <c r="AG178" s="37"/>
      <c r="AH178" s="34"/>
      <c r="AI178" s="45"/>
      <c r="AJ178" s="37">
        <v>180</v>
      </c>
      <c r="AK178" s="46">
        <v>1</v>
      </c>
      <c r="AL178" s="47">
        <f>AJ178*AK178</f>
        <v>180</v>
      </c>
      <c r="AM178" s="47"/>
      <c r="AN178" s="45"/>
      <c r="AO178" s="45"/>
      <c r="AP178" s="45"/>
      <c r="AQ178" s="45"/>
      <c r="AR178" s="39">
        <f>AE178</f>
        <v>2000</v>
      </c>
      <c r="AS178" s="40">
        <v>0.9</v>
      </c>
      <c r="AT178" s="39">
        <f t="shared" si="157"/>
        <v>1800</v>
      </c>
      <c r="AU178" s="48"/>
      <c r="AV178" s="49">
        <f t="shared" si="158"/>
        <v>0</v>
      </c>
      <c r="AW178" s="48" t="s">
        <v>746</v>
      </c>
      <c r="AY178" s="39">
        <v>3780</v>
      </c>
      <c r="AZ178" s="40">
        <v>0.75</v>
      </c>
      <c r="BA178" s="39">
        <f t="shared" si="159"/>
        <v>2835</v>
      </c>
      <c r="BB178" s="39">
        <f t="shared" si="160"/>
        <v>1035</v>
      </c>
      <c r="BE178" s="39">
        <f>3700-180</f>
        <v>3520</v>
      </c>
      <c r="BF178" s="40">
        <v>0.9</v>
      </c>
      <c r="BG178" s="39">
        <f t="shared" si="161"/>
        <v>3168</v>
      </c>
      <c r="BH178" s="39"/>
      <c r="BI178" s="39">
        <f t="shared" si="162"/>
        <v>333</v>
      </c>
      <c r="BJ178" s="39" t="s">
        <v>747</v>
      </c>
      <c r="BM178" s="39">
        <f>3700-387</f>
        <v>3313</v>
      </c>
      <c r="BN178" s="40">
        <v>0.9</v>
      </c>
      <c r="BO178" s="39">
        <f t="shared" si="148"/>
        <v>2981.7000000000003</v>
      </c>
      <c r="BP178" s="39">
        <v>3168</v>
      </c>
      <c r="BQ178" s="92">
        <f t="shared" si="156"/>
        <v>146.70000000000027</v>
      </c>
      <c r="BR178" s="34" t="s">
        <v>178</v>
      </c>
      <c r="BS178" s="50" t="s">
        <v>748</v>
      </c>
      <c r="BU178" s="39">
        <f>2500-360</f>
        <v>2140</v>
      </c>
      <c r="BV178" s="117">
        <v>0.9</v>
      </c>
      <c r="BW178" s="39">
        <f t="shared" si="141"/>
        <v>1926</v>
      </c>
      <c r="BX178" s="118">
        <f t="shared" si="147"/>
        <v>-1055.7000000000003</v>
      </c>
      <c r="BY178" s="34"/>
      <c r="CA178" s="39">
        <f>2300-360</f>
        <v>1940</v>
      </c>
      <c r="CB178" s="117">
        <v>0.9</v>
      </c>
      <c r="CC178" s="39">
        <f t="shared" si="150"/>
        <v>1746</v>
      </c>
      <c r="CD178" s="100">
        <v>1746</v>
      </c>
      <c r="CE178" s="92">
        <f t="shared" si="151"/>
        <v>-180</v>
      </c>
      <c r="CF178" s="92">
        <f t="shared" si="152"/>
        <v>-1235.7000000000003</v>
      </c>
      <c r="CI178" s="39">
        <f>2300-360</f>
        <v>1940</v>
      </c>
      <c r="CJ178" s="117">
        <v>0.9</v>
      </c>
      <c r="CK178" s="39">
        <f t="shared" si="149"/>
        <v>1746</v>
      </c>
      <c r="CL178" s="92">
        <f t="shared" si="139"/>
        <v>0</v>
      </c>
      <c r="CN178" s="17"/>
      <c r="CO178" s="39">
        <f>2300-360</f>
        <v>1940</v>
      </c>
      <c r="CP178" s="117">
        <v>0.9</v>
      </c>
      <c r="CQ178" s="39">
        <v>1785.2570000000001</v>
      </c>
      <c r="CR178" s="92">
        <f t="shared" si="140"/>
        <v>39.257000000000062</v>
      </c>
      <c r="CS178" s="91"/>
      <c r="CT178" s="17"/>
      <c r="CU178" s="39">
        <f>2300-360</f>
        <v>1940</v>
      </c>
      <c r="CV178" s="117">
        <v>0.9</v>
      </c>
      <c r="CW178" s="39">
        <v>1785.2570000000001</v>
      </c>
      <c r="CX178" s="39">
        <f>2300-360</f>
        <v>1940</v>
      </c>
      <c r="CY178" s="117">
        <v>0.9</v>
      </c>
      <c r="CZ178" s="39">
        <v>1785.2570000000001</v>
      </c>
      <c r="DA178" s="168">
        <f t="shared" si="153"/>
        <v>0</v>
      </c>
      <c r="DB178" s="168">
        <f t="shared" si="154"/>
        <v>0</v>
      </c>
      <c r="DC178" s="168">
        <f t="shared" si="155"/>
        <v>39.257000000000062</v>
      </c>
      <c r="DD178" s="91"/>
      <c r="DE178" s="91"/>
      <c r="DF178" s="39">
        <f>2300-360</f>
        <v>1940</v>
      </c>
      <c r="DG178" s="117">
        <v>0.9</v>
      </c>
      <c r="DH178" s="39">
        <v>1785.2570000000001</v>
      </c>
      <c r="DI178" s="168">
        <f t="shared" si="120"/>
        <v>0</v>
      </c>
      <c r="DJ178" s="168">
        <f t="shared" si="121"/>
        <v>0</v>
      </c>
      <c r="DK178" s="168"/>
      <c r="DL178" s="168"/>
      <c r="DM178" s="168"/>
      <c r="DN178" s="92">
        <f t="shared" si="163"/>
        <v>1781.2099999999998</v>
      </c>
      <c r="DO178" s="152">
        <v>77.385999999999996</v>
      </c>
      <c r="DP178" s="152">
        <v>97.212000000000003</v>
      </c>
      <c r="DQ178" s="152">
        <v>190.505</v>
      </c>
      <c r="DR178" s="152">
        <v>4.915</v>
      </c>
      <c r="DS178" s="152">
        <v>124.008</v>
      </c>
      <c r="DT178" s="152">
        <v>230.792</v>
      </c>
      <c r="DU178" s="152">
        <v>190.09700000000001</v>
      </c>
      <c r="DV178" s="152">
        <v>48.292000000000002</v>
      </c>
      <c r="DW178" s="152">
        <v>192.989</v>
      </c>
      <c r="DX178" s="152">
        <v>48.292000000000002</v>
      </c>
      <c r="DY178" s="152">
        <v>236.72499999999999</v>
      </c>
      <c r="DZ178" s="152">
        <v>339.99700000000001</v>
      </c>
    </row>
    <row r="179" spans="1:132" s="50" customFormat="1" ht="16.25" hidden="1" customHeight="1" x14ac:dyDescent="0.35">
      <c r="A179" s="36" t="s">
        <v>657</v>
      </c>
      <c r="B179" s="36" t="s">
        <v>660</v>
      </c>
      <c r="C179" s="36" t="s">
        <v>20</v>
      </c>
      <c r="D179" s="16" t="s">
        <v>749</v>
      </c>
      <c r="E179" s="38" t="s">
        <v>750</v>
      </c>
      <c r="F179" s="38" t="s">
        <v>110</v>
      </c>
      <c r="G179" s="32" t="s">
        <v>101</v>
      </c>
      <c r="H179" s="32"/>
      <c r="I179" s="32" t="s">
        <v>103</v>
      </c>
      <c r="J179" s="43" t="s">
        <v>751</v>
      </c>
      <c r="K179" s="36" t="s">
        <v>752</v>
      </c>
      <c r="L179" s="36"/>
      <c r="M179" s="36" t="s">
        <v>753</v>
      </c>
      <c r="N179" s="36" t="s">
        <v>754</v>
      </c>
      <c r="O179" s="33" t="s">
        <v>755</v>
      </c>
      <c r="P179" s="36" t="s">
        <v>111</v>
      </c>
      <c r="Q179" s="39">
        <f>840-170</f>
        <v>670</v>
      </c>
      <c r="R179" s="39">
        <f>CZ179-Q179</f>
        <v>760</v>
      </c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6"/>
      <c r="AD179" s="39">
        <v>1650</v>
      </c>
      <c r="AE179" s="37"/>
      <c r="AF179" s="37"/>
      <c r="AG179" s="37"/>
      <c r="AH179" s="34"/>
      <c r="AI179" s="45"/>
      <c r="AJ179" s="37">
        <v>144</v>
      </c>
      <c r="AK179" s="46">
        <v>1</v>
      </c>
      <c r="AL179" s="47">
        <f>AJ179*AK179</f>
        <v>144</v>
      </c>
      <c r="AM179" s="47"/>
      <c r="AN179" s="39">
        <v>194</v>
      </c>
      <c r="AO179" s="45"/>
      <c r="AP179" s="45"/>
      <c r="AQ179" s="45"/>
      <c r="AR179" s="37">
        <v>1140</v>
      </c>
      <c r="AS179" s="46">
        <v>0.9</v>
      </c>
      <c r="AT179" s="37">
        <f t="shared" si="157"/>
        <v>1026</v>
      </c>
      <c r="AU179" s="48"/>
      <c r="AV179" s="49">
        <f t="shared" si="158"/>
        <v>0</v>
      </c>
      <c r="AW179" s="49" t="s">
        <v>736</v>
      </c>
      <c r="AX179" s="34"/>
      <c r="AY179" s="37">
        <v>1140</v>
      </c>
      <c r="AZ179" s="46">
        <v>0.9</v>
      </c>
      <c r="BA179" s="37">
        <f t="shared" si="159"/>
        <v>1026</v>
      </c>
      <c r="BB179" s="39">
        <f t="shared" si="160"/>
        <v>0</v>
      </c>
      <c r="BC179" s="50" t="s">
        <v>123</v>
      </c>
      <c r="BE179" s="37">
        <f>1600-144</f>
        <v>1456</v>
      </c>
      <c r="BF179" s="46">
        <v>0.9</v>
      </c>
      <c r="BG179" s="37">
        <f t="shared" si="161"/>
        <v>1310.4000000000001</v>
      </c>
      <c r="BH179" s="37"/>
      <c r="BI179" s="39">
        <f t="shared" si="162"/>
        <v>284.40000000000009</v>
      </c>
      <c r="BJ179" s="39"/>
      <c r="BK179" s="50" t="s">
        <v>756</v>
      </c>
      <c r="BM179" s="37">
        <f>1621</f>
        <v>1621</v>
      </c>
      <c r="BN179" s="46">
        <v>0.9</v>
      </c>
      <c r="BO179" s="37">
        <f t="shared" si="148"/>
        <v>1458.9</v>
      </c>
      <c r="BP179" s="37"/>
      <c r="BQ179" s="92">
        <f t="shared" si="156"/>
        <v>432.90000000000009</v>
      </c>
      <c r="BR179" s="34" t="s">
        <v>757</v>
      </c>
      <c r="BS179" s="50" t="s">
        <v>758</v>
      </c>
      <c r="BU179" s="37">
        <f>1621</f>
        <v>1621</v>
      </c>
      <c r="BV179" s="46">
        <v>0.9</v>
      </c>
      <c r="BW179" s="39">
        <f t="shared" si="141"/>
        <v>1458.9</v>
      </c>
      <c r="BX179" s="118">
        <f t="shared" si="147"/>
        <v>0</v>
      </c>
      <c r="CA179" s="37">
        <v>1615</v>
      </c>
      <c r="CB179" s="46">
        <v>0.9</v>
      </c>
      <c r="CC179" s="39">
        <f t="shared" si="150"/>
        <v>1453.5</v>
      </c>
      <c r="CD179" s="100">
        <v>1453.5</v>
      </c>
      <c r="CE179" s="92">
        <f t="shared" si="151"/>
        <v>-5.4000000000000909</v>
      </c>
      <c r="CF179" s="92">
        <f t="shared" si="152"/>
        <v>-5.4000000000000909</v>
      </c>
      <c r="CI179" s="37">
        <v>1615</v>
      </c>
      <c r="CJ179" s="46">
        <v>0.9</v>
      </c>
      <c r="CK179" s="39">
        <f t="shared" si="149"/>
        <v>1453.5</v>
      </c>
      <c r="CL179" s="92">
        <f t="shared" si="139"/>
        <v>0</v>
      </c>
      <c r="CN179" s="17"/>
      <c r="CO179" s="37">
        <v>1484.981</v>
      </c>
      <c r="CP179" s="46">
        <v>1</v>
      </c>
      <c r="CQ179" s="39">
        <f t="shared" ref="CQ179:CQ196" si="164">CO179*CP179</f>
        <v>1484.981</v>
      </c>
      <c r="CR179" s="92">
        <f t="shared" si="140"/>
        <v>31.480999999999995</v>
      </c>
      <c r="CS179" s="91"/>
      <c r="CT179" s="17"/>
      <c r="CU179" s="37">
        <v>1484.981</v>
      </c>
      <c r="CV179" s="46">
        <v>1</v>
      </c>
      <c r="CW179" s="39">
        <f t="shared" ref="CW179:CW196" si="165">CU179*CV179</f>
        <v>1484.981</v>
      </c>
      <c r="CX179" s="37">
        <v>1430</v>
      </c>
      <c r="CY179" s="46">
        <v>1</v>
      </c>
      <c r="CZ179" s="39">
        <f t="shared" ref="CZ179:CZ196" si="166">CX179*CY179</f>
        <v>1430</v>
      </c>
      <c r="DA179" s="168">
        <f t="shared" si="153"/>
        <v>-54.980999999999995</v>
      </c>
      <c r="DB179" s="168">
        <f t="shared" si="154"/>
        <v>-54.980999999999995</v>
      </c>
      <c r="DC179" s="168">
        <f t="shared" si="155"/>
        <v>-23.5</v>
      </c>
      <c r="DD179" s="91" t="s">
        <v>521</v>
      </c>
      <c r="DE179" s="91"/>
      <c r="DF179" s="37">
        <v>1422</v>
      </c>
      <c r="DG179" s="46">
        <v>1</v>
      </c>
      <c r="DH179" s="39">
        <f t="shared" ref="DH179:DH210" si="167">DF179*DG179</f>
        <v>1422</v>
      </c>
      <c r="DI179" s="168">
        <f t="shared" si="120"/>
        <v>-8</v>
      </c>
      <c r="DJ179" s="168">
        <f t="shared" si="121"/>
        <v>-62.980999999999995</v>
      </c>
      <c r="DK179" s="168"/>
      <c r="DL179" s="168"/>
      <c r="DM179" s="168"/>
      <c r="DN179" s="92">
        <f t="shared" si="163"/>
        <v>1421.674</v>
      </c>
      <c r="DO179" s="152">
        <v>0.57899999999999996</v>
      </c>
      <c r="DP179" s="152">
        <v>84.489000000000004</v>
      </c>
      <c r="DQ179" s="152">
        <v>576.16800000000001</v>
      </c>
      <c r="DR179" s="152">
        <v>66.965000000000003</v>
      </c>
      <c r="DS179" s="152">
        <v>92.132999999999996</v>
      </c>
      <c r="DT179" s="152">
        <v>78.144000000000005</v>
      </c>
      <c r="DU179" s="152">
        <v>312.47699999999998</v>
      </c>
      <c r="DV179" s="152">
        <v>0</v>
      </c>
      <c r="DW179" s="152">
        <v>0</v>
      </c>
      <c r="DX179" s="152">
        <v>210.71899999999999</v>
      </c>
      <c r="DY179" s="152">
        <v>0</v>
      </c>
      <c r="DZ179" s="152">
        <v>0</v>
      </c>
    </row>
    <row r="180" spans="1:132" s="50" customFormat="1" ht="16.25" hidden="1" customHeight="1" x14ac:dyDescent="0.35">
      <c r="A180" s="36" t="s">
        <v>657</v>
      </c>
      <c r="B180" s="36" t="s">
        <v>660</v>
      </c>
      <c r="C180" s="36" t="s">
        <v>20</v>
      </c>
      <c r="D180" s="16" t="s">
        <v>759</v>
      </c>
      <c r="E180" s="38" t="s">
        <v>760</v>
      </c>
      <c r="F180" s="38" t="s">
        <v>110</v>
      </c>
      <c r="G180" s="32" t="s">
        <v>101</v>
      </c>
      <c r="H180" s="32"/>
      <c r="I180" s="36" t="s">
        <v>761</v>
      </c>
      <c r="J180" s="33" t="s">
        <v>762</v>
      </c>
      <c r="K180" s="36" t="s">
        <v>763</v>
      </c>
      <c r="L180" s="36" t="s">
        <v>764</v>
      </c>
      <c r="M180" s="36" t="s">
        <v>720</v>
      </c>
      <c r="N180" s="36" t="s">
        <v>266</v>
      </c>
      <c r="O180" s="33" t="s">
        <v>765</v>
      </c>
      <c r="P180" s="36" t="s">
        <v>170</v>
      </c>
      <c r="Q180" s="39">
        <f>310-85</f>
        <v>225</v>
      </c>
      <c r="R180" s="39"/>
      <c r="S180" s="39"/>
      <c r="T180" s="39">
        <v>630</v>
      </c>
      <c r="V180" s="39">
        <f>CZ180-Q180-T180</f>
        <v>2835</v>
      </c>
      <c r="W180" s="39"/>
      <c r="X180" s="39"/>
      <c r="Y180" s="39"/>
      <c r="Z180" s="39"/>
      <c r="AA180" s="39"/>
      <c r="AB180" s="39"/>
      <c r="AC180" s="36"/>
      <c r="AD180" s="39">
        <v>1600</v>
      </c>
      <c r="AE180" s="37"/>
      <c r="AF180" s="37"/>
      <c r="AG180" s="37"/>
      <c r="AH180" s="34"/>
      <c r="AI180" s="45"/>
      <c r="AJ180" s="37">
        <v>200</v>
      </c>
      <c r="AK180" s="46">
        <v>1</v>
      </c>
      <c r="AL180" s="47">
        <f>AJ180*AK180</f>
        <v>200</v>
      </c>
      <c r="AM180" s="47"/>
      <c r="AN180" s="39" t="e">
        <f>VLOOKUP(D180,'May FF'!B$2:E$201,2,0)</f>
        <v>#N/A</v>
      </c>
      <c r="AO180" s="45"/>
      <c r="AP180" s="45"/>
      <c r="AQ180" s="45"/>
      <c r="AR180" s="37">
        <v>1600</v>
      </c>
      <c r="AS180" s="46">
        <v>0.9</v>
      </c>
      <c r="AT180" s="37">
        <f t="shared" si="157"/>
        <v>1440</v>
      </c>
      <c r="AU180" s="48"/>
      <c r="AV180" s="49">
        <f t="shared" si="158"/>
        <v>0</v>
      </c>
      <c r="AW180" s="49" t="s">
        <v>276</v>
      </c>
      <c r="AX180" s="34"/>
      <c r="AY180" s="37">
        <v>1600</v>
      </c>
      <c r="AZ180" s="46">
        <v>0.9</v>
      </c>
      <c r="BA180" s="37">
        <f t="shared" si="159"/>
        <v>1440</v>
      </c>
      <c r="BB180" s="39">
        <f t="shared" si="160"/>
        <v>0</v>
      </c>
      <c r="BC180" s="50" t="s">
        <v>123</v>
      </c>
      <c r="BE180" s="37">
        <f>1600-200</f>
        <v>1400</v>
      </c>
      <c r="BF180" s="46">
        <v>0.9</v>
      </c>
      <c r="BG180" s="37">
        <f t="shared" si="161"/>
        <v>1260</v>
      </c>
      <c r="BH180" s="37"/>
      <c r="BI180" s="39">
        <f t="shared" si="162"/>
        <v>-180</v>
      </c>
      <c r="BJ180" s="39" t="s">
        <v>766</v>
      </c>
      <c r="BK180" s="50" t="s">
        <v>123</v>
      </c>
      <c r="BM180" s="37">
        <v>1513</v>
      </c>
      <c r="BN180" s="46">
        <v>0.9</v>
      </c>
      <c r="BO180" s="37">
        <f t="shared" si="148"/>
        <v>1361.7</v>
      </c>
      <c r="BP180" s="37"/>
      <c r="BQ180" s="92">
        <f t="shared" si="156"/>
        <v>-78.299999999999955</v>
      </c>
      <c r="BR180" s="34" t="s">
        <v>121</v>
      </c>
      <c r="BU180" s="37">
        <v>1513</v>
      </c>
      <c r="BV180" s="46">
        <v>0.9</v>
      </c>
      <c r="BW180" s="39">
        <f t="shared" si="141"/>
        <v>1361.7</v>
      </c>
      <c r="BX180" s="118">
        <f t="shared" si="147"/>
        <v>0</v>
      </c>
      <c r="CA180" s="37">
        <v>1508.153</v>
      </c>
      <c r="CB180" s="46">
        <v>0.9</v>
      </c>
      <c r="CC180" s="39">
        <f t="shared" si="150"/>
        <v>1357.3377</v>
      </c>
      <c r="CD180" s="100">
        <v>1357.3377</v>
      </c>
      <c r="CE180" s="92">
        <f t="shared" si="151"/>
        <v>-4.3623000000000047</v>
      </c>
      <c r="CF180" s="92">
        <f t="shared" si="152"/>
        <v>-4.3623000000000047</v>
      </c>
      <c r="CG180" s="50" t="s">
        <v>767</v>
      </c>
      <c r="CI180" s="37">
        <v>1508.153</v>
      </c>
      <c r="CJ180" s="46">
        <v>0.9</v>
      </c>
      <c r="CK180" s="39">
        <f t="shared" si="149"/>
        <v>1357.3377</v>
      </c>
      <c r="CL180" s="92">
        <f t="shared" si="139"/>
        <v>0</v>
      </c>
      <c r="CN180" s="17"/>
      <c r="CO180" s="37">
        <f>4100</f>
        <v>4100</v>
      </c>
      <c r="CP180" s="46">
        <v>0.9</v>
      </c>
      <c r="CQ180" s="39">
        <f t="shared" si="164"/>
        <v>3690</v>
      </c>
      <c r="CR180" s="92">
        <f t="shared" si="140"/>
        <v>2332.6623</v>
      </c>
      <c r="CS180" s="91" t="s">
        <v>768</v>
      </c>
      <c r="CT180" s="17"/>
      <c r="CU180" s="37">
        <f>4100</f>
        <v>4100</v>
      </c>
      <c r="CV180" s="46">
        <v>0.9</v>
      </c>
      <c r="CW180" s="39">
        <f t="shared" si="165"/>
        <v>3690</v>
      </c>
      <c r="CX180" s="37">
        <f>4100</f>
        <v>4100</v>
      </c>
      <c r="CY180" s="46">
        <v>0.9</v>
      </c>
      <c r="CZ180" s="39">
        <f t="shared" si="166"/>
        <v>3690</v>
      </c>
      <c r="DA180" s="168">
        <f t="shared" si="153"/>
        <v>0</v>
      </c>
      <c r="DB180" s="168">
        <f t="shared" si="154"/>
        <v>0</v>
      </c>
      <c r="DC180" s="168">
        <f t="shared" si="155"/>
        <v>2332.6623</v>
      </c>
      <c r="DD180" s="91"/>
      <c r="DE180" s="91"/>
      <c r="DF180" s="37">
        <f>4100</f>
        <v>4100</v>
      </c>
      <c r="DG180" s="46">
        <v>0.9</v>
      </c>
      <c r="DH180" s="39">
        <f t="shared" si="167"/>
        <v>3690</v>
      </c>
      <c r="DI180" s="168">
        <f t="shared" si="120"/>
        <v>0</v>
      </c>
      <c r="DJ180" s="168">
        <f t="shared" si="121"/>
        <v>0</v>
      </c>
      <c r="DK180" s="168"/>
      <c r="DL180" s="168"/>
      <c r="DM180" s="168"/>
      <c r="DN180" s="92">
        <f t="shared" si="163"/>
        <v>3690.1004000000003</v>
      </c>
      <c r="DO180" s="152">
        <v>0</v>
      </c>
      <c r="DP180" s="152">
        <v>0</v>
      </c>
      <c r="DQ180" s="152">
        <v>47.616999999999997</v>
      </c>
      <c r="DR180" s="152">
        <v>-0.56899999999999995</v>
      </c>
      <c r="DS180" s="152">
        <v>37.686599999999999</v>
      </c>
      <c r="DT180" s="152">
        <v>20.879100000000001</v>
      </c>
      <c r="DU180" s="152">
        <v>568.14030000000002</v>
      </c>
      <c r="DV180" s="152">
        <v>47.345399999999998</v>
      </c>
      <c r="DW180" s="152">
        <v>485.75970000000001</v>
      </c>
      <c r="DX180" s="152">
        <v>663.62040000000002</v>
      </c>
      <c r="DY180" s="152">
        <v>0</v>
      </c>
      <c r="DZ180" s="152">
        <v>1819.6209000000001</v>
      </c>
    </row>
    <row r="181" spans="1:132" s="50" customFormat="1" ht="16.25" hidden="1" customHeight="1" x14ac:dyDescent="0.35">
      <c r="A181" s="36" t="s">
        <v>657</v>
      </c>
      <c r="B181" s="36" t="s">
        <v>660</v>
      </c>
      <c r="C181" s="36" t="s">
        <v>172</v>
      </c>
      <c r="D181" s="36" t="s">
        <v>769</v>
      </c>
      <c r="E181" s="38" t="s">
        <v>770</v>
      </c>
      <c r="F181" s="38" t="s">
        <v>175</v>
      </c>
      <c r="G181" s="32" t="s">
        <v>101</v>
      </c>
      <c r="H181" s="32"/>
      <c r="I181" s="36"/>
      <c r="J181" s="43"/>
      <c r="K181" s="36"/>
      <c r="L181" s="36"/>
      <c r="M181" s="36"/>
      <c r="N181" s="36"/>
      <c r="O181" s="33"/>
      <c r="P181" s="36" t="s">
        <v>111</v>
      </c>
      <c r="Q181" s="129">
        <f>CW181</f>
        <v>824.41099999999994</v>
      </c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6"/>
      <c r="AD181" s="39">
        <v>930</v>
      </c>
      <c r="AE181" s="37">
        <v>850</v>
      </c>
      <c r="AF181" s="37"/>
      <c r="AG181" s="37"/>
      <c r="AH181" s="34"/>
      <c r="AI181" s="45"/>
      <c r="AJ181" s="37"/>
      <c r="AK181" s="46"/>
      <c r="AL181" s="47"/>
      <c r="AM181" s="47"/>
      <c r="AN181" s="39"/>
      <c r="AO181" s="45"/>
      <c r="AP181" s="45"/>
      <c r="AQ181" s="45"/>
      <c r="AR181" s="45"/>
      <c r="AS181" s="46"/>
      <c r="AT181" s="37"/>
      <c r="AU181" s="48"/>
      <c r="AV181" s="49"/>
      <c r="AW181" s="48"/>
      <c r="AY181" s="45"/>
      <c r="AZ181" s="46"/>
      <c r="BA181" s="37"/>
      <c r="BB181" s="37"/>
      <c r="BE181" s="45"/>
      <c r="BF181" s="46"/>
      <c r="BG181" s="37"/>
      <c r="BH181" s="37"/>
      <c r="BI181" s="39"/>
      <c r="BJ181" s="39"/>
      <c r="BM181" s="37"/>
      <c r="BN181" s="46"/>
      <c r="BO181" s="37"/>
      <c r="BP181" s="37"/>
      <c r="BQ181" s="92"/>
      <c r="BR181" s="59"/>
      <c r="BU181" s="45"/>
      <c r="BV181" s="101"/>
      <c r="BW181" s="37"/>
      <c r="BX181" s="118">
        <f t="shared" si="147"/>
        <v>0</v>
      </c>
      <c r="CA181" s="45">
        <v>897.26</v>
      </c>
      <c r="CB181" s="101">
        <v>0.9</v>
      </c>
      <c r="CC181" s="37">
        <f t="shared" si="150"/>
        <v>807.53399999999999</v>
      </c>
      <c r="CD181" s="102">
        <v>807.53399999999999</v>
      </c>
      <c r="CE181" s="92">
        <f t="shared" si="151"/>
        <v>807.53399999999999</v>
      </c>
      <c r="CF181" s="92">
        <f t="shared" si="152"/>
        <v>807.53399999999999</v>
      </c>
      <c r="CG181" s="80"/>
      <c r="CI181" s="45">
        <v>897.26</v>
      </c>
      <c r="CJ181" s="40">
        <v>0.9</v>
      </c>
      <c r="CK181" s="37">
        <f t="shared" si="149"/>
        <v>807.53399999999999</v>
      </c>
      <c r="CL181" s="92">
        <f t="shared" si="139"/>
        <v>0</v>
      </c>
      <c r="CM181" s="80"/>
      <c r="CN181" s="17"/>
      <c r="CO181" s="45">
        <v>824.41099999999994</v>
      </c>
      <c r="CP181" s="101">
        <v>1</v>
      </c>
      <c r="CQ181" s="37">
        <f t="shared" si="164"/>
        <v>824.41099999999994</v>
      </c>
      <c r="CR181" s="92">
        <f t="shared" si="140"/>
        <v>16.876999999999953</v>
      </c>
      <c r="CS181" s="91"/>
      <c r="CT181" s="17"/>
      <c r="CU181" s="45">
        <v>824.41099999999994</v>
      </c>
      <c r="CV181" s="40">
        <v>1</v>
      </c>
      <c r="CW181" s="37">
        <f t="shared" si="165"/>
        <v>824.41099999999994</v>
      </c>
      <c r="CX181" s="45">
        <v>824.41099999999994</v>
      </c>
      <c r="CY181" s="40">
        <v>1</v>
      </c>
      <c r="CZ181" s="37">
        <f t="shared" si="166"/>
        <v>824.41099999999994</v>
      </c>
      <c r="DA181" s="168">
        <f t="shared" si="153"/>
        <v>0</v>
      </c>
      <c r="DB181" s="168">
        <f t="shared" si="154"/>
        <v>0</v>
      </c>
      <c r="DC181" s="168">
        <f t="shared" si="155"/>
        <v>16.876999999999953</v>
      </c>
      <c r="DD181" s="91"/>
      <c r="DE181" s="91"/>
      <c r="DF181" s="45">
        <v>824.41099999999994</v>
      </c>
      <c r="DG181" s="40">
        <v>1</v>
      </c>
      <c r="DH181" s="37">
        <f t="shared" si="167"/>
        <v>824.41099999999994</v>
      </c>
      <c r="DI181" s="168">
        <f t="shared" si="120"/>
        <v>0</v>
      </c>
      <c r="DJ181" s="168">
        <f t="shared" si="121"/>
        <v>0</v>
      </c>
      <c r="DK181" s="168"/>
      <c r="DL181" s="168"/>
      <c r="DM181" s="168"/>
      <c r="DN181" s="92">
        <f t="shared" si="163"/>
        <v>823.80300000000011</v>
      </c>
      <c r="DO181" s="152">
        <v>0</v>
      </c>
      <c r="DP181" s="152">
        <v>0</v>
      </c>
      <c r="DQ181" s="152">
        <v>0</v>
      </c>
      <c r="DR181" s="152">
        <v>0</v>
      </c>
      <c r="DS181" s="152">
        <v>0</v>
      </c>
      <c r="DT181" s="152">
        <v>13.098000000000001</v>
      </c>
      <c r="DU181" s="152">
        <v>0</v>
      </c>
      <c r="DV181" s="152">
        <v>0</v>
      </c>
      <c r="DW181" s="152">
        <v>399.61700000000002</v>
      </c>
      <c r="DX181" s="152">
        <v>0</v>
      </c>
      <c r="DY181" s="152">
        <v>363.74299999999999</v>
      </c>
      <c r="DZ181" s="152">
        <v>47.344999999999999</v>
      </c>
    </row>
    <row r="182" spans="1:132" s="50" customFormat="1" ht="15.6" hidden="1" customHeight="1" x14ac:dyDescent="0.35">
      <c r="A182" s="36" t="s">
        <v>657</v>
      </c>
      <c r="B182" s="36" t="s">
        <v>660</v>
      </c>
      <c r="C182" s="36" t="s">
        <v>172</v>
      </c>
      <c r="D182" s="16" t="s">
        <v>771</v>
      </c>
      <c r="E182" s="38" t="s">
        <v>772</v>
      </c>
      <c r="F182" s="38" t="s">
        <v>175</v>
      </c>
      <c r="G182" s="32" t="s">
        <v>101</v>
      </c>
      <c r="H182" s="32"/>
      <c r="I182" s="38"/>
      <c r="J182" s="38"/>
      <c r="K182" s="36"/>
      <c r="L182" s="36"/>
      <c r="M182" s="36"/>
      <c r="N182" s="36"/>
      <c r="O182" s="38"/>
      <c r="P182" s="36" t="s">
        <v>170</v>
      </c>
      <c r="Q182" s="39"/>
      <c r="R182" s="39">
        <v>400</v>
      </c>
      <c r="S182" s="39"/>
      <c r="T182" s="39"/>
      <c r="V182" s="39">
        <f>CZ182-R182</f>
        <v>992.3</v>
      </c>
      <c r="W182" s="39"/>
      <c r="X182" s="39"/>
      <c r="Y182" s="39"/>
      <c r="Z182" s="39"/>
      <c r="AA182" s="39"/>
      <c r="AB182" s="39"/>
      <c r="AC182" s="36"/>
      <c r="AD182" s="37">
        <v>1800</v>
      </c>
      <c r="AE182" s="39">
        <v>1500</v>
      </c>
      <c r="AF182" s="37"/>
      <c r="AG182" s="37"/>
      <c r="AH182" s="34"/>
      <c r="AI182" s="45"/>
      <c r="AJ182" s="37"/>
      <c r="AK182" s="46"/>
      <c r="AL182" s="47"/>
      <c r="AM182" s="47"/>
      <c r="AN182" s="37"/>
      <c r="AO182" s="37"/>
      <c r="AP182" s="37"/>
      <c r="AQ182" s="37"/>
      <c r="AR182" s="37">
        <v>1600</v>
      </c>
      <c r="AS182" s="46">
        <v>0.9</v>
      </c>
      <c r="AT182" s="47">
        <f>AR182*AS182</f>
        <v>1440</v>
      </c>
      <c r="AU182" s="48"/>
      <c r="AV182" s="49"/>
      <c r="AW182" s="48"/>
      <c r="AY182" s="37">
        <v>1600</v>
      </c>
      <c r="AZ182" s="46">
        <v>0.9</v>
      </c>
      <c r="BA182" s="47">
        <f>AY182*AZ182</f>
        <v>1440</v>
      </c>
      <c r="BB182" s="39">
        <f>BA182-AT182</f>
        <v>0</v>
      </c>
      <c r="BE182" s="37">
        <v>1620</v>
      </c>
      <c r="BF182" s="46">
        <v>0.9</v>
      </c>
      <c r="BG182" s="47">
        <f>BE182*BF182</f>
        <v>1458</v>
      </c>
      <c r="BH182" s="47"/>
      <c r="BI182" s="39">
        <f>BG182-BA182</f>
        <v>18</v>
      </c>
      <c r="BJ182" s="39"/>
      <c r="BM182" s="37">
        <v>1620</v>
      </c>
      <c r="BN182" s="46">
        <v>0.9</v>
      </c>
      <c r="BO182" s="47">
        <f>BM182*BN182</f>
        <v>1458</v>
      </c>
      <c r="BP182" s="47"/>
      <c r="BQ182" s="92">
        <f>BO182-BA182</f>
        <v>18</v>
      </c>
      <c r="BR182" s="34" t="s">
        <v>193</v>
      </c>
      <c r="BU182" s="37">
        <v>1620</v>
      </c>
      <c r="BV182" s="46">
        <v>0.9</v>
      </c>
      <c r="BW182" s="39">
        <f>BU182*BV182</f>
        <v>1458</v>
      </c>
      <c r="BX182" s="118">
        <f t="shared" si="147"/>
        <v>0</v>
      </c>
      <c r="CA182" s="37">
        <v>1547</v>
      </c>
      <c r="CB182" s="46">
        <v>0.9</v>
      </c>
      <c r="CC182" s="39">
        <f t="shared" si="150"/>
        <v>1392.3</v>
      </c>
      <c r="CD182" s="100">
        <v>1392.3</v>
      </c>
      <c r="CE182" s="92">
        <f t="shared" si="151"/>
        <v>-65.700000000000045</v>
      </c>
      <c r="CF182" s="92">
        <f t="shared" si="152"/>
        <v>-65.700000000000045</v>
      </c>
      <c r="CG182" s="80"/>
      <c r="CI182" s="37">
        <v>1547</v>
      </c>
      <c r="CJ182" s="46">
        <v>0.9</v>
      </c>
      <c r="CK182" s="39">
        <f t="shared" si="149"/>
        <v>1392.3</v>
      </c>
      <c r="CL182" s="92">
        <f t="shared" si="139"/>
        <v>0</v>
      </c>
      <c r="CM182" s="80"/>
      <c r="CN182" s="17"/>
      <c r="CO182" s="37">
        <v>1547</v>
      </c>
      <c r="CP182" s="46">
        <v>0.9</v>
      </c>
      <c r="CQ182" s="39">
        <f t="shared" si="164"/>
        <v>1392.3</v>
      </c>
      <c r="CR182" s="92">
        <f t="shared" si="140"/>
        <v>0</v>
      </c>
      <c r="CS182" s="91" t="s">
        <v>773</v>
      </c>
      <c r="CT182" s="17"/>
      <c r="CU182" s="37">
        <v>1547</v>
      </c>
      <c r="CV182" s="46">
        <v>0.9</v>
      </c>
      <c r="CW182" s="39">
        <f t="shared" si="165"/>
        <v>1392.3</v>
      </c>
      <c r="CX182" s="37">
        <v>1547</v>
      </c>
      <c r="CY182" s="46">
        <v>0.9</v>
      </c>
      <c r="CZ182" s="39">
        <f t="shared" si="166"/>
        <v>1392.3</v>
      </c>
      <c r="DA182" s="168">
        <f t="shared" si="153"/>
        <v>0</v>
      </c>
      <c r="DB182" s="168">
        <f t="shared" si="154"/>
        <v>0</v>
      </c>
      <c r="DC182" s="168">
        <f t="shared" si="155"/>
        <v>0</v>
      </c>
      <c r="DD182" s="91"/>
      <c r="DE182" s="91"/>
      <c r="DF182" s="37">
        <v>1547</v>
      </c>
      <c r="DG182" s="46">
        <v>0.9</v>
      </c>
      <c r="DH182" s="39">
        <f t="shared" si="167"/>
        <v>1392.3</v>
      </c>
      <c r="DI182" s="168">
        <f t="shared" si="120"/>
        <v>0</v>
      </c>
      <c r="DJ182" s="168">
        <f t="shared" si="121"/>
        <v>0</v>
      </c>
      <c r="DK182" s="168"/>
      <c r="DL182" s="168"/>
      <c r="DM182" s="168"/>
      <c r="DN182" s="92">
        <f t="shared" si="163"/>
        <v>1388.25</v>
      </c>
      <c r="DO182" s="152">
        <v>0</v>
      </c>
      <c r="DP182" s="152">
        <v>0</v>
      </c>
      <c r="DQ182" s="152">
        <v>0</v>
      </c>
      <c r="DR182" s="152">
        <v>0</v>
      </c>
      <c r="DS182" s="152">
        <v>0</v>
      </c>
      <c r="DT182" s="152">
        <v>5.2083000000000004</v>
      </c>
      <c r="DU182" s="152">
        <v>59.654700000000005</v>
      </c>
      <c r="DV182" s="152">
        <v>0</v>
      </c>
      <c r="DW182" s="152">
        <v>249.68789999999998</v>
      </c>
      <c r="DX182" s="152">
        <v>0</v>
      </c>
      <c r="DY182" s="152">
        <v>0</v>
      </c>
      <c r="DZ182" s="152">
        <v>1073.6991</v>
      </c>
    </row>
    <row r="183" spans="1:132" s="50" customFormat="1" ht="16.25" hidden="1" customHeight="1" x14ac:dyDescent="0.35">
      <c r="A183" s="36" t="s">
        <v>657</v>
      </c>
      <c r="B183" s="36" t="s">
        <v>660</v>
      </c>
      <c r="C183" s="36" t="s">
        <v>20</v>
      </c>
      <c r="D183" s="16" t="s">
        <v>774</v>
      </c>
      <c r="E183" s="38" t="s">
        <v>775</v>
      </c>
      <c r="F183" s="38" t="s">
        <v>100</v>
      </c>
      <c r="G183" s="36" t="s">
        <v>101</v>
      </c>
      <c r="H183" s="36"/>
      <c r="I183" s="32" t="s">
        <v>776</v>
      </c>
      <c r="J183" s="33" t="s">
        <v>777</v>
      </c>
      <c r="K183" s="36"/>
      <c r="L183" s="36"/>
      <c r="M183" s="36"/>
      <c r="N183" s="36" t="s">
        <v>244</v>
      </c>
      <c r="O183" s="33" t="s">
        <v>778</v>
      </c>
      <c r="P183" s="36" t="s">
        <v>170</v>
      </c>
      <c r="Q183" s="39"/>
      <c r="R183" s="39">
        <v>410</v>
      </c>
      <c r="S183" s="39"/>
      <c r="T183" s="39"/>
      <c r="U183" s="39"/>
      <c r="V183" s="39"/>
      <c r="W183" s="39"/>
      <c r="X183" s="39">
        <v>90</v>
      </c>
      <c r="Y183" s="39"/>
      <c r="Z183" s="39"/>
      <c r="AA183" s="39"/>
      <c r="AB183" s="39"/>
      <c r="AC183" s="36"/>
      <c r="AD183" s="39">
        <v>2000</v>
      </c>
      <c r="AE183" s="37"/>
      <c r="AF183" s="37"/>
      <c r="AG183" s="37"/>
      <c r="AH183" s="34"/>
      <c r="AI183" s="45"/>
      <c r="AJ183" s="37">
        <v>0</v>
      </c>
      <c r="AK183" s="46">
        <v>0</v>
      </c>
      <c r="AL183" s="47">
        <f>AJ183*AK183</f>
        <v>0</v>
      </c>
      <c r="AM183" s="47"/>
      <c r="AN183" s="39" t="e">
        <f>VLOOKUP(D183,'May FF'!B$2:E$201,2,0)</f>
        <v>#N/A</v>
      </c>
      <c r="AO183" s="45"/>
      <c r="AP183" s="45"/>
      <c r="AQ183" s="45"/>
      <c r="AR183" s="37">
        <v>2000</v>
      </c>
      <c r="AS183" s="46">
        <v>0.5</v>
      </c>
      <c r="AT183" s="37">
        <f>AR183*AS183</f>
        <v>1000</v>
      </c>
      <c r="AU183" s="48"/>
      <c r="AV183" s="49">
        <f>AU183*AS183</f>
        <v>0</v>
      </c>
      <c r="AW183" s="49"/>
      <c r="AX183" s="34"/>
      <c r="AY183" s="37">
        <v>2000</v>
      </c>
      <c r="AZ183" s="46">
        <v>0.5</v>
      </c>
      <c r="BA183" s="37">
        <f>AY183*AZ183</f>
        <v>1000</v>
      </c>
      <c r="BB183" s="39">
        <f>BA183-AT183</f>
        <v>0</v>
      </c>
      <c r="BE183" s="37">
        <v>2000</v>
      </c>
      <c r="BF183" s="46">
        <v>0.5</v>
      </c>
      <c r="BG183" s="37">
        <f>BE183*BF183</f>
        <v>1000</v>
      </c>
      <c r="BH183" s="37"/>
      <c r="BI183" s="39">
        <f>BG183-BA183</f>
        <v>0</v>
      </c>
      <c r="BJ183" s="39"/>
      <c r="BM183" s="37">
        <v>2000</v>
      </c>
      <c r="BN183" s="46">
        <v>0.5</v>
      </c>
      <c r="BO183" s="37">
        <f>BM183*BN183</f>
        <v>1000</v>
      </c>
      <c r="BP183" s="37"/>
      <c r="BQ183" s="92">
        <f>BO183-BA183</f>
        <v>0</v>
      </c>
      <c r="BR183" s="59"/>
      <c r="BU183" s="37">
        <v>2000</v>
      </c>
      <c r="BV183" s="46">
        <v>0.5</v>
      </c>
      <c r="BW183" s="39">
        <f>BU183*BV183</f>
        <v>1000</v>
      </c>
      <c r="BX183" s="118">
        <f t="shared" si="147"/>
        <v>0</v>
      </c>
      <c r="CA183" s="37">
        <f>800</f>
        <v>800</v>
      </c>
      <c r="CB183" s="46">
        <v>0.9</v>
      </c>
      <c r="CC183" s="39">
        <f t="shared" si="150"/>
        <v>720</v>
      </c>
      <c r="CD183" s="100">
        <v>720</v>
      </c>
      <c r="CE183" s="92">
        <f t="shared" si="151"/>
        <v>-280</v>
      </c>
      <c r="CF183" s="92">
        <f t="shared" si="152"/>
        <v>-280</v>
      </c>
      <c r="CG183" s="50" t="s">
        <v>123</v>
      </c>
      <c r="CI183" s="37">
        <v>900</v>
      </c>
      <c r="CJ183" s="46">
        <v>0.9</v>
      </c>
      <c r="CK183" s="39">
        <f t="shared" si="149"/>
        <v>810</v>
      </c>
      <c r="CL183" s="92">
        <f t="shared" si="139"/>
        <v>90</v>
      </c>
      <c r="CN183" s="17"/>
      <c r="CO183" s="37">
        <v>918.8</v>
      </c>
      <c r="CP183" s="46">
        <v>0.9</v>
      </c>
      <c r="CQ183" s="39">
        <f t="shared" si="164"/>
        <v>826.92</v>
      </c>
      <c r="CR183" s="92">
        <f t="shared" si="140"/>
        <v>16.919999999999959</v>
      </c>
      <c r="CS183" s="91"/>
      <c r="CT183" s="17"/>
      <c r="CU183" s="37">
        <v>918.8</v>
      </c>
      <c r="CV183" s="46">
        <v>0.9</v>
      </c>
      <c r="CW183" s="39">
        <f t="shared" si="165"/>
        <v>826.92</v>
      </c>
      <c r="CX183" s="37">
        <v>500</v>
      </c>
      <c r="CY183" s="46">
        <v>1</v>
      </c>
      <c r="CZ183" s="39">
        <f t="shared" si="166"/>
        <v>500</v>
      </c>
      <c r="DA183" s="168">
        <f t="shared" si="153"/>
        <v>-326.91999999999996</v>
      </c>
      <c r="DB183" s="168">
        <f t="shared" si="154"/>
        <v>-326.91999999999996</v>
      </c>
      <c r="DC183" s="168">
        <f t="shared" si="155"/>
        <v>-310</v>
      </c>
      <c r="DD183" s="91" t="s">
        <v>123</v>
      </c>
      <c r="DE183" s="91"/>
      <c r="DF183" s="37">
        <v>550</v>
      </c>
      <c r="DG183" s="46">
        <v>0.9</v>
      </c>
      <c r="DH183" s="39">
        <f t="shared" si="167"/>
        <v>495</v>
      </c>
      <c r="DI183" s="168">
        <f t="shared" si="120"/>
        <v>-5</v>
      </c>
      <c r="DJ183" s="168">
        <f t="shared" si="121"/>
        <v>-331.91999999999996</v>
      </c>
      <c r="DK183" s="168"/>
      <c r="DL183" s="168"/>
      <c r="DM183" s="168"/>
      <c r="DN183" s="92">
        <f t="shared" si="163"/>
        <v>523.90600000000006</v>
      </c>
      <c r="DO183" s="152">
        <v>0</v>
      </c>
      <c r="DP183" s="152">
        <v>0</v>
      </c>
      <c r="DQ183" s="152">
        <v>0</v>
      </c>
      <c r="DR183" s="152">
        <v>0</v>
      </c>
      <c r="DS183" s="152">
        <v>77.272000000000006</v>
      </c>
      <c r="DT183" s="152">
        <v>86.215000000000003</v>
      </c>
      <c r="DU183" s="152">
        <v>37.875999999999998</v>
      </c>
      <c r="DV183" s="152">
        <v>0</v>
      </c>
      <c r="DW183" s="152">
        <v>37.875999999999998</v>
      </c>
      <c r="DX183" s="152">
        <v>184.667</v>
      </c>
      <c r="DY183" s="152">
        <v>100</v>
      </c>
      <c r="DZ183" s="152">
        <v>0</v>
      </c>
    </row>
    <row r="184" spans="1:132" s="50" customFormat="1" ht="16.25" hidden="1" customHeight="1" x14ac:dyDescent="0.35">
      <c r="A184" s="36" t="s">
        <v>657</v>
      </c>
      <c r="B184" s="36" t="s">
        <v>660</v>
      </c>
      <c r="C184" s="36" t="s">
        <v>27</v>
      </c>
      <c r="D184" s="16" t="s">
        <v>779</v>
      </c>
      <c r="E184" s="209" t="s">
        <v>820</v>
      </c>
      <c r="F184" s="38" t="s">
        <v>114</v>
      </c>
      <c r="G184" s="32" t="s">
        <v>101</v>
      </c>
      <c r="H184" s="32"/>
      <c r="I184" s="36"/>
      <c r="J184" s="38"/>
      <c r="K184" s="38"/>
      <c r="L184" s="38"/>
      <c r="M184" s="38"/>
      <c r="N184" s="36"/>
      <c r="O184" s="33"/>
      <c r="P184" s="36" t="s">
        <v>193</v>
      </c>
      <c r="Q184" s="39"/>
      <c r="R184" s="39"/>
      <c r="S184" s="39"/>
      <c r="T184" s="39"/>
      <c r="V184" s="39"/>
      <c r="W184" s="39"/>
      <c r="X184" s="39"/>
      <c r="Y184" s="39"/>
      <c r="Z184" s="39"/>
      <c r="AA184" s="39"/>
      <c r="AB184" s="39"/>
      <c r="AC184" s="36"/>
      <c r="AD184" s="37"/>
      <c r="AE184" s="37"/>
      <c r="AF184" s="37"/>
      <c r="AG184" s="37"/>
      <c r="AH184" s="34"/>
      <c r="AI184" s="45"/>
      <c r="AJ184" s="37"/>
      <c r="AK184" s="46"/>
      <c r="AL184" s="47"/>
      <c r="AM184" s="47"/>
      <c r="AN184" s="37"/>
      <c r="AO184" s="37"/>
      <c r="AP184" s="37"/>
      <c r="AQ184" s="37"/>
      <c r="AR184" s="39"/>
      <c r="AS184" s="40"/>
      <c r="AT184" s="39"/>
      <c r="AU184" s="48"/>
      <c r="AV184" s="49"/>
      <c r="AW184" s="48"/>
      <c r="AY184" s="39"/>
      <c r="AZ184" s="40"/>
      <c r="BA184" s="39"/>
      <c r="BB184" s="39"/>
      <c r="BE184" s="39"/>
      <c r="BF184" s="40"/>
      <c r="BG184" s="39"/>
      <c r="BH184" s="39"/>
      <c r="BI184" s="39"/>
      <c r="BJ184" s="39"/>
      <c r="BM184" s="39"/>
      <c r="BN184" s="40"/>
      <c r="BO184" s="39"/>
      <c r="BP184" s="39"/>
      <c r="BQ184" s="92"/>
      <c r="BR184" s="59"/>
      <c r="BU184" s="39">
        <v>0</v>
      </c>
      <c r="BV184" s="40">
        <v>0</v>
      </c>
      <c r="BW184" s="39">
        <f>BU184*BV184</f>
        <v>0</v>
      </c>
      <c r="BX184" s="118">
        <f t="shared" si="147"/>
        <v>0</v>
      </c>
      <c r="BY184" s="34"/>
      <c r="CA184" s="39">
        <v>0</v>
      </c>
      <c r="CB184" s="40">
        <v>0.9</v>
      </c>
      <c r="CC184" s="39">
        <f t="shared" si="150"/>
        <v>0</v>
      </c>
      <c r="CD184" s="100">
        <v>702</v>
      </c>
      <c r="CE184" s="92">
        <f t="shared" si="151"/>
        <v>0</v>
      </c>
      <c r="CF184" s="92">
        <f t="shared" si="152"/>
        <v>0</v>
      </c>
      <c r="CG184" s="50" t="s">
        <v>821</v>
      </c>
      <c r="CI184" s="39">
        <v>0</v>
      </c>
      <c r="CJ184" s="40">
        <v>0.9</v>
      </c>
      <c r="CK184" s="39">
        <f t="shared" si="149"/>
        <v>0</v>
      </c>
      <c r="CL184" s="92">
        <f t="shared" si="139"/>
        <v>0</v>
      </c>
      <c r="CN184" s="17"/>
      <c r="CO184" s="39">
        <v>0</v>
      </c>
      <c r="CP184" s="40">
        <v>0.9</v>
      </c>
      <c r="CQ184" s="39">
        <f t="shared" si="164"/>
        <v>0</v>
      </c>
      <c r="CR184" s="92">
        <f t="shared" si="140"/>
        <v>0</v>
      </c>
      <c r="CS184" s="91"/>
      <c r="CT184" s="17"/>
      <c r="CU184" s="39">
        <v>0</v>
      </c>
      <c r="CV184" s="40">
        <v>0.9</v>
      </c>
      <c r="CW184" s="39">
        <f t="shared" si="165"/>
        <v>0</v>
      </c>
      <c r="CX184" s="39">
        <v>0</v>
      </c>
      <c r="CY184" s="40">
        <v>0.9</v>
      </c>
      <c r="CZ184" s="39">
        <f t="shared" si="166"/>
        <v>0</v>
      </c>
      <c r="DA184" s="168">
        <f t="shared" si="153"/>
        <v>0</v>
      </c>
      <c r="DB184" s="168">
        <f t="shared" si="154"/>
        <v>0</v>
      </c>
      <c r="DC184" s="168">
        <f t="shared" si="155"/>
        <v>0</v>
      </c>
      <c r="DD184" s="91"/>
      <c r="DE184" s="91"/>
      <c r="DF184" s="39">
        <v>1000</v>
      </c>
      <c r="DG184" s="40">
        <v>0.9</v>
      </c>
      <c r="DH184" s="39">
        <f t="shared" si="167"/>
        <v>900</v>
      </c>
      <c r="DI184" s="168">
        <f t="shared" si="120"/>
        <v>900</v>
      </c>
      <c r="DJ184" s="168">
        <f t="shared" si="121"/>
        <v>900</v>
      </c>
      <c r="DK184" s="168"/>
      <c r="DL184" s="168"/>
      <c r="DM184" s="168"/>
      <c r="DN184" s="92">
        <f t="shared" si="163"/>
        <v>0</v>
      </c>
      <c r="DO184" s="151">
        <v>0</v>
      </c>
      <c r="DP184" s="151">
        <v>0</v>
      </c>
      <c r="DQ184" s="151">
        <v>0</v>
      </c>
      <c r="DR184" s="151">
        <v>0</v>
      </c>
      <c r="DS184" s="151">
        <v>0</v>
      </c>
      <c r="DT184" s="151">
        <v>0</v>
      </c>
      <c r="DU184" s="151">
        <v>0</v>
      </c>
      <c r="DV184" s="151">
        <v>0</v>
      </c>
      <c r="DW184" s="151">
        <v>0</v>
      </c>
      <c r="DX184" s="151">
        <v>0</v>
      </c>
      <c r="DY184" s="151">
        <v>0</v>
      </c>
      <c r="DZ184" s="151">
        <v>0</v>
      </c>
    </row>
    <row r="185" spans="1:132" s="50" customFormat="1" ht="16.25" hidden="1" customHeight="1" x14ac:dyDescent="0.35">
      <c r="A185" s="36" t="s">
        <v>657</v>
      </c>
      <c r="B185" s="36" t="s">
        <v>660</v>
      </c>
      <c r="C185" s="36" t="s">
        <v>20</v>
      </c>
      <c r="D185" s="16" t="s">
        <v>789</v>
      </c>
      <c r="E185" s="33" t="s">
        <v>790</v>
      </c>
      <c r="F185" s="38" t="s">
        <v>100</v>
      </c>
      <c r="G185" s="32" t="s">
        <v>101</v>
      </c>
      <c r="H185" s="32"/>
      <c r="I185" s="36"/>
      <c r="J185" s="38"/>
      <c r="K185" s="38"/>
      <c r="L185" s="38"/>
      <c r="M185" s="38" t="s">
        <v>791</v>
      </c>
      <c r="N185" s="36"/>
      <c r="O185" s="33"/>
      <c r="P185" s="36" t="s">
        <v>170</v>
      </c>
      <c r="Q185" s="39"/>
      <c r="R185" s="39"/>
      <c r="S185" s="39">
        <v>500</v>
      </c>
      <c r="T185" s="39"/>
      <c r="V185" s="39">
        <f>CZ185-S185</f>
        <v>580</v>
      </c>
      <c r="X185" s="39"/>
      <c r="Y185" s="39"/>
      <c r="Z185" s="39"/>
      <c r="AA185" s="39"/>
      <c r="AB185" s="39"/>
      <c r="AC185" s="36"/>
      <c r="AD185" s="37">
        <v>400</v>
      </c>
      <c r="AE185" s="37"/>
      <c r="AF185" s="37"/>
      <c r="AG185" s="37"/>
      <c r="AH185" s="34"/>
      <c r="AI185" s="45"/>
      <c r="AJ185" s="37">
        <v>0</v>
      </c>
      <c r="AK185" s="46">
        <v>0</v>
      </c>
      <c r="AL185" s="47">
        <f>AJ185*AK185</f>
        <v>0</v>
      </c>
      <c r="AM185" s="47"/>
      <c r="AN185" s="37"/>
      <c r="AO185" s="37"/>
      <c r="AP185" s="37"/>
      <c r="AQ185" s="37"/>
      <c r="AR185" s="39">
        <v>400</v>
      </c>
      <c r="AS185" s="40">
        <v>0.9</v>
      </c>
      <c r="AT185" s="39">
        <f>AR185*AS185</f>
        <v>360</v>
      </c>
      <c r="AU185" s="48"/>
      <c r="AV185" s="49">
        <f>AU185*AS185</f>
        <v>0</v>
      </c>
      <c r="AW185" s="48"/>
      <c r="AY185" s="39">
        <v>400</v>
      </c>
      <c r="AZ185" s="40">
        <v>0.9</v>
      </c>
      <c r="BA185" s="39">
        <f>AY185*AZ185</f>
        <v>360</v>
      </c>
      <c r="BB185" s="39">
        <f>BA185-AT185</f>
        <v>0</v>
      </c>
      <c r="BE185" s="39">
        <v>400</v>
      </c>
      <c r="BF185" s="40">
        <v>0.9</v>
      </c>
      <c r="BG185" s="39">
        <f>BE185*BF185</f>
        <v>360</v>
      </c>
      <c r="BH185" s="39"/>
      <c r="BI185" s="39">
        <f>BG185-BA185</f>
        <v>0</v>
      </c>
      <c r="BJ185" s="39"/>
      <c r="BM185" s="39">
        <v>400</v>
      </c>
      <c r="BN185" s="40">
        <v>0.9</v>
      </c>
      <c r="BO185" s="39">
        <f>BM185*BN185</f>
        <v>360</v>
      </c>
      <c r="BP185" s="39"/>
      <c r="BQ185" s="92">
        <f>BO185-BA185</f>
        <v>0</v>
      </c>
      <c r="BR185" s="59"/>
      <c r="BU185" s="39">
        <v>400</v>
      </c>
      <c r="BV185" s="40">
        <v>0.9</v>
      </c>
      <c r="BW185" s="39">
        <f>BU185*BV185</f>
        <v>360</v>
      </c>
      <c r="BX185" s="118">
        <f t="shared" si="147"/>
        <v>0</v>
      </c>
      <c r="BY185" s="34"/>
      <c r="CA185" s="39">
        <v>400</v>
      </c>
      <c r="CB185" s="40">
        <v>0.9</v>
      </c>
      <c r="CC185" s="39">
        <f t="shared" si="150"/>
        <v>360</v>
      </c>
      <c r="CD185" s="100">
        <v>360</v>
      </c>
      <c r="CE185" s="92">
        <f t="shared" si="151"/>
        <v>0</v>
      </c>
      <c r="CF185" s="92">
        <f t="shared" si="152"/>
        <v>0</v>
      </c>
      <c r="CI185" s="39">
        <v>1100</v>
      </c>
      <c r="CJ185" s="40">
        <v>0.9</v>
      </c>
      <c r="CK185" s="39">
        <f t="shared" si="149"/>
        <v>990</v>
      </c>
      <c r="CL185" s="92">
        <f t="shared" si="139"/>
        <v>630</v>
      </c>
      <c r="CM185" s="50" t="s">
        <v>792</v>
      </c>
      <c r="CN185" s="17"/>
      <c r="CO185" s="39">
        <v>1200</v>
      </c>
      <c r="CP185" s="40">
        <v>0.9</v>
      </c>
      <c r="CQ185" s="39">
        <f t="shared" si="164"/>
        <v>1080</v>
      </c>
      <c r="CR185" s="92">
        <f t="shared" si="140"/>
        <v>90</v>
      </c>
      <c r="CS185" s="91"/>
      <c r="CT185" s="17"/>
      <c r="CU185" s="39">
        <v>1200</v>
      </c>
      <c r="CV185" s="40">
        <v>0.9</v>
      </c>
      <c r="CW185" s="39">
        <f t="shared" si="165"/>
        <v>1080</v>
      </c>
      <c r="CX185" s="39">
        <v>1200</v>
      </c>
      <c r="CY185" s="40">
        <v>0.9</v>
      </c>
      <c r="CZ185" s="39">
        <f t="shared" si="166"/>
        <v>1080</v>
      </c>
      <c r="DA185" s="168">
        <f t="shared" si="153"/>
        <v>0</v>
      </c>
      <c r="DB185" s="168">
        <f t="shared" si="154"/>
        <v>0</v>
      </c>
      <c r="DC185" s="168">
        <f t="shared" si="155"/>
        <v>90</v>
      </c>
      <c r="DD185" s="91"/>
      <c r="DE185" s="91"/>
      <c r="DF185" s="39">
        <v>1200</v>
      </c>
      <c r="DG185" s="40">
        <v>0.9</v>
      </c>
      <c r="DH185" s="39">
        <f t="shared" si="167"/>
        <v>1080</v>
      </c>
      <c r="DI185" s="168">
        <f t="shared" si="120"/>
        <v>0</v>
      </c>
      <c r="DJ185" s="168">
        <f t="shared" si="121"/>
        <v>0</v>
      </c>
      <c r="DK185" s="168" t="s">
        <v>793</v>
      </c>
      <c r="DL185" s="168"/>
      <c r="DM185" s="168"/>
      <c r="DN185" s="92">
        <f t="shared" si="163"/>
        <v>1080</v>
      </c>
      <c r="DO185" s="152">
        <v>0</v>
      </c>
      <c r="DP185" s="152">
        <v>0</v>
      </c>
      <c r="DQ185" s="152">
        <v>0</v>
      </c>
      <c r="DR185" s="152">
        <v>0</v>
      </c>
      <c r="DS185" s="152">
        <v>0</v>
      </c>
      <c r="DT185" s="152">
        <v>0</v>
      </c>
      <c r="DU185" s="152">
        <v>119.99969999999999</v>
      </c>
      <c r="DV185" s="152">
        <v>260.00010000000003</v>
      </c>
      <c r="DW185" s="152">
        <v>90</v>
      </c>
      <c r="DX185" s="152">
        <v>350.00010000000003</v>
      </c>
      <c r="DY185" s="152">
        <v>0</v>
      </c>
      <c r="DZ185" s="152">
        <v>260.00010000000003</v>
      </c>
    </row>
    <row r="186" spans="1:132" s="50" customFormat="1" ht="16.25" hidden="1" customHeight="1" x14ac:dyDescent="0.35">
      <c r="A186" s="36" t="s">
        <v>657</v>
      </c>
      <c r="B186" s="36" t="s">
        <v>660</v>
      </c>
      <c r="C186" s="36" t="s">
        <v>27</v>
      </c>
      <c r="D186" s="16" t="s">
        <v>794</v>
      </c>
      <c r="E186" s="38" t="s">
        <v>795</v>
      </c>
      <c r="F186" s="38" t="s">
        <v>110</v>
      </c>
      <c r="G186" s="32" t="s">
        <v>101</v>
      </c>
      <c r="H186" s="32"/>
      <c r="I186" s="32"/>
      <c r="J186" s="33"/>
      <c r="K186" s="146" t="s">
        <v>450</v>
      </c>
      <c r="L186" s="36" t="s">
        <v>663</v>
      </c>
      <c r="M186" s="36"/>
      <c r="N186" s="36" t="s">
        <v>357</v>
      </c>
      <c r="O186" s="33"/>
      <c r="P186" s="36" t="s">
        <v>170</v>
      </c>
      <c r="Q186" s="39"/>
      <c r="R186" s="39"/>
      <c r="S186" s="39"/>
      <c r="T186" s="39">
        <v>1000</v>
      </c>
      <c r="V186" s="39">
        <f>CZ186-T186</f>
        <v>2300</v>
      </c>
      <c r="W186" s="39"/>
      <c r="X186" s="39"/>
      <c r="Y186" s="39"/>
      <c r="Z186" s="39"/>
      <c r="AA186" s="39"/>
      <c r="AB186" s="39"/>
      <c r="AC186" s="36"/>
      <c r="AD186" s="39"/>
      <c r="AE186" s="37"/>
      <c r="AF186" s="37"/>
      <c r="AG186" s="37"/>
      <c r="AH186" s="34"/>
      <c r="AI186" s="45"/>
      <c r="AJ186" s="37"/>
      <c r="AK186" s="46"/>
      <c r="AL186" s="47"/>
      <c r="AM186" s="47"/>
      <c r="AN186" s="39"/>
      <c r="AO186" s="45"/>
      <c r="AP186" s="45"/>
      <c r="AQ186" s="45"/>
      <c r="AR186" s="37"/>
      <c r="AS186" s="46"/>
      <c r="AT186" s="37"/>
      <c r="AU186" s="48"/>
      <c r="AV186" s="49"/>
      <c r="AW186" s="49"/>
      <c r="AX186" s="34"/>
      <c r="AY186" s="37"/>
      <c r="AZ186" s="46"/>
      <c r="BA186" s="37"/>
      <c r="BB186" s="39"/>
      <c r="BE186" s="37"/>
      <c r="BF186" s="46"/>
      <c r="BG186" s="37"/>
      <c r="BH186" s="37"/>
      <c r="BI186" s="39"/>
      <c r="BJ186" s="39"/>
      <c r="BM186" s="39"/>
      <c r="BN186" s="40"/>
      <c r="BO186" s="39"/>
      <c r="BP186" s="37"/>
      <c r="BQ186" s="92"/>
      <c r="BR186" s="59"/>
      <c r="BU186" s="39"/>
      <c r="BV186" s="46"/>
      <c r="BW186" s="39"/>
      <c r="BX186" s="118"/>
      <c r="CA186" s="37">
        <v>0</v>
      </c>
      <c r="CB186" s="46">
        <v>0</v>
      </c>
      <c r="CC186" s="39">
        <f t="shared" si="150"/>
        <v>0</v>
      </c>
      <c r="CD186" s="100">
        <v>2000</v>
      </c>
      <c r="CE186" s="92"/>
      <c r="CF186" s="92"/>
      <c r="CI186" s="37">
        <v>4000</v>
      </c>
      <c r="CJ186" s="46">
        <v>0.5</v>
      </c>
      <c r="CK186" s="39">
        <f t="shared" si="149"/>
        <v>2000</v>
      </c>
      <c r="CL186" s="92">
        <f t="shared" si="139"/>
        <v>2000</v>
      </c>
      <c r="CM186" s="50" t="s">
        <v>512</v>
      </c>
      <c r="CN186" s="17"/>
      <c r="CO186" s="37">
        <v>4400</v>
      </c>
      <c r="CP186" s="46">
        <v>0.75</v>
      </c>
      <c r="CQ186" s="39">
        <f t="shared" si="164"/>
        <v>3300</v>
      </c>
      <c r="CR186" s="92">
        <f t="shared" si="140"/>
        <v>1300</v>
      </c>
      <c r="CS186" s="91" t="s">
        <v>796</v>
      </c>
      <c r="CT186" s="17"/>
      <c r="CU186" s="37">
        <v>4400</v>
      </c>
      <c r="CV186" s="46">
        <v>0.75</v>
      </c>
      <c r="CW186" s="39">
        <f t="shared" si="165"/>
        <v>3300</v>
      </c>
      <c r="CX186" s="37">
        <v>4400</v>
      </c>
      <c r="CY186" s="46">
        <v>0.75</v>
      </c>
      <c r="CZ186" s="39">
        <f t="shared" si="166"/>
        <v>3300</v>
      </c>
      <c r="DA186" s="168">
        <f t="shared" si="153"/>
        <v>0</v>
      </c>
      <c r="DB186" s="168">
        <f t="shared" si="154"/>
        <v>0</v>
      </c>
      <c r="DC186" s="168">
        <f t="shared" si="155"/>
        <v>1300</v>
      </c>
      <c r="DD186" s="91"/>
      <c r="DE186" s="91"/>
      <c r="DF186" s="37">
        <v>4400</v>
      </c>
      <c r="DG186" s="46">
        <v>0.75</v>
      </c>
      <c r="DH186" s="39">
        <f t="shared" si="167"/>
        <v>3300</v>
      </c>
      <c r="DI186" s="168">
        <f t="shared" si="120"/>
        <v>0</v>
      </c>
      <c r="DJ186" s="168">
        <f t="shared" si="121"/>
        <v>0</v>
      </c>
      <c r="DK186" s="168"/>
      <c r="DL186" s="168"/>
      <c r="DM186" s="168"/>
      <c r="DN186" s="92">
        <f t="shared" si="163"/>
        <v>3299.9994000000002</v>
      </c>
      <c r="DO186" s="152">
        <v>0</v>
      </c>
      <c r="DP186" s="152">
        <v>0</v>
      </c>
      <c r="DQ186" s="152">
        <v>0</v>
      </c>
      <c r="DR186" s="152">
        <v>0</v>
      </c>
      <c r="DS186" s="152">
        <v>116.46899999999999</v>
      </c>
      <c r="DT186" s="152">
        <v>113.4765</v>
      </c>
      <c r="DU186" s="152">
        <v>388.2294</v>
      </c>
      <c r="DV186" s="152">
        <v>165.7071</v>
      </c>
      <c r="DW186" s="152">
        <v>1281.1554000000001</v>
      </c>
      <c r="DX186" s="152">
        <v>0</v>
      </c>
      <c r="DY186" s="152">
        <v>271.7604</v>
      </c>
      <c r="DZ186" s="152">
        <v>963.20159999999998</v>
      </c>
    </row>
    <row r="187" spans="1:132" s="50" customFormat="1" ht="16.25" hidden="1" customHeight="1" x14ac:dyDescent="0.35">
      <c r="A187" s="36" t="s">
        <v>657</v>
      </c>
      <c r="B187" s="36" t="s">
        <v>660</v>
      </c>
      <c r="C187" s="36" t="s">
        <v>20</v>
      </c>
      <c r="D187" s="16" t="s">
        <v>797</v>
      </c>
      <c r="E187" s="38" t="s">
        <v>798</v>
      </c>
      <c r="F187" s="38" t="s">
        <v>110</v>
      </c>
      <c r="G187" s="32" t="s">
        <v>101</v>
      </c>
      <c r="H187" s="32"/>
      <c r="I187" s="53" t="s">
        <v>799</v>
      </c>
      <c r="J187" s="43" t="s">
        <v>800</v>
      </c>
      <c r="K187" s="68" t="s">
        <v>801</v>
      </c>
      <c r="L187" s="36"/>
      <c r="M187" s="36" t="s">
        <v>720</v>
      </c>
      <c r="N187" s="79" t="s">
        <v>266</v>
      </c>
      <c r="O187" s="33" t="s">
        <v>802</v>
      </c>
      <c r="P187" s="36" t="s">
        <v>111</v>
      </c>
      <c r="Q187" s="39"/>
      <c r="R187" s="39"/>
      <c r="S187" s="39"/>
      <c r="U187" s="59"/>
      <c r="V187" s="39">
        <f>CZ187</f>
        <v>990</v>
      </c>
      <c r="W187" s="39"/>
      <c r="X187" s="39"/>
      <c r="Y187" s="39"/>
      <c r="Z187" s="39"/>
      <c r="AA187" s="39"/>
      <c r="AB187" s="39"/>
      <c r="AC187" s="36"/>
      <c r="AD187" s="39">
        <v>1600</v>
      </c>
      <c r="AE187" s="37"/>
      <c r="AF187" s="37"/>
      <c r="AG187" s="37"/>
      <c r="AH187" s="34"/>
      <c r="AI187" s="45"/>
      <c r="AJ187" s="37">
        <v>0</v>
      </c>
      <c r="AK187" s="46">
        <v>0.9</v>
      </c>
      <c r="AL187" s="47">
        <f>AJ187*AK187</f>
        <v>0</v>
      </c>
      <c r="AM187" s="47"/>
      <c r="AN187" s="39" t="e">
        <f>VLOOKUP(D187,'May FF'!B$2:E$201,2,0)</f>
        <v>#N/A</v>
      </c>
      <c r="AO187" s="45"/>
      <c r="AP187" s="45"/>
      <c r="AQ187" s="45"/>
      <c r="AR187" s="37">
        <v>1400</v>
      </c>
      <c r="AS187" s="46">
        <v>0.75</v>
      </c>
      <c r="AT187" s="37">
        <f>AR187*AS187</f>
        <v>1050</v>
      </c>
      <c r="AU187" s="48"/>
      <c r="AV187" s="49">
        <f>AU187*AS187</f>
        <v>0</v>
      </c>
      <c r="AW187" s="49"/>
      <c r="AX187" s="34"/>
      <c r="AY187" s="37">
        <v>700</v>
      </c>
      <c r="AZ187" s="46">
        <v>0.5</v>
      </c>
      <c r="BA187" s="37">
        <f>AY187*AZ187</f>
        <v>350</v>
      </c>
      <c r="BB187" s="39">
        <f>BA187-AT187</f>
        <v>-700</v>
      </c>
      <c r="BE187" s="37">
        <v>700</v>
      </c>
      <c r="BF187" s="46">
        <v>0.5</v>
      </c>
      <c r="BG187" s="37">
        <f>BE187*BF187</f>
        <v>350</v>
      </c>
      <c r="BH187" s="37"/>
      <c r="BI187" s="39">
        <f>BG187-BA187</f>
        <v>0</v>
      </c>
      <c r="BJ187" s="39"/>
      <c r="BM187" s="37">
        <v>1600</v>
      </c>
      <c r="BN187" s="46">
        <v>0.5</v>
      </c>
      <c r="BO187" s="37">
        <f>BM187*BN187</f>
        <v>800</v>
      </c>
      <c r="BP187" s="37"/>
      <c r="BQ187" s="92">
        <f>BO187-BA187</f>
        <v>450</v>
      </c>
      <c r="BR187" s="34" t="s">
        <v>178</v>
      </c>
      <c r="BS187" s="50" t="s">
        <v>803</v>
      </c>
      <c r="BU187" s="37">
        <v>1600</v>
      </c>
      <c r="BV187" s="46">
        <v>0.5</v>
      </c>
      <c r="BW187" s="39">
        <f>BU187*BV187</f>
        <v>800</v>
      </c>
      <c r="BX187" s="118">
        <f>BW187-BO187</f>
        <v>0</v>
      </c>
      <c r="CA187" s="37">
        <v>2000</v>
      </c>
      <c r="CB187" s="46">
        <v>0.5</v>
      </c>
      <c r="CC187" s="39">
        <f t="shared" si="150"/>
        <v>1000</v>
      </c>
      <c r="CD187" s="100">
        <v>1000</v>
      </c>
      <c r="CE187" s="92">
        <f>CC187-BW187</f>
        <v>200</v>
      </c>
      <c r="CF187" s="92">
        <f>CC187-BO187</f>
        <v>200</v>
      </c>
      <c r="CG187" s="50" t="s">
        <v>804</v>
      </c>
      <c r="CI187" s="37">
        <v>2000</v>
      </c>
      <c r="CJ187" s="46">
        <v>0.5</v>
      </c>
      <c r="CK187" s="39">
        <f t="shared" si="149"/>
        <v>1000</v>
      </c>
      <c r="CL187" s="92">
        <f t="shared" si="139"/>
        <v>0</v>
      </c>
      <c r="CN187" s="17"/>
      <c r="CO187" s="37">
        <v>2000</v>
      </c>
      <c r="CP187" s="46">
        <v>0.5</v>
      </c>
      <c r="CQ187" s="39">
        <f t="shared" si="164"/>
        <v>1000</v>
      </c>
      <c r="CR187" s="92">
        <f t="shared" si="140"/>
        <v>0</v>
      </c>
      <c r="CS187" s="91" t="s">
        <v>805</v>
      </c>
      <c r="CT187" s="17"/>
      <c r="CU187" s="37">
        <v>1100</v>
      </c>
      <c r="CV187" s="46">
        <v>0.9</v>
      </c>
      <c r="CW187" s="39">
        <f t="shared" si="165"/>
        <v>990</v>
      </c>
      <c r="CX187" s="37">
        <v>1100</v>
      </c>
      <c r="CY187" s="46">
        <v>0.9</v>
      </c>
      <c r="CZ187" s="39">
        <f t="shared" si="166"/>
        <v>990</v>
      </c>
      <c r="DA187" s="168">
        <f t="shared" si="153"/>
        <v>-10</v>
      </c>
      <c r="DB187" s="168">
        <f t="shared" si="154"/>
        <v>0</v>
      </c>
      <c r="DC187" s="168">
        <f t="shared" si="155"/>
        <v>-10</v>
      </c>
      <c r="DD187" s="198"/>
      <c r="DE187" s="198"/>
      <c r="DF187" s="37">
        <v>1100</v>
      </c>
      <c r="DG187" s="46">
        <v>0.9</v>
      </c>
      <c r="DH187" s="39">
        <f t="shared" si="167"/>
        <v>990</v>
      </c>
      <c r="DI187" s="168">
        <f t="shared" si="120"/>
        <v>0</v>
      </c>
      <c r="DJ187" s="168">
        <f t="shared" si="121"/>
        <v>0</v>
      </c>
      <c r="DK187" s="168"/>
      <c r="DL187" s="168"/>
      <c r="DM187" s="168"/>
      <c r="DN187" s="92">
        <f t="shared" si="163"/>
        <v>999.99920000000009</v>
      </c>
      <c r="DO187" s="152">
        <v>0</v>
      </c>
      <c r="DP187" s="152">
        <v>0</v>
      </c>
      <c r="DQ187" s="152">
        <v>0</v>
      </c>
      <c r="DR187" s="152">
        <v>0</v>
      </c>
      <c r="DS187" s="152">
        <v>0</v>
      </c>
      <c r="DT187" s="152">
        <v>199.99980000000002</v>
      </c>
      <c r="DU187" s="152">
        <v>199.99980000000002</v>
      </c>
      <c r="DV187" s="152">
        <v>0</v>
      </c>
      <c r="DW187" s="152">
        <v>0</v>
      </c>
      <c r="DX187" s="152">
        <v>399.99960000000004</v>
      </c>
      <c r="DY187" s="152">
        <v>0</v>
      </c>
      <c r="DZ187" s="152">
        <v>200</v>
      </c>
      <c r="EB187" s="59"/>
    </row>
    <row r="188" spans="1:132" s="50" customFormat="1" ht="16.25" hidden="1" customHeight="1" x14ac:dyDescent="0.35">
      <c r="A188" s="36" t="s">
        <v>657</v>
      </c>
      <c r="B188" s="36" t="s">
        <v>660</v>
      </c>
      <c r="C188" s="36" t="s">
        <v>172</v>
      </c>
      <c r="D188" s="16" t="s">
        <v>830</v>
      </c>
      <c r="E188" s="38" t="s">
        <v>188</v>
      </c>
      <c r="F188" s="38" t="s">
        <v>175</v>
      </c>
      <c r="G188" s="32" t="s">
        <v>101</v>
      </c>
      <c r="H188" s="32"/>
      <c r="I188" s="36"/>
      <c r="J188" s="43"/>
      <c r="K188" s="36"/>
      <c r="L188" s="36"/>
      <c r="M188" s="36"/>
      <c r="N188" s="36"/>
      <c r="O188" s="33"/>
      <c r="P188" s="36" t="s">
        <v>189</v>
      </c>
      <c r="Q188" s="129">
        <f t="shared" ref="Q188:Q193" si="168">CZ188</f>
        <v>323.87247687900003</v>
      </c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6"/>
      <c r="AD188" s="39"/>
      <c r="AE188" s="37"/>
      <c r="AF188" s="37"/>
      <c r="AG188" s="37"/>
      <c r="AH188" s="34"/>
      <c r="AI188" s="45"/>
      <c r="AJ188" s="37"/>
      <c r="AK188" s="46"/>
      <c r="AL188" s="47"/>
      <c r="AM188" s="47"/>
      <c r="AN188" s="45"/>
      <c r="AO188" s="45"/>
      <c r="AP188" s="45"/>
      <c r="AQ188" s="45"/>
      <c r="AR188" s="37"/>
      <c r="AS188" s="46"/>
      <c r="AT188" s="37"/>
      <c r="AU188" s="48"/>
      <c r="AV188" s="49"/>
      <c r="AW188" s="48"/>
      <c r="AY188" s="37"/>
      <c r="AZ188" s="46"/>
      <c r="BA188" s="37"/>
      <c r="BB188" s="39"/>
      <c r="BE188" s="37"/>
      <c r="BF188" s="46"/>
      <c r="BG188" s="37"/>
      <c r="BH188" s="37"/>
      <c r="BI188" s="39"/>
      <c r="BJ188" s="39"/>
      <c r="BM188" s="37"/>
      <c r="BN188" s="46"/>
      <c r="BO188" s="37"/>
      <c r="BP188" s="37"/>
      <c r="BQ188" s="92"/>
      <c r="BR188" s="59"/>
      <c r="BU188" s="37"/>
      <c r="BV188" s="46"/>
      <c r="BW188" s="37"/>
      <c r="BX188" s="118">
        <f>BW188-BO188</f>
        <v>0</v>
      </c>
      <c r="CA188" s="37">
        <v>336.61700000000002</v>
      </c>
      <c r="CB188" s="46">
        <v>1</v>
      </c>
      <c r="CC188" s="37">
        <f t="shared" si="150"/>
        <v>336.61700000000002</v>
      </c>
      <c r="CD188" s="102">
        <v>336.61700000000002</v>
      </c>
      <c r="CE188" s="92">
        <f>CC188-BW188</f>
        <v>336.61700000000002</v>
      </c>
      <c r="CF188" s="92">
        <f>CC188-BO188</f>
        <v>336.61700000000002</v>
      </c>
      <c r="CG188" s="80"/>
      <c r="CI188" s="37">
        <v>336.61700000000002</v>
      </c>
      <c r="CJ188" s="46">
        <v>1</v>
      </c>
      <c r="CK188" s="37">
        <f t="shared" si="149"/>
        <v>336.61700000000002</v>
      </c>
      <c r="CL188" s="92">
        <f t="shared" si="139"/>
        <v>0</v>
      </c>
      <c r="CM188" s="80"/>
      <c r="CN188" s="17"/>
      <c r="CO188" s="37">
        <v>367.92899999999997</v>
      </c>
      <c r="CP188" s="46">
        <v>1</v>
      </c>
      <c r="CQ188" s="37">
        <f t="shared" si="164"/>
        <v>367.92899999999997</v>
      </c>
      <c r="CR188" s="92">
        <f t="shared" si="140"/>
        <v>31.311999999999955</v>
      </c>
      <c r="CS188" s="91"/>
      <c r="CT188" s="17"/>
      <c r="CU188" s="37">
        <v>367.92899999999997</v>
      </c>
      <c r="CV188" s="46">
        <v>1</v>
      </c>
      <c r="CW188" s="37">
        <f t="shared" si="165"/>
        <v>367.92899999999997</v>
      </c>
      <c r="CX188" s="37">
        <v>323.87247687900003</v>
      </c>
      <c r="CY188" s="46">
        <v>1</v>
      </c>
      <c r="CZ188" s="37">
        <f t="shared" si="166"/>
        <v>323.87247687900003</v>
      </c>
      <c r="DA188" s="168">
        <f t="shared" si="153"/>
        <v>-44.056523120999941</v>
      </c>
      <c r="DB188" s="168">
        <f t="shared" si="154"/>
        <v>-44.056523120999941</v>
      </c>
      <c r="DC188" s="168">
        <f t="shared" si="155"/>
        <v>-12.744523120999986</v>
      </c>
      <c r="DD188" s="91"/>
      <c r="DE188" s="91"/>
      <c r="DF188" s="37">
        <v>323.87247687900003</v>
      </c>
      <c r="DG188" s="46">
        <v>1</v>
      </c>
      <c r="DH188" s="37">
        <f t="shared" si="167"/>
        <v>323.87247687900003</v>
      </c>
      <c r="DI188" s="168">
        <f t="shared" si="120"/>
        <v>0</v>
      </c>
      <c r="DJ188" s="168">
        <f t="shared" si="121"/>
        <v>-44.056523120999941</v>
      </c>
      <c r="DK188" s="168"/>
      <c r="DL188" s="168"/>
      <c r="DM188" s="168"/>
      <c r="DN188" s="92">
        <f t="shared" si="163"/>
        <v>323.86700000000002</v>
      </c>
      <c r="DO188" s="152">
        <v>13.548</v>
      </c>
      <c r="DP188" s="152">
        <v>50.067</v>
      </c>
      <c r="DQ188" s="152">
        <v>19.501999999999999</v>
      </c>
      <c r="DR188" s="152">
        <v>25.116</v>
      </c>
      <c r="DS188" s="152">
        <v>62.161999999999999</v>
      </c>
      <c r="DT188" s="152">
        <v>19.268999999999998</v>
      </c>
      <c r="DU188" s="152">
        <v>123.506</v>
      </c>
      <c r="DV188" s="152">
        <v>0</v>
      </c>
      <c r="DW188" s="152">
        <v>0</v>
      </c>
      <c r="DX188" s="152">
        <v>0</v>
      </c>
      <c r="DY188" s="152">
        <v>0</v>
      </c>
      <c r="DZ188" s="152">
        <v>10.696999999999999</v>
      </c>
    </row>
    <row r="189" spans="1:132" s="50" customFormat="1" ht="16.25" hidden="1" customHeight="1" x14ac:dyDescent="0.35">
      <c r="A189" s="36" t="s">
        <v>657</v>
      </c>
      <c r="B189" s="36" t="s">
        <v>660</v>
      </c>
      <c r="C189" s="36" t="s">
        <v>172</v>
      </c>
      <c r="D189" s="16" t="s">
        <v>831</v>
      </c>
      <c r="E189" s="38" t="s">
        <v>832</v>
      </c>
      <c r="F189" s="38" t="s">
        <v>175</v>
      </c>
      <c r="G189" s="32" t="s">
        <v>101</v>
      </c>
      <c r="H189" s="32"/>
      <c r="I189" s="36"/>
      <c r="J189" s="43"/>
      <c r="K189" s="36"/>
      <c r="L189" s="36"/>
      <c r="M189" s="36"/>
      <c r="N189" s="36"/>
      <c r="O189" s="33"/>
      <c r="P189" s="36" t="s">
        <v>189</v>
      </c>
      <c r="Q189" s="129">
        <f t="shared" si="168"/>
        <v>189.209</v>
      </c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6"/>
      <c r="AD189" s="39"/>
      <c r="AE189" s="37"/>
      <c r="AF189" s="37"/>
      <c r="AG189" s="37"/>
      <c r="AH189" s="34"/>
      <c r="AI189" s="45"/>
      <c r="AJ189" s="37"/>
      <c r="AK189" s="46"/>
      <c r="AL189" s="47"/>
      <c r="AM189" s="47"/>
      <c r="AN189" s="45"/>
      <c r="AO189" s="45"/>
      <c r="AP189" s="45"/>
      <c r="AQ189" s="45"/>
      <c r="AR189" s="37"/>
      <c r="AS189" s="46"/>
      <c r="AT189" s="37"/>
      <c r="AU189" s="48"/>
      <c r="AV189" s="49"/>
      <c r="AW189" s="48"/>
      <c r="AY189" s="37"/>
      <c r="AZ189" s="46"/>
      <c r="BA189" s="37"/>
      <c r="BB189" s="39"/>
      <c r="BE189" s="37"/>
      <c r="BF189" s="46"/>
      <c r="BG189" s="37"/>
      <c r="BH189" s="37"/>
      <c r="BI189" s="39"/>
      <c r="BJ189" s="39"/>
      <c r="BM189" s="37"/>
      <c r="BN189" s="46"/>
      <c r="BO189" s="37"/>
      <c r="BP189" s="37"/>
      <c r="BQ189" s="92"/>
      <c r="BR189" s="59"/>
      <c r="BU189" s="37"/>
      <c r="BV189" s="46"/>
      <c r="BW189" s="37"/>
      <c r="BX189" s="118">
        <f>BW189-BO189</f>
        <v>0</v>
      </c>
      <c r="CA189" s="37">
        <v>227.13300000000001</v>
      </c>
      <c r="CB189" s="46">
        <v>1</v>
      </c>
      <c r="CC189" s="37">
        <f t="shared" si="150"/>
        <v>227.13300000000001</v>
      </c>
      <c r="CD189" s="102">
        <v>227.13300000000001</v>
      </c>
      <c r="CE189" s="92">
        <f>CC189-BW189</f>
        <v>227.13300000000001</v>
      </c>
      <c r="CF189" s="92">
        <f>CC189-BO189</f>
        <v>227.13300000000001</v>
      </c>
      <c r="CG189" s="80"/>
      <c r="CI189" s="37">
        <v>227.13300000000001</v>
      </c>
      <c r="CJ189" s="46">
        <v>1</v>
      </c>
      <c r="CK189" s="37">
        <f t="shared" si="149"/>
        <v>227.13300000000001</v>
      </c>
      <c r="CL189" s="92">
        <f t="shared" si="139"/>
        <v>0</v>
      </c>
      <c r="CM189" s="80"/>
      <c r="CN189" s="17"/>
      <c r="CO189" s="37">
        <v>189.209</v>
      </c>
      <c r="CP189" s="46">
        <v>1</v>
      </c>
      <c r="CQ189" s="37">
        <f t="shared" si="164"/>
        <v>189.209</v>
      </c>
      <c r="CR189" s="92">
        <f t="shared" si="140"/>
        <v>-37.924000000000007</v>
      </c>
      <c r="CS189" s="91"/>
      <c r="CT189" s="17"/>
      <c r="CU189" s="37">
        <v>189.209</v>
      </c>
      <c r="CV189" s="46">
        <v>1</v>
      </c>
      <c r="CW189" s="37">
        <f t="shared" si="165"/>
        <v>189.209</v>
      </c>
      <c r="CX189" s="37">
        <v>189.209</v>
      </c>
      <c r="CY189" s="46">
        <v>1</v>
      </c>
      <c r="CZ189" s="37">
        <f t="shared" si="166"/>
        <v>189.209</v>
      </c>
      <c r="DA189" s="168">
        <f t="shared" si="153"/>
        <v>0</v>
      </c>
      <c r="DB189" s="168">
        <f t="shared" si="154"/>
        <v>0</v>
      </c>
      <c r="DC189" s="168">
        <f t="shared" si="155"/>
        <v>-37.924000000000007</v>
      </c>
      <c r="DD189" s="91"/>
      <c r="DE189" s="91"/>
      <c r="DF189" s="37">
        <v>189.209</v>
      </c>
      <c r="DG189" s="46">
        <v>1</v>
      </c>
      <c r="DH189" s="37">
        <f t="shared" si="167"/>
        <v>189.209</v>
      </c>
      <c r="DI189" s="168">
        <f t="shared" si="120"/>
        <v>0</v>
      </c>
      <c r="DJ189" s="168">
        <f t="shared" si="121"/>
        <v>0</v>
      </c>
      <c r="DK189" s="168"/>
      <c r="DL189" s="168"/>
      <c r="DM189" s="168"/>
      <c r="DN189" s="92">
        <f t="shared" si="163"/>
        <v>189.08500000000001</v>
      </c>
      <c r="DO189" s="152">
        <v>16.23</v>
      </c>
      <c r="DP189" s="152">
        <v>6.7949999999999999</v>
      </c>
      <c r="DQ189" s="152">
        <v>0</v>
      </c>
      <c r="DR189" s="152">
        <v>0</v>
      </c>
      <c r="DS189" s="152">
        <v>8.0069999999999997</v>
      </c>
      <c r="DT189" s="152">
        <v>100.739</v>
      </c>
      <c r="DU189" s="152">
        <v>57.314</v>
      </c>
      <c r="DV189" s="152">
        <v>0</v>
      </c>
      <c r="DW189" s="152">
        <v>0</v>
      </c>
      <c r="DX189" s="152">
        <v>0</v>
      </c>
      <c r="DY189" s="152">
        <v>0</v>
      </c>
      <c r="DZ189" s="152">
        <v>0</v>
      </c>
    </row>
    <row r="190" spans="1:132" s="50" customFormat="1" ht="16.25" hidden="1" customHeight="1" x14ac:dyDescent="0.35">
      <c r="A190" s="36" t="s">
        <v>657</v>
      </c>
      <c r="B190" s="36" t="s">
        <v>660</v>
      </c>
      <c r="C190" s="36" t="s">
        <v>172</v>
      </c>
      <c r="D190" s="16" t="s">
        <v>833</v>
      </c>
      <c r="E190" s="38" t="s">
        <v>834</v>
      </c>
      <c r="F190" s="38" t="s">
        <v>175</v>
      </c>
      <c r="G190" s="32" t="s">
        <v>101</v>
      </c>
      <c r="H190" s="32"/>
      <c r="I190" s="36"/>
      <c r="J190" s="43"/>
      <c r="K190" s="36"/>
      <c r="L190" s="36"/>
      <c r="M190" s="36"/>
      <c r="N190" s="36"/>
      <c r="O190" s="33"/>
      <c r="P190" s="36" t="s">
        <v>189</v>
      </c>
      <c r="Q190" s="129">
        <f t="shared" si="168"/>
        <v>7.0000000000000001E-3</v>
      </c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6"/>
      <c r="AD190" s="39"/>
      <c r="AE190" s="37"/>
      <c r="AF190" s="37"/>
      <c r="AG190" s="37"/>
      <c r="AH190" s="34"/>
      <c r="AI190" s="45"/>
      <c r="AJ190" s="37"/>
      <c r="AK190" s="46"/>
      <c r="AL190" s="47"/>
      <c r="AM190" s="47"/>
      <c r="AN190" s="45"/>
      <c r="AO190" s="45"/>
      <c r="AP190" s="45"/>
      <c r="AQ190" s="45"/>
      <c r="AR190" s="37"/>
      <c r="AS190" s="46"/>
      <c r="AT190" s="37"/>
      <c r="AU190" s="48"/>
      <c r="AV190" s="49"/>
      <c r="AW190" s="48"/>
      <c r="AY190" s="37"/>
      <c r="AZ190" s="46"/>
      <c r="BA190" s="37"/>
      <c r="BB190" s="39"/>
      <c r="BE190" s="37"/>
      <c r="BF190" s="46"/>
      <c r="BG190" s="37"/>
      <c r="BH190" s="37"/>
      <c r="BI190" s="39"/>
      <c r="BJ190" s="39"/>
      <c r="BM190" s="37"/>
      <c r="BN190" s="46"/>
      <c r="BO190" s="37"/>
      <c r="BP190" s="37"/>
      <c r="BQ190" s="92"/>
      <c r="BR190" s="59"/>
      <c r="BU190" s="37"/>
      <c r="BV190" s="46"/>
      <c r="BW190" s="37"/>
      <c r="BX190" s="118"/>
      <c r="CA190" s="37"/>
      <c r="CB190" s="46"/>
      <c r="CC190" s="37"/>
      <c r="CD190" s="102"/>
      <c r="CE190" s="92"/>
      <c r="CF190" s="92"/>
      <c r="CG190" s="80"/>
      <c r="CI190" s="37">
        <v>7.0000000000000001E-3</v>
      </c>
      <c r="CJ190" s="46">
        <v>1</v>
      </c>
      <c r="CK190" s="37">
        <f t="shared" si="149"/>
        <v>7.0000000000000001E-3</v>
      </c>
      <c r="CL190" s="92">
        <f t="shared" ref="CL190:CL196" si="169">CK190-CC190</f>
        <v>7.0000000000000001E-3</v>
      </c>
      <c r="CM190" s="80"/>
      <c r="CN190" s="17"/>
      <c r="CO190" s="37">
        <v>7.0000000000000001E-3</v>
      </c>
      <c r="CP190" s="46">
        <v>1</v>
      </c>
      <c r="CQ190" s="37">
        <f t="shared" si="164"/>
        <v>7.0000000000000001E-3</v>
      </c>
      <c r="CR190" s="92">
        <f t="shared" ref="CR190:CR196" si="170">CQ190-CK190</f>
        <v>0</v>
      </c>
      <c r="CS190" s="91"/>
      <c r="CT190" s="17"/>
      <c r="CU190" s="37">
        <v>7.0000000000000001E-3</v>
      </c>
      <c r="CV190" s="46">
        <v>1</v>
      </c>
      <c r="CW190" s="37">
        <f t="shared" si="165"/>
        <v>7.0000000000000001E-3</v>
      </c>
      <c r="CX190" s="37">
        <v>7.0000000000000001E-3</v>
      </c>
      <c r="CY190" s="46">
        <v>1</v>
      </c>
      <c r="CZ190" s="37">
        <f t="shared" si="166"/>
        <v>7.0000000000000001E-3</v>
      </c>
      <c r="DA190" s="168">
        <f t="shared" si="153"/>
        <v>0</v>
      </c>
      <c r="DB190" s="168">
        <f t="shared" si="154"/>
        <v>0</v>
      </c>
      <c r="DC190" s="168">
        <f t="shared" si="155"/>
        <v>0</v>
      </c>
      <c r="DD190" s="91"/>
      <c r="DE190" s="91"/>
      <c r="DF190" s="37">
        <v>7.0000000000000001E-3</v>
      </c>
      <c r="DG190" s="46">
        <v>1</v>
      </c>
      <c r="DH190" s="37">
        <f t="shared" si="167"/>
        <v>7.0000000000000001E-3</v>
      </c>
      <c r="DI190" s="168">
        <f t="shared" si="120"/>
        <v>0</v>
      </c>
      <c r="DJ190" s="168">
        <f t="shared" si="121"/>
        <v>0</v>
      </c>
      <c r="DK190" s="168"/>
      <c r="DL190" s="168"/>
      <c r="DM190" s="168"/>
      <c r="DN190" s="92">
        <f t="shared" si="163"/>
        <v>7.0000000000000001E-3</v>
      </c>
      <c r="DO190" s="152">
        <v>7.0000000000000001E-3</v>
      </c>
      <c r="DP190" s="152">
        <v>0</v>
      </c>
      <c r="DQ190" s="152">
        <v>0</v>
      </c>
      <c r="DR190" s="152">
        <v>0</v>
      </c>
      <c r="DS190" s="152">
        <v>0</v>
      </c>
      <c r="DT190" s="152">
        <v>0</v>
      </c>
      <c r="DU190" s="152">
        <v>0</v>
      </c>
      <c r="DV190" s="152">
        <v>0</v>
      </c>
      <c r="DW190" s="152">
        <v>0</v>
      </c>
      <c r="DX190" s="152">
        <v>0</v>
      </c>
      <c r="DY190" s="152">
        <v>0</v>
      </c>
      <c r="DZ190" s="152">
        <v>0</v>
      </c>
    </row>
    <row r="191" spans="1:132" s="50" customFormat="1" ht="16.25" hidden="1" customHeight="1" x14ac:dyDescent="0.35">
      <c r="A191" s="36" t="s">
        <v>657</v>
      </c>
      <c r="B191" s="36" t="s">
        <v>660</v>
      </c>
      <c r="C191" s="36" t="s">
        <v>172</v>
      </c>
      <c r="D191" s="16" t="s">
        <v>835</v>
      </c>
      <c r="E191" s="38" t="s">
        <v>446</v>
      </c>
      <c r="F191" s="38" t="s">
        <v>213</v>
      </c>
      <c r="G191" s="32" t="s">
        <v>101</v>
      </c>
      <c r="H191" s="32"/>
      <c r="I191" s="36"/>
      <c r="J191" s="43"/>
      <c r="K191" s="36"/>
      <c r="L191" s="36"/>
      <c r="M191" s="36"/>
      <c r="N191" s="36"/>
      <c r="O191" s="33"/>
      <c r="P191" s="36" t="s">
        <v>189</v>
      </c>
      <c r="Q191" s="129">
        <f t="shared" si="168"/>
        <v>304.21500000000003</v>
      </c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6"/>
      <c r="AD191" s="39"/>
      <c r="AE191" s="37"/>
      <c r="AF191" s="37"/>
      <c r="AG191" s="37"/>
      <c r="AH191" s="34"/>
      <c r="AI191" s="45"/>
      <c r="AJ191" s="37"/>
      <c r="AK191" s="46"/>
      <c r="AL191" s="47"/>
      <c r="AM191" s="47"/>
      <c r="AN191" s="45"/>
      <c r="AO191" s="45"/>
      <c r="AP191" s="45"/>
      <c r="AQ191" s="45"/>
      <c r="AR191" s="37"/>
      <c r="AS191" s="46"/>
      <c r="AT191" s="37"/>
      <c r="AU191" s="48"/>
      <c r="AV191" s="49"/>
      <c r="AW191" s="48"/>
      <c r="AY191" s="37"/>
      <c r="AZ191" s="46"/>
      <c r="BA191" s="37"/>
      <c r="BB191" s="39"/>
      <c r="BE191" s="37"/>
      <c r="BF191" s="46"/>
      <c r="BG191" s="37"/>
      <c r="BH191" s="37"/>
      <c r="BI191" s="39"/>
      <c r="BJ191" s="39"/>
      <c r="BM191" s="37"/>
      <c r="BN191" s="46"/>
      <c r="BO191" s="37">
        <f>BM191*BN191</f>
        <v>0</v>
      </c>
      <c r="BP191" s="37"/>
      <c r="BQ191" s="92"/>
      <c r="BR191" s="59"/>
      <c r="BU191" s="37">
        <v>0</v>
      </c>
      <c r="BV191" s="46">
        <v>0.9</v>
      </c>
      <c r="BW191" s="37">
        <f>BU191*BV191</f>
        <v>0</v>
      </c>
      <c r="BX191" s="118">
        <f>BW191-BO191</f>
        <v>0</v>
      </c>
      <c r="CA191" s="37">
        <v>321.77800000000002</v>
      </c>
      <c r="CB191" s="46">
        <v>0.9</v>
      </c>
      <c r="CC191" s="37">
        <f t="shared" ref="CC191:CC196" si="171">CA191*CB191</f>
        <v>289.60020000000003</v>
      </c>
      <c r="CD191" s="102">
        <v>289.60020000000003</v>
      </c>
      <c r="CE191" s="92">
        <f t="shared" ref="CE191:CE196" si="172">CC191-BW191</f>
        <v>289.60020000000003</v>
      </c>
      <c r="CF191" s="92">
        <f t="shared" ref="CF191:CF196" si="173">CC191-BO191</f>
        <v>289.60020000000003</v>
      </c>
      <c r="CI191" s="37">
        <v>321.77800000000002</v>
      </c>
      <c r="CJ191" s="46">
        <v>0.9</v>
      </c>
      <c r="CK191" s="37">
        <f t="shared" si="149"/>
        <v>289.60020000000003</v>
      </c>
      <c r="CL191" s="92">
        <f t="shared" si="169"/>
        <v>0</v>
      </c>
      <c r="CN191" s="17"/>
      <c r="CO191" s="37">
        <v>304.21500000000003</v>
      </c>
      <c r="CP191" s="46">
        <v>1</v>
      </c>
      <c r="CQ191" s="37">
        <f t="shared" si="164"/>
        <v>304.21500000000003</v>
      </c>
      <c r="CR191" s="92">
        <f t="shared" si="170"/>
        <v>14.614800000000002</v>
      </c>
      <c r="CS191" s="91"/>
      <c r="CT191" s="17"/>
      <c r="CU191" s="37">
        <v>304.21500000000003</v>
      </c>
      <c r="CV191" s="46">
        <v>1</v>
      </c>
      <c r="CW191" s="37">
        <f t="shared" si="165"/>
        <v>304.21500000000003</v>
      </c>
      <c r="CX191" s="37">
        <v>304.21500000000003</v>
      </c>
      <c r="CY191" s="46">
        <v>1</v>
      </c>
      <c r="CZ191" s="37">
        <f t="shared" si="166"/>
        <v>304.21500000000003</v>
      </c>
      <c r="DA191" s="168">
        <f t="shared" si="153"/>
        <v>0</v>
      </c>
      <c r="DB191" s="168">
        <f t="shared" si="154"/>
        <v>0</v>
      </c>
      <c r="DC191" s="168">
        <f t="shared" si="155"/>
        <v>14.614800000000002</v>
      </c>
      <c r="DD191" s="91"/>
      <c r="DE191" s="91"/>
      <c r="DF191" s="37">
        <v>304.21500000000003</v>
      </c>
      <c r="DG191" s="46">
        <v>1</v>
      </c>
      <c r="DH191" s="37">
        <f t="shared" si="167"/>
        <v>304.21500000000003</v>
      </c>
      <c r="DI191" s="168">
        <f t="shared" si="120"/>
        <v>0</v>
      </c>
      <c r="DJ191" s="168">
        <f t="shared" si="121"/>
        <v>0</v>
      </c>
      <c r="DK191" s="168"/>
      <c r="DL191" s="168"/>
      <c r="DM191" s="168"/>
      <c r="DN191" s="92">
        <f t="shared" si="163"/>
        <v>304.02600000000001</v>
      </c>
      <c r="DO191" s="152">
        <v>0</v>
      </c>
      <c r="DP191" s="152">
        <v>17.207999999999998</v>
      </c>
      <c r="DQ191" s="152">
        <v>30.08</v>
      </c>
      <c r="DR191" s="152">
        <v>4.734</v>
      </c>
      <c r="DS191" s="152">
        <v>27.422000000000001</v>
      </c>
      <c r="DT191" s="152">
        <v>2.367</v>
      </c>
      <c r="DU191" s="152">
        <v>138.10900000000001</v>
      </c>
      <c r="DV191" s="152">
        <v>0</v>
      </c>
      <c r="DW191" s="152">
        <v>75.751999999999995</v>
      </c>
      <c r="DX191" s="152">
        <v>0</v>
      </c>
      <c r="DY191" s="152">
        <v>0</v>
      </c>
      <c r="DZ191" s="152">
        <v>8.3539999999999992</v>
      </c>
    </row>
    <row r="192" spans="1:132" s="50" customFormat="1" ht="16.25" hidden="1" customHeight="1" x14ac:dyDescent="0.35">
      <c r="A192" s="36" t="s">
        <v>657</v>
      </c>
      <c r="B192" s="36" t="s">
        <v>660</v>
      </c>
      <c r="C192" s="36" t="s">
        <v>172</v>
      </c>
      <c r="D192" s="16" t="s">
        <v>836</v>
      </c>
      <c r="E192" s="38" t="s">
        <v>837</v>
      </c>
      <c r="F192" s="38" t="s">
        <v>213</v>
      </c>
      <c r="G192" s="32" t="s">
        <v>101</v>
      </c>
      <c r="H192" s="32"/>
      <c r="I192" s="36"/>
      <c r="J192" s="43"/>
      <c r="K192" s="36"/>
      <c r="L192" s="36"/>
      <c r="M192" s="36"/>
      <c r="N192" s="36"/>
      <c r="O192" s="33"/>
      <c r="P192" s="36" t="s">
        <v>189</v>
      </c>
      <c r="Q192" s="129">
        <f t="shared" si="168"/>
        <v>172.04599999999999</v>
      </c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6"/>
      <c r="AD192" s="39"/>
      <c r="AE192" s="37"/>
      <c r="AF192" s="37"/>
      <c r="AG192" s="37"/>
      <c r="AH192" s="34"/>
      <c r="AI192" s="45"/>
      <c r="AJ192" s="37"/>
      <c r="AK192" s="46"/>
      <c r="AL192" s="47"/>
      <c r="AM192" s="47"/>
      <c r="AN192" s="45"/>
      <c r="AO192" s="45"/>
      <c r="AP192" s="45"/>
      <c r="AQ192" s="45"/>
      <c r="AR192" s="37"/>
      <c r="AS192" s="46"/>
      <c r="AT192" s="37"/>
      <c r="AU192" s="48"/>
      <c r="AV192" s="49"/>
      <c r="AW192" s="48"/>
      <c r="AY192" s="37"/>
      <c r="AZ192" s="46"/>
      <c r="BA192" s="37"/>
      <c r="BB192" s="39"/>
      <c r="BE192" s="37"/>
      <c r="BF192" s="46"/>
      <c r="BG192" s="37"/>
      <c r="BH192" s="37"/>
      <c r="BI192" s="39"/>
      <c r="BJ192" s="39"/>
      <c r="BM192" s="37"/>
      <c r="BN192" s="46"/>
      <c r="BO192" s="37">
        <f>BM192*BN192</f>
        <v>0</v>
      </c>
      <c r="BP192" s="37"/>
      <c r="BQ192" s="92"/>
      <c r="BR192" s="59"/>
      <c r="BU192" s="37">
        <v>0</v>
      </c>
      <c r="BV192" s="46">
        <v>1</v>
      </c>
      <c r="BW192" s="37">
        <f>BU192*BV192</f>
        <v>0</v>
      </c>
      <c r="BX192" s="118">
        <f>BW192-BO192</f>
        <v>0</v>
      </c>
      <c r="CA192" s="37">
        <v>172.10300000000001</v>
      </c>
      <c r="CB192" s="46">
        <v>1</v>
      </c>
      <c r="CC192" s="37">
        <f t="shared" si="171"/>
        <v>172.10300000000001</v>
      </c>
      <c r="CD192" s="102">
        <v>172.10300000000001</v>
      </c>
      <c r="CE192" s="92">
        <f t="shared" si="172"/>
        <v>172.10300000000001</v>
      </c>
      <c r="CF192" s="92">
        <f t="shared" si="173"/>
        <v>172.10300000000001</v>
      </c>
      <c r="CI192" s="37">
        <v>172.10300000000001</v>
      </c>
      <c r="CJ192" s="46">
        <v>1</v>
      </c>
      <c r="CK192" s="37">
        <f t="shared" si="149"/>
        <v>172.10300000000001</v>
      </c>
      <c r="CL192" s="92">
        <f t="shared" si="169"/>
        <v>0</v>
      </c>
      <c r="CN192" s="17"/>
      <c r="CO192" s="37">
        <v>172.04599999999999</v>
      </c>
      <c r="CP192" s="46">
        <v>1</v>
      </c>
      <c r="CQ192" s="37">
        <f t="shared" si="164"/>
        <v>172.04599999999999</v>
      </c>
      <c r="CR192" s="92">
        <f t="shared" si="170"/>
        <v>-5.7000000000016371E-2</v>
      </c>
      <c r="CS192" s="91"/>
      <c r="CT192" s="17"/>
      <c r="CU192" s="37">
        <v>172.04599999999999</v>
      </c>
      <c r="CV192" s="46">
        <v>1</v>
      </c>
      <c r="CW192" s="37">
        <f t="shared" si="165"/>
        <v>172.04599999999999</v>
      </c>
      <c r="CX192" s="37">
        <v>172.04599999999999</v>
      </c>
      <c r="CY192" s="46">
        <v>1</v>
      </c>
      <c r="CZ192" s="37">
        <f t="shared" si="166"/>
        <v>172.04599999999999</v>
      </c>
      <c r="DA192" s="168">
        <f t="shared" si="153"/>
        <v>0</v>
      </c>
      <c r="DB192" s="168">
        <f t="shared" si="154"/>
        <v>0</v>
      </c>
      <c r="DC192" s="168">
        <f t="shared" si="155"/>
        <v>-5.7000000000016371E-2</v>
      </c>
      <c r="DD192" s="91"/>
      <c r="DE192" s="91"/>
      <c r="DF192" s="37">
        <v>172.04599999999999</v>
      </c>
      <c r="DG192" s="46">
        <v>1</v>
      </c>
      <c r="DH192" s="37">
        <f t="shared" si="167"/>
        <v>172.04599999999999</v>
      </c>
      <c r="DI192" s="168">
        <f t="shared" si="120"/>
        <v>0</v>
      </c>
      <c r="DJ192" s="168">
        <f t="shared" si="121"/>
        <v>0</v>
      </c>
      <c r="DK192" s="168"/>
      <c r="DL192" s="168"/>
      <c r="DM192" s="168"/>
      <c r="DN192" s="92">
        <f t="shared" si="163"/>
        <v>172.04599999999999</v>
      </c>
      <c r="DO192" s="152">
        <v>172.04599999999999</v>
      </c>
      <c r="DP192" s="152">
        <v>0</v>
      </c>
      <c r="DQ192" s="152">
        <v>0</v>
      </c>
      <c r="DR192" s="152">
        <v>0</v>
      </c>
      <c r="DS192" s="152">
        <v>0</v>
      </c>
      <c r="DT192" s="152">
        <v>0</v>
      </c>
      <c r="DU192" s="152">
        <v>0</v>
      </c>
      <c r="DV192" s="152">
        <v>0</v>
      </c>
      <c r="DW192" s="152">
        <v>0</v>
      </c>
      <c r="DX192" s="152">
        <v>0</v>
      </c>
      <c r="DY192" s="152">
        <v>0</v>
      </c>
      <c r="DZ192" s="152">
        <v>0</v>
      </c>
    </row>
    <row r="193" spans="1:132" s="50" customFormat="1" ht="16.25" hidden="1" customHeight="1" x14ac:dyDescent="0.35">
      <c r="A193" s="36" t="s">
        <v>657</v>
      </c>
      <c r="B193" s="36" t="s">
        <v>660</v>
      </c>
      <c r="C193" s="36" t="s">
        <v>28</v>
      </c>
      <c r="D193" s="15" t="s">
        <v>838</v>
      </c>
      <c r="E193" s="38" t="s">
        <v>839</v>
      </c>
      <c r="F193" s="38" t="s">
        <v>110</v>
      </c>
      <c r="G193" s="32" t="s">
        <v>101</v>
      </c>
      <c r="H193" s="32"/>
      <c r="I193" s="36"/>
      <c r="J193" s="33"/>
      <c r="K193" s="36"/>
      <c r="L193" s="36"/>
      <c r="M193" s="36" t="s">
        <v>161</v>
      </c>
      <c r="N193" s="36"/>
      <c r="O193" s="33" t="s">
        <v>840</v>
      </c>
      <c r="P193" s="36" t="s">
        <v>189</v>
      </c>
      <c r="Q193" s="129">
        <f t="shared" si="168"/>
        <v>388.01600000000002</v>
      </c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6"/>
      <c r="AD193" s="37">
        <v>490</v>
      </c>
      <c r="AE193" s="37">
        <v>420</v>
      </c>
      <c r="AF193" s="37"/>
      <c r="AG193" s="37"/>
      <c r="AH193" s="34"/>
      <c r="AI193" s="45"/>
      <c r="AJ193" s="37">
        <v>67</v>
      </c>
      <c r="AK193" s="46">
        <v>1</v>
      </c>
      <c r="AL193" s="47">
        <f>AJ193*AK193</f>
        <v>67</v>
      </c>
      <c r="AM193" s="47"/>
      <c r="AN193" s="45"/>
      <c r="AO193" s="45"/>
      <c r="AP193" s="45"/>
      <c r="AQ193" s="45"/>
      <c r="AR193" s="45">
        <v>600</v>
      </c>
      <c r="AS193" s="46">
        <v>0.9</v>
      </c>
      <c r="AT193" s="45">
        <f>AR193*AS193</f>
        <v>540</v>
      </c>
      <c r="AU193" s="48"/>
      <c r="AV193" s="49"/>
      <c r="AW193" s="48" t="s">
        <v>736</v>
      </c>
      <c r="AY193" s="45">
        <v>600</v>
      </c>
      <c r="AZ193" s="46">
        <v>0.9</v>
      </c>
      <c r="BA193" s="45">
        <f>AY193*AZ193</f>
        <v>540</v>
      </c>
      <c r="BB193" s="39">
        <f>BA193-AT193</f>
        <v>0</v>
      </c>
      <c r="BE193" s="45">
        <f>490-67</f>
        <v>423</v>
      </c>
      <c r="BF193" s="46">
        <v>0.9</v>
      </c>
      <c r="BG193" s="45">
        <f>BE193*BF193</f>
        <v>380.7</v>
      </c>
      <c r="BH193" s="37"/>
      <c r="BI193" s="39">
        <f>BG193-BA193</f>
        <v>-159.30000000000001</v>
      </c>
      <c r="BJ193" s="39"/>
      <c r="BM193" s="45">
        <f>490-67</f>
        <v>423</v>
      </c>
      <c r="BN193" s="46">
        <v>0.9</v>
      </c>
      <c r="BO193" s="45">
        <f>BM193*BN193</f>
        <v>380.7</v>
      </c>
      <c r="BP193" s="45"/>
      <c r="BQ193" s="92">
        <f>BO193-BA193</f>
        <v>-159.30000000000001</v>
      </c>
      <c r="BR193" s="34" t="s">
        <v>121</v>
      </c>
      <c r="BU193" s="45">
        <f>490-67</f>
        <v>423</v>
      </c>
      <c r="BV193" s="46">
        <v>0.9</v>
      </c>
      <c r="BW193" s="39">
        <f>BU193*BV193</f>
        <v>380.7</v>
      </c>
      <c r="BX193" s="118">
        <f>BW193-BO193</f>
        <v>0</v>
      </c>
      <c r="CA193" s="45">
        <v>379.90800000000002</v>
      </c>
      <c r="CB193" s="46">
        <v>1</v>
      </c>
      <c r="CC193" s="39">
        <f t="shared" si="171"/>
        <v>379.90800000000002</v>
      </c>
      <c r="CD193" s="100">
        <v>379.90800000000002</v>
      </c>
      <c r="CE193" s="92">
        <f t="shared" si="172"/>
        <v>-0.79199999999997317</v>
      </c>
      <c r="CF193" s="92">
        <f t="shared" si="173"/>
        <v>-0.79199999999997317</v>
      </c>
      <c r="CI193" s="45">
        <v>379.90800000000002</v>
      </c>
      <c r="CJ193" s="46">
        <v>1</v>
      </c>
      <c r="CK193" s="39">
        <f t="shared" si="149"/>
        <v>379.90800000000002</v>
      </c>
      <c r="CL193" s="92">
        <f t="shared" si="169"/>
        <v>0</v>
      </c>
      <c r="CN193" s="17"/>
      <c r="CO193" s="45">
        <v>388.01600000000002</v>
      </c>
      <c r="CP193" s="46">
        <v>1</v>
      </c>
      <c r="CQ193" s="39">
        <f t="shared" si="164"/>
        <v>388.01600000000002</v>
      </c>
      <c r="CR193" s="92">
        <f t="shared" si="170"/>
        <v>8.1080000000000041</v>
      </c>
      <c r="CS193" s="91"/>
      <c r="CT193" s="17"/>
      <c r="CU193" s="45">
        <v>388.01600000000002</v>
      </c>
      <c r="CV193" s="46">
        <v>1</v>
      </c>
      <c r="CW193" s="39">
        <f t="shared" si="165"/>
        <v>388.01600000000002</v>
      </c>
      <c r="CX193" s="45">
        <v>388.01600000000002</v>
      </c>
      <c r="CY193" s="46">
        <v>1</v>
      </c>
      <c r="CZ193" s="39">
        <f t="shared" si="166"/>
        <v>388.01600000000002</v>
      </c>
      <c r="DA193" s="168">
        <f t="shared" si="153"/>
        <v>0</v>
      </c>
      <c r="DB193" s="168">
        <f t="shared" si="154"/>
        <v>0</v>
      </c>
      <c r="DC193" s="168">
        <f t="shared" si="155"/>
        <v>8.1080000000000041</v>
      </c>
      <c r="DD193" s="91"/>
      <c r="DE193" s="91"/>
      <c r="DF193" s="45">
        <v>320</v>
      </c>
      <c r="DG193" s="46">
        <v>1</v>
      </c>
      <c r="DH193" s="39">
        <f t="shared" si="167"/>
        <v>320</v>
      </c>
      <c r="DI193" s="168">
        <f t="shared" si="120"/>
        <v>-68.01600000000002</v>
      </c>
      <c r="DJ193" s="168">
        <f t="shared" si="121"/>
        <v>-68.01600000000002</v>
      </c>
      <c r="DK193" s="168" t="s">
        <v>123</v>
      </c>
      <c r="DL193" s="168"/>
      <c r="DM193" s="168"/>
      <c r="DN193" s="92">
        <f t="shared" si="163"/>
        <v>387.93399999999997</v>
      </c>
      <c r="DO193" s="152">
        <v>17.629000000000001</v>
      </c>
      <c r="DP193" s="152">
        <v>45.375</v>
      </c>
      <c r="DQ193" s="152">
        <v>213.55099999999999</v>
      </c>
      <c r="DR193" s="152">
        <v>12.464</v>
      </c>
      <c r="DS193" s="152">
        <v>7.1020000000000003</v>
      </c>
      <c r="DT193" s="152">
        <v>0</v>
      </c>
      <c r="DU193" s="152">
        <v>91.813000000000002</v>
      </c>
      <c r="DV193" s="152">
        <v>0</v>
      </c>
      <c r="DW193" s="152">
        <v>0</v>
      </c>
      <c r="DX193" s="152">
        <v>0</v>
      </c>
      <c r="DY193" s="152">
        <v>0</v>
      </c>
      <c r="DZ193" s="152">
        <v>0</v>
      </c>
    </row>
    <row r="194" spans="1:132" s="50" customFormat="1" ht="16.25" hidden="1" customHeight="1" x14ac:dyDescent="0.35">
      <c r="A194" s="36" t="s">
        <v>657</v>
      </c>
      <c r="B194" s="36" t="s">
        <v>660</v>
      </c>
      <c r="C194" s="36" t="s">
        <v>172</v>
      </c>
      <c r="D194" s="16" t="s">
        <v>841</v>
      </c>
      <c r="E194" s="38" t="s">
        <v>209</v>
      </c>
      <c r="F194" s="38" t="s">
        <v>175</v>
      </c>
      <c r="G194" s="32" t="s">
        <v>101</v>
      </c>
      <c r="H194" s="32"/>
      <c r="I194" s="36"/>
      <c r="J194" s="34"/>
      <c r="K194" s="36"/>
      <c r="L194" s="36"/>
      <c r="M194" s="36"/>
      <c r="N194" s="36"/>
      <c r="O194" s="38"/>
      <c r="P194" s="36" t="s">
        <v>189</v>
      </c>
      <c r="Q194" s="39"/>
      <c r="R194" s="39"/>
      <c r="S194" s="39">
        <v>1000</v>
      </c>
      <c r="T194" s="39"/>
      <c r="U194" s="39"/>
      <c r="V194" s="39">
        <f>CK194*25%</f>
        <v>315</v>
      </c>
      <c r="W194" s="39">
        <v>11</v>
      </c>
      <c r="X194" s="39"/>
      <c r="Y194" s="39"/>
      <c r="Z194" s="39"/>
      <c r="AA194" s="39"/>
      <c r="AB194" s="39"/>
      <c r="AC194" s="36"/>
      <c r="AD194" s="37"/>
      <c r="AE194" s="37"/>
      <c r="AF194" s="37"/>
      <c r="AG194" s="37"/>
      <c r="AH194" s="34"/>
      <c r="AI194" s="34"/>
      <c r="AJ194" s="37">
        <v>0</v>
      </c>
      <c r="AK194" s="46">
        <v>0</v>
      </c>
      <c r="AL194" s="47">
        <f>AJ194*AK194</f>
        <v>0</v>
      </c>
      <c r="AM194" s="47"/>
      <c r="AN194" s="45"/>
      <c r="AO194" s="45"/>
      <c r="AP194" s="45"/>
      <c r="AQ194" s="45"/>
      <c r="AR194" s="45">
        <v>2291</v>
      </c>
      <c r="AS194" s="46">
        <v>0.9</v>
      </c>
      <c r="AT194" s="37">
        <f>AR194*AS194</f>
        <v>2061.9</v>
      </c>
      <c r="AU194" s="48"/>
      <c r="AV194" s="49">
        <f>AU194*AS194</f>
        <v>0</v>
      </c>
      <c r="AW194" s="48">
        <f>3350-1440</f>
        <v>1910</v>
      </c>
      <c r="AY194" s="45">
        <v>2291</v>
      </c>
      <c r="AZ194" s="46">
        <v>0.9</v>
      </c>
      <c r="BA194" s="37">
        <f>AY194*AZ194</f>
        <v>2061.9</v>
      </c>
      <c r="BB194" s="39">
        <f>BA194-AT194</f>
        <v>0</v>
      </c>
      <c r="BE194" s="45">
        <v>2542</v>
      </c>
      <c r="BF194" s="46">
        <v>0.9</v>
      </c>
      <c r="BG194" s="37">
        <f>BE194*BF194</f>
        <v>2287.8000000000002</v>
      </c>
      <c r="BH194" s="37"/>
      <c r="BI194" s="39">
        <f>BG194-BA194</f>
        <v>225.90000000000009</v>
      </c>
      <c r="BJ194" s="39"/>
      <c r="BM194" s="45">
        <v>2542</v>
      </c>
      <c r="BN194" s="46">
        <v>0.9</v>
      </c>
      <c r="BO194" s="37">
        <f>BM194*BN194</f>
        <v>2287.8000000000002</v>
      </c>
      <c r="BP194" s="37"/>
      <c r="BQ194" s="92">
        <f>BO194-BA194</f>
        <v>225.90000000000009</v>
      </c>
      <c r="BR194" s="34" t="s">
        <v>193</v>
      </c>
      <c r="BU194" s="45">
        <v>2542</v>
      </c>
      <c r="BV194" s="46">
        <v>0.9</v>
      </c>
      <c r="BW194" s="39">
        <f>BU194*BV194</f>
        <v>2287.8000000000002</v>
      </c>
      <c r="BX194" s="118">
        <f>BW194-BO194</f>
        <v>0</v>
      </c>
      <c r="CA194" s="45">
        <f>1496.15+200</f>
        <v>1696.15</v>
      </c>
      <c r="CB194" s="46">
        <v>0.9</v>
      </c>
      <c r="CC194" s="39">
        <f t="shared" si="171"/>
        <v>1526.5350000000001</v>
      </c>
      <c r="CD194" s="100">
        <v>1526.5350000000001</v>
      </c>
      <c r="CE194" s="92">
        <f t="shared" si="172"/>
        <v>-761.2650000000001</v>
      </c>
      <c r="CF194" s="92">
        <f t="shared" si="173"/>
        <v>-761.2650000000001</v>
      </c>
      <c r="CG194" s="80"/>
      <c r="CI194" s="45">
        <v>1260</v>
      </c>
      <c r="CJ194" s="46">
        <v>1</v>
      </c>
      <c r="CK194" s="39">
        <f t="shared" si="149"/>
        <v>1260</v>
      </c>
      <c r="CL194" s="92">
        <f t="shared" si="169"/>
        <v>-266.53500000000008</v>
      </c>
      <c r="CM194" s="80"/>
      <c r="CN194" s="17"/>
      <c r="CO194" s="45">
        <v>1473.3420000000001</v>
      </c>
      <c r="CP194" s="46">
        <v>0.9</v>
      </c>
      <c r="CQ194" s="39">
        <f t="shared" si="164"/>
        <v>1326.0078000000001</v>
      </c>
      <c r="CR194" s="92">
        <f t="shared" si="170"/>
        <v>66.007800000000088</v>
      </c>
      <c r="CS194" s="91"/>
      <c r="CT194" s="17"/>
      <c r="CU194" s="45">
        <v>1473.3420000000001</v>
      </c>
      <c r="CV194" s="46">
        <v>0.9</v>
      </c>
      <c r="CW194" s="39">
        <f t="shared" si="165"/>
        <v>1326.0078000000001</v>
      </c>
      <c r="CX194" s="45">
        <v>1473.3420000000001</v>
      </c>
      <c r="CY194" s="46">
        <v>0.9</v>
      </c>
      <c r="CZ194" s="39">
        <f t="shared" si="166"/>
        <v>1326.0078000000001</v>
      </c>
      <c r="DA194" s="168">
        <f t="shared" si="153"/>
        <v>0</v>
      </c>
      <c r="DB194" s="168">
        <f t="shared" si="154"/>
        <v>0</v>
      </c>
      <c r="DC194" s="168">
        <f t="shared" si="155"/>
        <v>66.007800000000088</v>
      </c>
      <c r="DD194" s="91"/>
      <c r="DE194" s="91"/>
      <c r="DF194" s="45">
        <v>1473.3420000000001</v>
      </c>
      <c r="DG194" s="46">
        <v>0.9</v>
      </c>
      <c r="DH194" s="39">
        <f t="shared" si="167"/>
        <v>1326.0078000000001</v>
      </c>
      <c r="DI194" s="168">
        <f t="shared" si="120"/>
        <v>0</v>
      </c>
      <c r="DJ194" s="168">
        <f t="shared" si="121"/>
        <v>0</v>
      </c>
      <c r="DK194" s="168"/>
      <c r="DL194" s="168"/>
      <c r="DM194" s="168"/>
      <c r="DN194" s="92">
        <f t="shared" si="163"/>
        <v>1327.1669999999999</v>
      </c>
      <c r="DO194" s="152">
        <v>0</v>
      </c>
      <c r="DP194" s="152">
        <v>20.271999999999998</v>
      </c>
      <c r="DQ194" s="152">
        <v>0.97399999999999998</v>
      </c>
      <c r="DR194" s="152">
        <v>0</v>
      </c>
      <c r="DS194" s="152">
        <v>15.981999999999999</v>
      </c>
      <c r="DT194" s="152">
        <v>204.738</v>
      </c>
      <c r="DU194" s="152">
        <v>393.87900000000002</v>
      </c>
      <c r="DV194" s="152">
        <v>54.488999999999997</v>
      </c>
      <c r="DW194" s="152">
        <v>37.780999999999999</v>
      </c>
      <c r="DX194" s="152">
        <v>0.56799999999999995</v>
      </c>
      <c r="DY194" s="152">
        <v>407.77</v>
      </c>
      <c r="DZ194" s="152">
        <v>190.714</v>
      </c>
    </row>
    <row r="195" spans="1:132" s="50" customFormat="1" ht="16.25" hidden="1" customHeight="1" x14ac:dyDescent="0.35">
      <c r="A195" s="36" t="s">
        <v>657</v>
      </c>
      <c r="B195" s="36" t="s">
        <v>660</v>
      </c>
      <c r="C195" s="36" t="s">
        <v>172</v>
      </c>
      <c r="D195" s="15" t="s">
        <v>842</v>
      </c>
      <c r="E195" s="38" t="s">
        <v>843</v>
      </c>
      <c r="F195" s="38" t="s">
        <v>175</v>
      </c>
      <c r="G195" s="32" t="s">
        <v>101</v>
      </c>
      <c r="H195" s="32"/>
      <c r="I195" s="36"/>
      <c r="J195" s="33"/>
      <c r="K195" s="36"/>
      <c r="L195" s="36"/>
      <c r="M195" s="36"/>
      <c r="N195" s="36"/>
      <c r="O195" s="33"/>
      <c r="P195" s="36" t="s">
        <v>189</v>
      </c>
      <c r="Q195" s="129"/>
      <c r="R195" s="39"/>
      <c r="S195" s="39">
        <f>CK195*25%</f>
        <v>114.75</v>
      </c>
      <c r="T195" s="39"/>
      <c r="U195" s="39">
        <v>174</v>
      </c>
      <c r="V195" s="39"/>
      <c r="W195" s="39">
        <v>180</v>
      </c>
      <c r="X195" s="39"/>
      <c r="Z195" s="39"/>
      <c r="AA195" s="39"/>
      <c r="AB195" s="39"/>
      <c r="AC195" s="36"/>
      <c r="AD195" s="37"/>
      <c r="AE195" s="37"/>
      <c r="AF195" s="37"/>
      <c r="AG195" s="37"/>
      <c r="AH195" s="34"/>
      <c r="AI195" s="45"/>
      <c r="AJ195" s="37"/>
      <c r="AK195" s="46"/>
      <c r="AL195" s="47"/>
      <c r="AM195" s="47"/>
      <c r="AN195" s="45"/>
      <c r="AO195" s="45"/>
      <c r="AP195" s="45"/>
      <c r="AQ195" s="45"/>
      <c r="AR195" s="45"/>
      <c r="AS195" s="46"/>
      <c r="AT195" s="45"/>
      <c r="AU195" s="48"/>
      <c r="AV195" s="49"/>
      <c r="AW195" s="48"/>
      <c r="AY195" s="45"/>
      <c r="AZ195" s="46"/>
      <c r="BA195" s="45"/>
      <c r="BB195" s="39"/>
      <c r="BE195" s="45"/>
      <c r="BF195" s="46"/>
      <c r="BG195" s="45"/>
      <c r="BH195" s="37"/>
      <c r="BI195" s="39"/>
      <c r="BJ195" s="39"/>
      <c r="BM195" s="45"/>
      <c r="BN195" s="46"/>
      <c r="BO195" s="45"/>
      <c r="BP195" s="45"/>
      <c r="BQ195" s="92"/>
      <c r="BR195" s="34"/>
      <c r="BU195" s="45"/>
      <c r="BV195" s="46"/>
      <c r="BW195" s="39"/>
      <c r="BX195" s="118"/>
      <c r="CA195" s="45">
        <v>412.49200000000002</v>
      </c>
      <c r="CB195" s="46">
        <v>0.9</v>
      </c>
      <c r="CC195" s="37">
        <f t="shared" si="171"/>
        <v>371.24280000000005</v>
      </c>
      <c r="CD195" s="102">
        <v>371.24280000000005</v>
      </c>
      <c r="CE195" s="92">
        <f t="shared" si="172"/>
        <v>371.24280000000005</v>
      </c>
      <c r="CF195" s="92">
        <f t="shared" si="173"/>
        <v>371.24280000000005</v>
      </c>
      <c r="CG195" s="80"/>
      <c r="CI195" s="45">
        <v>459</v>
      </c>
      <c r="CJ195" s="46">
        <v>1</v>
      </c>
      <c r="CK195" s="37">
        <f t="shared" si="149"/>
        <v>459</v>
      </c>
      <c r="CL195" s="92">
        <f t="shared" si="169"/>
        <v>87.757199999999955</v>
      </c>
      <c r="CM195" s="80"/>
      <c r="CN195" s="17"/>
      <c r="CO195" s="45">
        <v>520</v>
      </c>
      <c r="CP195" s="46">
        <v>0.9</v>
      </c>
      <c r="CQ195" s="37">
        <f t="shared" si="164"/>
        <v>468</v>
      </c>
      <c r="CR195" s="92">
        <f t="shared" si="170"/>
        <v>9</v>
      </c>
      <c r="CS195" s="91"/>
      <c r="CT195" s="17"/>
      <c r="CU195" s="45">
        <v>520</v>
      </c>
      <c r="CV195" s="46">
        <v>0.9</v>
      </c>
      <c r="CW195" s="37">
        <f t="shared" si="165"/>
        <v>468</v>
      </c>
      <c r="CX195" s="45">
        <v>520</v>
      </c>
      <c r="CY195" s="46">
        <v>0.9</v>
      </c>
      <c r="CZ195" s="37">
        <f t="shared" si="166"/>
        <v>468</v>
      </c>
      <c r="DA195" s="168">
        <f t="shared" si="153"/>
        <v>0</v>
      </c>
      <c r="DB195" s="168">
        <f t="shared" si="154"/>
        <v>0</v>
      </c>
      <c r="DC195" s="168">
        <f t="shared" si="155"/>
        <v>9</v>
      </c>
      <c r="DD195" s="91"/>
      <c r="DE195" s="91"/>
      <c r="DF195" s="45">
        <v>520</v>
      </c>
      <c r="DG195" s="46">
        <v>0.9</v>
      </c>
      <c r="DH195" s="37">
        <f t="shared" si="167"/>
        <v>468</v>
      </c>
      <c r="DI195" s="168">
        <f t="shared" ref="DI195:DI259" si="174">DH195-CZ195</f>
        <v>0</v>
      </c>
      <c r="DJ195" s="168">
        <f t="shared" ref="DJ195:DJ206" si="175">DH195-CW195</f>
        <v>0</v>
      </c>
      <c r="DK195" s="168"/>
      <c r="DL195" s="168"/>
      <c r="DM195" s="168"/>
      <c r="DN195" s="92">
        <f t="shared" si="163"/>
        <v>467.80599999999998</v>
      </c>
      <c r="DO195" s="152">
        <v>0</v>
      </c>
      <c r="DP195" s="152">
        <v>0</v>
      </c>
      <c r="DQ195" s="152">
        <v>0</v>
      </c>
      <c r="DR195" s="152">
        <v>17.009</v>
      </c>
      <c r="DS195" s="152">
        <v>8.891</v>
      </c>
      <c r="DT195" s="152">
        <v>92.923000000000002</v>
      </c>
      <c r="DU195" s="152">
        <v>218.405</v>
      </c>
      <c r="DV195" s="152">
        <v>23.417000000000002</v>
      </c>
      <c r="DW195" s="152">
        <v>55.517000000000003</v>
      </c>
      <c r="DX195" s="152">
        <v>0</v>
      </c>
      <c r="DY195" s="152">
        <v>0</v>
      </c>
      <c r="DZ195" s="152">
        <v>51.643999999999998</v>
      </c>
    </row>
    <row r="196" spans="1:132" s="50" customFormat="1" ht="16.25" hidden="1" customHeight="1" x14ac:dyDescent="0.35">
      <c r="A196" s="36" t="s">
        <v>657</v>
      </c>
      <c r="B196" s="36" t="s">
        <v>660</v>
      </c>
      <c r="C196" s="36" t="s">
        <v>172</v>
      </c>
      <c r="D196" s="16" t="s">
        <v>845</v>
      </c>
      <c r="E196" s="38" t="s">
        <v>212</v>
      </c>
      <c r="F196" s="38" t="s">
        <v>213</v>
      </c>
      <c r="G196" s="32" t="s">
        <v>101</v>
      </c>
      <c r="H196" s="32"/>
      <c r="I196" s="36"/>
      <c r="J196" s="34"/>
      <c r="K196" s="36"/>
      <c r="L196" s="36"/>
      <c r="M196" s="36"/>
      <c r="N196" s="36"/>
      <c r="O196" s="38"/>
      <c r="P196" s="36" t="s">
        <v>189</v>
      </c>
      <c r="Q196" s="39"/>
      <c r="R196" s="39"/>
      <c r="S196" s="39">
        <f>CK196*25%</f>
        <v>100</v>
      </c>
      <c r="T196" s="39"/>
      <c r="U196" s="39"/>
      <c r="V196" s="39">
        <f>CK196*25%</f>
        <v>100</v>
      </c>
      <c r="W196" s="39"/>
      <c r="X196" s="39"/>
      <c r="Y196" s="39">
        <f>CK196*40%</f>
        <v>160</v>
      </c>
      <c r="Z196" s="39"/>
      <c r="AA196" s="39">
        <f>CK196*10%</f>
        <v>40</v>
      </c>
      <c r="AB196" s="39"/>
      <c r="AC196" s="36"/>
      <c r="AD196" s="37"/>
      <c r="AE196" s="37"/>
      <c r="AF196" s="37"/>
      <c r="AG196" s="37"/>
      <c r="AH196" s="34"/>
      <c r="AI196" s="34"/>
      <c r="AJ196" s="37"/>
      <c r="AK196" s="46"/>
      <c r="AL196" s="47"/>
      <c r="AM196" s="47"/>
      <c r="AN196" s="45"/>
      <c r="AO196" s="45"/>
      <c r="AP196" s="45"/>
      <c r="AQ196" s="45"/>
      <c r="AR196" s="45"/>
      <c r="AS196" s="46"/>
      <c r="AT196" s="37"/>
      <c r="AU196" s="48"/>
      <c r="AV196" s="49"/>
      <c r="AW196" s="48"/>
      <c r="AY196" s="45"/>
      <c r="AZ196" s="46"/>
      <c r="BA196" s="37"/>
      <c r="BB196" s="39"/>
      <c r="BE196" s="45"/>
      <c r="BF196" s="46"/>
      <c r="BG196" s="37"/>
      <c r="BH196" s="37"/>
      <c r="BI196" s="39"/>
      <c r="BJ196" s="39"/>
      <c r="BM196" s="45"/>
      <c r="BN196" s="46"/>
      <c r="BO196" s="37"/>
      <c r="BP196" s="37"/>
      <c r="BQ196" s="92"/>
      <c r="BR196" s="34"/>
      <c r="BU196" s="45">
        <v>0</v>
      </c>
      <c r="BV196" s="46">
        <v>0</v>
      </c>
      <c r="BW196" s="39">
        <f>BU196*BV196</f>
        <v>0</v>
      </c>
      <c r="BX196" s="118"/>
      <c r="CA196" s="45">
        <v>400</v>
      </c>
      <c r="CB196" s="46">
        <v>1</v>
      </c>
      <c r="CC196" s="39">
        <f t="shared" si="171"/>
        <v>400</v>
      </c>
      <c r="CD196" s="100">
        <v>400</v>
      </c>
      <c r="CE196" s="92">
        <f t="shared" si="172"/>
        <v>400</v>
      </c>
      <c r="CF196" s="92">
        <f t="shared" si="173"/>
        <v>400</v>
      </c>
      <c r="CI196" s="45">
        <v>400</v>
      </c>
      <c r="CJ196" s="46">
        <v>1</v>
      </c>
      <c r="CK196" s="39">
        <f t="shared" si="149"/>
        <v>400</v>
      </c>
      <c r="CL196" s="92">
        <f t="shared" si="169"/>
        <v>0</v>
      </c>
      <c r="CN196" s="17"/>
      <c r="CO196" s="45">
        <v>444.45</v>
      </c>
      <c r="CP196" s="46">
        <v>0.9</v>
      </c>
      <c r="CQ196" s="39">
        <f t="shared" si="164"/>
        <v>400.005</v>
      </c>
      <c r="CR196" s="92">
        <f t="shared" si="170"/>
        <v>4.9999999999954525E-3</v>
      </c>
      <c r="CS196" s="91"/>
      <c r="CT196" s="17"/>
      <c r="CU196" s="45">
        <v>444.45</v>
      </c>
      <c r="CV196" s="46">
        <v>0.9</v>
      </c>
      <c r="CW196" s="39">
        <f t="shared" si="165"/>
        <v>400.005</v>
      </c>
      <c r="CX196" s="45">
        <v>444.45</v>
      </c>
      <c r="CY196" s="46">
        <v>0.9</v>
      </c>
      <c r="CZ196" s="39">
        <f t="shared" si="166"/>
        <v>400.005</v>
      </c>
      <c r="DA196" s="168">
        <f t="shared" si="153"/>
        <v>0</v>
      </c>
      <c r="DB196" s="168">
        <f t="shared" si="154"/>
        <v>0</v>
      </c>
      <c r="DC196" s="168">
        <f t="shared" si="155"/>
        <v>4.9999999999954525E-3</v>
      </c>
      <c r="DD196" s="91"/>
      <c r="DE196" s="91"/>
      <c r="DF196" s="45">
        <v>249</v>
      </c>
      <c r="DG196" s="46">
        <v>1</v>
      </c>
      <c r="DH196" s="39">
        <f t="shared" si="167"/>
        <v>249</v>
      </c>
      <c r="DI196" s="168">
        <f t="shared" si="174"/>
        <v>-151.005</v>
      </c>
      <c r="DJ196" s="168">
        <f t="shared" si="175"/>
        <v>-151.005</v>
      </c>
      <c r="DK196" s="168"/>
      <c r="DL196" s="168"/>
      <c r="DM196" s="168"/>
      <c r="DN196" s="92">
        <f t="shared" si="163"/>
        <v>400</v>
      </c>
      <c r="DO196" s="152">
        <v>0</v>
      </c>
      <c r="DP196" s="152">
        <v>0</v>
      </c>
      <c r="DQ196" s="152">
        <v>0</v>
      </c>
      <c r="DR196" s="152">
        <v>0</v>
      </c>
      <c r="DS196" s="152">
        <v>0</v>
      </c>
      <c r="DT196" s="152">
        <v>0</v>
      </c>
      <c r="DU196" s="152">
        <v>21.779</v>
      </c>
      <c r="DV196" s="152">
        <v>0</v>
      </c>
      <c r="DW196" s="152">
        <v>0</v>
      </c>
      <c r="DX196" s="152">
        <v>0</v>
      </c>
      <c r="DY196" s="152">
        <v>312.47699999999998</v>
      </c>
      <c r="DZ196" s="152">
        <v>65.744</v>
      </c>
    </row>
    <row r="197" spans="1:132" s="50" customFormat="1" ht="16.25" hidden="1" customHeight="1" x14ac:dyDescent="0.35">
      <c r="A197" s="36" t="s">
        <v>657</v>
      </c>
      <c r="B197" s="36" t="s">
        <v>660</v>
      </c>
      <c r="C197" s="36" t="s">
        <v>172</v>
      </c>
      <c r="D197" s="16" t="s">
        <v>846</v>
      </c>
      <c r="E197" s="38" t="s">
        <v>847</v>
      </c>
      <c r="F197" s="38" t="s">
        <v>213</v>
      </c>
      <c r="G197" s="32" t="s">
        <v>101</v>
      </c>
      <c r="H197" s="32"/>
      <c r="I197" s="36"/>
      <c r="J197" s="33"/>
      <c r="K197" s="36"/>
      <c r="L197" s="36"/>
      <c r="M197" s="36"/>
      <c r="N197" s="36"/>
      <c r="O197" s="33"/>
      <c r="P197" s="36" t="s">
        <v>189</v>
      </c>
      <c r="Q197" s="39"/>
      <c r="R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6"/>
      <c r="AD197" s="39"/>
      <c r="AE197" s="39"/>
      <c r="AF197" s="37"/>
      <c r="AG197" s="37"/>
      <c r="AH197" s="34"/>
      <c r="AI197" s="45"/>
      <c r="AJ197" s="37"/>
      <c r="AK197" s="46"/>
      <c r="AL197" s="47"/>
      <c r="AM197" s="47"/>
      <c r="AN197" s="45"/>
      <c r="AO197" s="45"/>
      <c r="AP197" s="45"/>
      <c r="AQ197" s="45"/>
      <c r="AR197" s="39"/>
      <c r="AS197" s="40"/>
      <c r="AT197" s="39"/>
      <c r="AU197" s="48"/>
      <c r="AV197" s="49"/>
      <c r="AW197" s="48"/>
      <c r="AY197" s="39"/>
      <c r="AZ197" s="46"/>
      <c r="BA197" s="39"/>
      <c r="BB197" s="37"/>
      <c r="BC197" s="80"/>
      <c r="BE197" s="39"/>
      <c r="BF197" s="40"/>
      <c r="BG197" s="39"/>
      <c r="BH197" s="39"/>
      <c r="BI197" s="39"/>
      <c r="BJ197" s="39"/>
      <c r="BK197" s="80"/>
      <c r="BM197" s="39"/>
      <c r="BN197" s="40"/>
      <c r="BO197" s="39"/>
      <c r="BP197" s="39"/>
      <c r="BQ197" s="92"/>
      <c r="BR197" s="59"/>
      <c r="BU197" s="39"/>
      <c r="BV197" s="40"/>
      <c r="BW197" s="39"/>
      <c r="BX197" s="118"/>
      <c r="BY197" s="34"/>
      <c r="CA197" s="39"/>
      <c r="CB197" s="40"/>
      <c r="CC197" s="39"/>
      <c r="CD197" s="100"/>
      <c r="CE197" s="92"/>
      <c r="CF197" s="92"/>
      <c r="CI197" s="39"/>
      <c r="CJ197" s="40"/>
      <c r="CK197" s="39"/>
      <c r="CL197" s="92"/>
      <c r="CN197" s="17"/>
      <c r="CO197" s="39"/>
      <c r="CP197" s="40"/>
      <c r="CQ197" s="39"/>
      <c r="CR197" s="92"/>
      <c r="CS197" s="91"/>
      <c r="CT197" s="17"/>
      <c r="CU197" s="39"/>
      <c r="CV197" s="40"/>
      <c r="CW197" s="39"/>
      <c r="CX197" s="39"/>
      <c r="CY197" s="40"/>
      <c r="CZ197" s="39"/>
      <c r="DA197" s="168"/>
      <c r="DB197" s="168"/>
      <c r="DC197" s="168"/>
      <c r="DD197" s="91"/>
      <c r="DE197" s="91"/>
      <c r="DF197" s="39">
        <v>151</v>
      </c>
      <c r="DG197" s="40">
        <v>1</v>
      </c>
      <c r="DH197" s="39">
        <f t="shared" si="167"/>
        <v>151</v>
      </c>
      <c r="DI197" s="168">
        <f t="shared" si="174"/>
        <v>151</v>
      </c>
      <c r="DJ197" s="168">
        <f t="shared" si="175"/>
        <v>151</v>
      </c>
      <c r="DK197" s="168"/>
      <c r="DL197" s="168"/>
      <c r="DM197" s="168"/>
      <c r="DN197" s="92"/>
      <c r="DO197" s="151"/>
      <c r="DP197" s="151"/>
      <c r="DQ197" s="151"/>
      <c r="DR197" s="151"/>
      <c r="DS197" s="151"/>
      <c r="DT197" s="151"/>
      <c r="DU197" s="151"/>
      <c r="DV197" s="151"/>
      <c r="DW197" s="151"/>
      <c r="DX197" s="151"/>
      <c r="DY197" s="151"/>
      <c r="DZ197" s="151"/>
    </row>
    <row r="198" spans="1:132" s="50" customFormat="1" ht="16.25" hidden="1" customHeight="1" x14ac:dyDescent="0.35">
      <c r="A198" s="36" t="s">
        <v>657</v>
      </c>
      <c r="B198" s="36" t="s">
        <v>660</v>
      </c>
      <c r="C198" s="36" t="s">
        <v>27</v>
      </c>
      <c r="D198" s="15" t="s">
        <v>848</v>
      </c>
      <c r="E198" s="38" t="s">
        <v>849</v>
      </c>
      <c r="F198" s="38" t="s">
        <v>114</v>
      </c>
      <c r="G198" s="32" t="s">
        <v>101</v>
      </c>
      <c r="H198" s="32"/>
      <c r="I198" s="36" t="s">
        <v>103</v>
      </c>
      <c r="J198" s="33" t="s">
        <v>850</v>
      </c>
      <c r="K198" s="36"/>
      <c r="L198" s="36"/>
      <c r="M198" s="36" t="s">
        <v>201</v>
      </c>
      <c r="N198" s="36"/>
      <c r="P198" s="36" t="s">
        <v>189</v>
      </c>
      <c r="Q198" s="39"/>
      <c r="R198" s="39"/>
      <c r="T198" s="39">
        <f>CZ198</f>
        <v>112.95399999999999</v>
      </c>
      <c r="U198" s="39"/>
      <c r="V198" s="39"/>
      <c r="W198" s="39"/>
      <c r="X198" s="39"/>
      <c r="Y198" s="39"/>
      <c r="Z198" s="39"/>
      <c r="AA198" s="39"/>
      <c r="AB198" s="39"/>
      <c r="AC198" s="36"/>
      <c r="AD198" s="37">
        <v>500</v>
      </c>
      <c r="AE198" s="39"/>
      <c r="AF198" s="37"/>
      <c r="AG198" s="37"/>
      <c r="AH198" s="34"/>
      <c r="AI198" s="45"/>
      <c r="AJ198" s="37">
        <v>0</v>
      </c>
      <c r="AK198" s="46">
        <v>0.9</v>
      </c>
      <c r="AL198" s="37">
        <f>AJ198*AK198</f>
        <v>0</v>
      </c>
      <c r="AM198" s="37"/>
      <c r="AN198" s="39" t="e">
        <f>VLOOKUP(D198,'May FF'!B$2:E$201,2,0)</f>
        <v>#N/A</v>
      </c>
      <c r="AO198" s="45"/>
      <c r="AP198" s="45"/>
      <c r="AQ198" s="45"/>
      <c r="AR198" s="45">
        <v>400</v>
      </c>
      <c r="AS198" s="46">
        <v>0.5</v>
      </c>
      <c r="AT198" s="37">
        <f>AR198*AS198</f>
        <v>200</v>
      </c>
      <c r="AU198" s="48"/>
      <c r="AV198" s="49">
        <f>AU198*AS198</f>
        <v>0</v>
      </c>
      <c r="AW198" s="48"/>
      <c r="AY198" s="45">
        <v>400</v>
      </c>
      <c r="AZ198" s="46">
        <v>0.5</v>
      </c>
      <c r="BA198" s="37">
        <f>AY198*AZ198</f>
        <v>200</v>
      </c>
      <c r="BB198" s="39">
        <f>BA198-AT198</f>
        <v>0</v>
      </c>
      <c r="BE198" s="45">
        <v>400</v>
      </c>
      <c r="BF198" s="46">
        <v>0.5</v>
      </c>
      <c r="BG198" s="37">
        <f>BE198*BF198</f>
        <v>200</v>
      </c>
      <c r="BH198" s="37"/>
      <c r="BI198" s="39">
        <f>BG198-BA198</f>
        <v>0</v>
      </c>
      <c r="BJ198" s="39"/>
      <c r="BM198" s="76">
        <v>500</v>
      </c>
      <c r="BN198" s="77">
        <v>0.9</v>
      </c>
      <c r="BO198" s="70">
        <f>BM198*BN198</f>
        <v>450</v>
      </c>
      <c r="BP198" s="37"/>
      <c r="BQ198" s="92">
        <f t="shared" ref="BQ198:BQ204" si="176">BO198-BA198</f>
        <v>250</v>
      </c>
      <c r="BR198" s="34" t="s">
        <v>178</v>
      </c>
      <c r="BS198" s="50" t="s">
        <v>851</v>
      </c>
      <c r="BU198" s="45">
        <v>500</v>
      </c>
      <c r="BV198" s="46">
        <v>0.9</v>
      </c>
      <c r="BW198" s="39">
        <f t="shared" ref="BW198:BW204" si="177">BU198*BV198</f>
        <v>450</v>
      </c>
      <c r="BX198" s="118">
        <f t="shared" ref="BX198:BX204" si="178">BW198-BO198</f>
        <v>0</v>
      </c>
      <c r="CA198" s="45">
        <v>400</v>
      </c>
      <c r="CB198" s="46">
        <v>0.9</v>
      </c>
      <c r="CC198" s="39">
        <f t="shared" ref="CC198:CC204" si="179">CA198*CB198</f>
        <v>360</v>
      </c>
      <c r="CD198" s="100">
        <v>360</v>
      </c>
      <c r="CE198" s="92">
        <f t="shared" ref="CE198:CE204" si="180">CC198-BW198</f>
        <v>-90</v>
      </c>
      <c r="CF198" s="92">
        <f t="shared" ref="CF198:CF204" si="181">CC198-BO198</f>
        <v>-90</v>
      </c>
      <c r="CI198" s="45">
        <v>110</v>
      </c>
      <c r="CJ198" s="46">
        <v>0.9</v>
      </c>
      <c r="CK198" s="39">
        <f t="shared" ref="CK198:CK204" si="182">CI198*CJ198</f>
        <v>99</v>
      </c>
      <c r="CL198" s="92">
        <f t="shared" ref="CL198:CL204" si="183">CK198-CC198</f>
        <v>-261</v>
      </c>
      <c r="CM198" s="50" t="s">
        <v>123</v>
      </c>
      <c r="CN198" s="17"/>
      <c r="CO198" s="45">
        <v>112.95399999999999</v>
      </c>
      <c r="CP198" s="46">
        <v>1</v>
      </c>
      <c r="CQ198" s="39">
        <f t="shared" ref="CQ198:CQ204" si="184">CO198*CP198</f>
        <v>112.95399999999999</v>
      </c>
      <c r="CR198" s="92">
        <f t="shared" ref="CR198:CR204" si="185">CQ198-CK198</f>
        <v>13.953999999999994</v>
      </c>
      <c r="CS198" s="91"/>
      <c r="CT198" s="17"/>
      <c r="CU198" s="45">
        <v>112.95399999999999</v>
      </c>
      <c r="CV198" s="46">
        <v>1</v>
      </c>
      <c r="CW198" s="39">
        <f t="shared" ref="CW198:CW206" si="186">CU198*CV198</f>
        <v>112.95399999999999</v>
      </c>
      <c r="CX198" s="45">
        <v>112.95399999999999</v>
      </c>
      <c r="CY198" s="46">
        <v>1</v>
      </c>
      <c r="CZ198" s="39">
        <f t="shared" ref="CZ198:CZ206" si="187">CX198*CY198</f>
        <v>112.95399999999999</v>
      </c>
      <c r="DA198" s="168">
        <f>CZ198-CQ198</f>
        <v>0</v>
      </c>
      <c r="DB198" s="168">
        <f>CZ198-CW198</f>
        <v>0</v>
      </c>
      <c r="DC198" s="168">
        <f>CZ198-CK198</f>
        <v>13.953999999999994</v>
      </c>
      <c r="DD198" s="91"/>
      <c r="DE198" s="91"/>
      <c r="DF198" s="45">
        <v>112.95399999999999</v>
      </c>
      <c r="DG198" s="46">
        <v>1</v>
      </c>
      <c r="DH198" s="39">
        <f t="shared" si="167"/>
        <v>112.95399999999999</v>
      </c>
      <c r="DI198" s="168">
        <f t="shared" si="174"/>
        <v>0</v>
      </c>
      <c r="DJ198" s="168">
        <f t="shared" si="175"/>
        <v>0</v>
      </c>
      <c r="DK198" s="168"/>
      <c r="DL198" s="168"/>
      <c r="DM198" s="168"/>
      <c r="DN198" s="92">
        <f>SUM(DO198:DZ198)</f>
        <v>112.87100000000001</v>
      </c>
      <c r="DO198" s="152">
        <v>0</v>
      </c>
      <c r="DP198" s="152">
        <v>0</v>
      </c>
      <c r="DQ198" s="152">
        <v>0</v>
      </c>
      <c r="DR198" s="152">
        <v>0</v>
      </c>
      <c r="DS198" s="152">
        <v>36.456000000000003</v>
      </c>
      <c r="DT198" s="152">
        <v>14.393000000000001</v>
      </c>
      <c r="DU198" s="152">
        <v>62.021999999999998</v>
      </c>
      <c r="DV198" s="152">
        <v>0</v>
      </c>
      <c r="DW198" s="152">
        <v>0</v>
      </c>
      <c r="DX198" s="152">
        <v>0</v>
      </c>
      <c r="DY198" s="152">
        <v>0</v>
      </c>
      <c r="DZ198" s="152">
        <v>0</v>
      </c>
    </row>
    <row r="199" spans="1:132" s="50" customFormat="1" ht="16.25" hidden="1" customHeight="1" x14ac:dyDescent="0.35">
      <c r="A199" s="36" t="s">
        <v>657</v>
      </c>
      <c r="B199" s="36" t="s">
        <v>660</v>
      </c>
      <c r="C199" s="36" t="s">
        <v>20</v>
      </c>
      <c r="D199" s="16" t="s">
        <v>852</v>
      </c>
      <c r="E199" s="38" t="s">
        <v>1027</v>
      </c>
      <c r="F199" s="38" t="s">
        <v>110</v>
      </c>
      <c r="G199" s="32" t="s">
        <v>101</v>
      </c>
      <c r="H199" s="32"/>
      <c r="I199" s="36"/>
      <c r="J199" s="38" t="s">
        <v>853</v>
      </c>
      <c r="K199" s="36"/>
      <c r="L199" s="36"/>
      <c r="M199" s="36" t="s">
        <v>130</v>
      </c>
      <c r="N199" s="36"/>
      <c r="O199" s="33"/>
      <c r="P199" s="36" t="s">
        <v>189</v>
      </c>
      <c r="Q199" s="39"/>
      <c r="R199" s="39"/>
      <c r="S199" s="39"/>
      <c r="T199" s="39"/>
      <c r="U199" s="39"/>
      <c r="V199" s="39">
        <f>CW199</f>
        <v>108</v>
      </c>
      <c r="W199" s="39"/>
      <c r="X199" s="39"/>
      <c r="Y199" s="39"/>
      <c r="Z199" s="39"/>
      <c r="AA199" s="39"/>
      <c r="AB199" s="39"/>
      <c r="AC199" s="36"/>
      <c r="AD199" s="39">
        <v>200</v>
      </c>
      <c r="AE199" s="37">
        <v>0</v>
      </c>
      <c r="AF199" s="37"/>
      <c r="AG199" s="37"/>
      <c r="AH199" s="34"/>
      <c r="AI199" s="45"/>
      <c r="AJ199" s="37">
        <v>100</v>
      </c>
      <c r="AK199" s="46">
        <v>0.9</v>
      </c>
      <c r="AL199" s="37">
        <f>AJ199*AK199</f>
        <v>90</v>
      </c>
      <c r="AM199" s="37"/>
      <c r="AN199" s="39" t="e">
        <f>VLOOKUP(D199,'May FF'!B$2:E$201,2,0)</f>
        <v>#N/A</v>
      </c>
      <c r="AO199" s="45"/>
      <c r="AP199" s="45"/>
      <c r="AQ199" s="45"/>
      <c r="AR199" s="45">
        <f>25+111</f>
        <v>136</v>
      </c>
      <c r="AS199" s="46">
        <v>0.9</v>
      </c>
      <c r="AT199" s="37">
        <f>AR199*AS199</f>
        <v>122.4</v>
      </c>
      <c r="AU199" s="48"/>
      <c r="AV199" s="49">
        <f>AU199*AS199</f>
        <v>0</v>
      </c>
      <c r="AW199" s="49"/>
      <c r="AX199" s="34"/>
      <c r="AY199" s="45">
        <v>136</v>
      </c>
      <c r="AZ199" s="46">
        <v>0.9</v>
      </c>
      <c r="BA199" s="37">
        <f>AY199*AZ199</f>
        <v>122.4</v>
      </c>
      <c r="BB199" s="39">
        <f>BA199-AT199</f>
        <v>0</v>
      </c>
      <c r="BE199" s="45">
        <v>136</v>
      </c>
      <c r="BF199" s="46">
        <v>0.9</v>
      </c>
      <c r="BG199" s="37">
        <f>BE199*BF199</f>
        <v>122.4</v>
      </c>
      <c r="BH199" s="37"/>
      <c r="BI199" s="39">
        <f>BG199-BA199</f>
        <v>0</v>
      </c>
      <c r="BJ199" s="39"/>
      <c r="BM199" s="45">
        <v>136</v>
      </c>
      <c r="BN199" s="46">
        <v>0.9</v>
      </c>
      <c r="BO199" s="37">
        <f>BM199*BN199</f>
        <v>122.4</v>
      </c>
      <c r="BP199" s="104"/>
      <c r="BQ199" s="92">
        <f t="shared" si="176"/>
        <v>0</v>
      </c>
      <c r="BR199" s="59"/>
      <c r="BU199" s="45">
        <v>136</v>
      </c>
      <c r="BV199" s="46">
        <v>0.9</v>
      </c>
      <c r="BW199" s="39">
        <f t="shared" si="177"/>
        <v>122.4</v>
      </c>
      <c r="BX199" s="118">
        <f t="shared" si="178"/>
        <v>0</v>
      </c>
      <c r="CA199" s="45">
        <v>120</v>
      </c>
      <c r="CB199" s="46">
        <v>0.9</v>
      </c>
      <c r="CC199" s="39">
        <f t="shared" si="179"/>
        <v>108</v>
      </c>
      <c r="CD199" s="100">
        <v>108</v>
      </c>
      <c r="CE199" s="92">
        <f t="shared" si="180"/>
        <v>-14.400000000000006</v>
      </c>
      <c r="CF199" s="92">
        <f t="shared" si="181"/>
        <v>-14.400000000000006</v>
      </c>
      <c r="CI199" s="45">
        <v>120</v>
      </c>
      <c r="CJ199" s="46">
        <v>0.9</v>
      </c>
      <c r="CK199" s="39">
        <f t="shared" si="182"/>
        <v>108</v>
      </c>
      <c r="CL199" s="92">
        <f t="shared" si="183"/>
        <v>0</v>
      </c>
      <c r="CN199" s="17"/>
      <c r="CO199" s="45">
        <v>120</v>
      </c>
      <c r="CP199" s="46">
        <v>0.9</v>
      </c>
      <c r="CQ199" s="39">
        <f t="shared" si="184"/>
        <v>108</v>
      </c>
      <c r="CR199" s="92">
        <f t="shared" si="185"/>
        <v>0</v>
      </c>
      <c r="CS199" s="91" t="s">
        <v>854</v>
      </c>
      <c r="CT199" s="17"/>
      <c r="CU199" s="45">
        <v>120</v>
      </c>
      <c r="CV199" s="46">
        <v>0.9</v>
      </c>
      <c r="CW199" s="39">
        <f t="shared" si="186"/>
        <v>108</v>
      </c>
      <c r="CX199" s="45">
        <v>120</v>
      </c>
      <c r="CY199" s="46">
        <v>0.9</v>
      </c>
      <c r="CZ199" s="39">
        <f t="shared" si="187"/>
        <v>108</v>
      </c>
      <c r="DA199" s="168">
        <f>CZ199-CQ199</f>
        <v>0</v>
      </c>
      <c r="DB199" s="168">
        <f>CZ199-CW199</f>
        <v>0</v>
      </c>
      <c r="DC199" s="168">
        <f>CZ199-CK199</f>
        <v>0</v>
      </c>
      <c r="DD199" s="91" t="s">
        <v>855</v>
      </c>
      <c r="DE199" s="91"/>
      <c r="DF199" s="45">
        <v>50</v>
      </c>
      <c r="DG199" s="46">
        <v>1</v>
      </c>
      <c r="DH199" s="39">
        <f t="shared" si="167"/>
        <v>50</v>
      </c>
      <c r="DI199" s="168">
        <f t="shared" si="174"/>
        <v>-58</v>
      </c>
      <c r="DJ199" s="168">
        <f t="shared" si="175"/>
        <v>-58</v>
      </c>
      <c r="DK199" s="168"/>
      <c r="DL199" s="168"/>
      <c r="DM199" s="168"/>
      <c r="DN199" s="92">
        <f>SUM(DO199:DY199)</f>
        <v>108</v>
      </c>
      <c r="DO199" s="152"/>
      <c r="DP199" s="152"/>
      <c r="DQ199" s="152"/>
      <c r="DR199" s="152"/>
      <c r="DS199" s="152"/>
      <c r="DT199" s="152"/>
      <c r="DU199" s="152"/>
      <c r="DV199" s="152"/>
      <c r="DW199" s="152"/>
      <c r="DX199" s="152">
        <v>108</v>
      </c>
      <c r="DY199" s="152"/>
      <c r="DZ199" s="152">
        <v>0</v>
      </c>
    </row>
    <row r="200" spans="1:132" s="50" customFormat="1" ht="16.25" hidden="1" customHeight="1" x14ac:dyDescent="0.35">
      <c r="A200" s="36" t="s">
        <v>657</v>
      </c>
      <c r="B200" s="36" t="s">
        <v>660</v>
      </c>
      <c r="C200" s="36" t="s">
        <v>20</v>
      </c>
      <c r="D200" s="36" t="s">
        <v>858</v>
      </c>
      <c r="E200" s="38" t="s">
        <v>227</v>
      </c>
      <c r="F200" s="38" t="s">
        <v>223</v>
      </c>
      <c r="G200" s="32" t="s">
        <v>101</v>
      </c>
      <c r="H200" s="32"/>
      <c r="I200" s="16"/>
      <c r="J200" s="38"/>
      <c r="K200" s="36"/>
      <c r="L200" s="36"/>
      <c r="M200" s="36"/>
      <c r="N200" s="36"/>
      <c r="O200" s="38"/>
      <c r="P200" s="36" t="s">
        <v>193</v>
      </c>
      <c r="Q200" s="39"/>
      <c r="R200" s="39"/>
      <c r="S200" s="39"/>
      <c r="T200" s="39"/>
      <c r="U200" s="39"/>
      <c r="V200" s="39"/>
      <c r="W200" s="39">
        <f>CC200</f>
        <v>90</v>
      </c>
      <c r="X200" s="39"/>
      <c r="Y200" s="39"/>
      <c r="Z200" s="39"/>
      <c r="AA200" s="39"/>
      <c r="AB200" s="39"/>
      <c r="AC200" s="36"/>
      <c r="AD200" s="37"/>
      <c r="AE200" s="37"/>
      <c r="AF200" s="37"/>
      <c r="AG200" s="37"/>
      <c r="AH200" s="34"/>
      <c r="AI200" s="34"/>
      <c r="AJ200" s="37"/>
      <c r="AK200" s="46"/>
      <c r="AL200" s="47"/>
      <c r="AM200" s="47"/>
      <c r="AN200" s="39"/>
      <c r="AO200" s="97"/>
      <c r="AP200" s="39"/>
      <c r="AQ200" s="45"/>
      <c r="AR200" s="45"/>
      <c r="AS200" s="46"/>
      <c r="AT200" s="37"/>
      <c r="AU200" s="48"/>
      <c r="AV200" s="49"/>
      <c r="AW200" s="48"/>
      <c r="AY200" s="45">
        <v>0</v>
      </c>
      <c r="AZ200" s="46">
        <v>0</v>
      </c>
      <c r="BA200" s="39">
        <f>AY200*AZ200</f>
        <v>0</v>
      </c>
      <c r="BB200" s="39"/>
      <c r="BE200" s="45"/>
      <c r="BF200" s="52"/>
      <c r="BG200" s="37"/>
      <c r="BH200" s="37"/>
      <c r="BI200" s="39"/>
      <c r="BJ200" s="39"/>
      <c r="BM200" s="45">
        <v>100</v>
      </c>
      <c r="BN200" s="52">
        <v>0.9</v>
      </c>
      <c r="BO200" s="37">
        <f>BM200*BN200</f>
        <v>90</v>
      </c>
      <c r="BP200" s="37"/>
      <c r="BQ200" s="92">
        <f t="shared" si="176"/>
        <v>90</v>
      </c>
      <c r="BR200" s="34" t="s">
        <v>178</v>
      </c>
      <c r="BU200" s="45">
        <v>100</v>
      </c>
      <c r="BV200" s="52">
        <v>0.9</v>
      </c>
      <c r="BW200" s="39">
        <f t="shared" si="177"/>
        <v>90</v>
      </c>
      <c r="BX200" s="118">
        <f t="shared" si="178"/>
        <v>0</v>
      </c>
      <c r="CA200" s="45">
        <v>100</v>
      </c>
      <c r="CB200" s="52">
        <v>0.9</v>
      </c>
      <c r="CC200" s="39">
        <f t="shared" si="179"/>
        <v>90</v>
      </c>
      <c r="CD200" s="100">
        <v>90</v>
      </c>
      <c r="CE200" s="92">
        <f t="shared" si="180"/>
        <v>0</v>
      </c>
      <c r="CF200" s="92">
        <f t="shared" si="181"/>
        <v>0</v>
      </c>
      <c r="CI200" s="45">
        <v>100</v>
      </c>
      <c r="CJ200" s="52">
        <v>0.9</v>
      </c>
      <c r="CK200" s="39">
        <f t="shared" si="182"/>
        <v>90</v>
      </c>
      <c r="CL200" s="92">
        <f t="shared" si="183"/>
        <v>0</v>
      </c>
      <c r="CN200" s="17"/>
      <c r="CO200" s="45">
        <v>100</v>
      </c>
      <c r="CP200" s="52">
        <v>0.9</v>
      </c>
      <c r="CQ200" s="39">
        <f t="shared" si="184"/>
        <v>90</v>
      </c>
      <c r="CR200" s="92">
        <f t="shared" si="185"/>
        <v>0</v>
      </c>
      <c r="CS200" s="91"/>
      <c r="CT200" s="17"/>
      <c r="CU200" s="45">
        <v>100</v>
      </c>
      <c r="CV200" s="52">
        <v>0.9</v>
      </c>
      <c r="CW200" s="39">
        <f t="shared" si="186"/>
        <v>90</v>
      </c>
      <c r="CX200" s="45">
        <v>100</v>
      </c>
      <c r="CY200" s="52">
        <v>0.9</v>
      </c>
      <c r="CZ200" s="39">
        <f t="shared" si="187"/>
        <v>90</v>
      </c>
      <c r="DA200" s="168">
        <f>CZ200-CQ200</f>
        <v>0</v>
      </c>
      <c r="DB200" s="168">
        <f>CZ200-CW200</f>
        <v>0</v>
      </c>
      <c r="DC200" s="168">
        <f>CZ200-CK200</f>
        <v>0</v>
      </c>
      <c r="DD200" s="91"/>
      <c r="DE200" s="91"/>
      <c r="DF200" s="45">
        <v>0</v>
      </c>
      <c r="DG200" s="52">
        <v>0</v>
      </c>
      <c r="DH200" s="39">
        <f t="shared" si="167"/>
        <v>0</v>
      </c>
      <c r="DI200" s="168">
        <f t="shared" si="174"/>
        <v>-90</v>
      </c>
      <c r="DJ200" s="168">
        <f t="shared" si="175"/>
        <v>-90</v>
      </c>
      <c r="DK200" s="168"/>
      <c r="DL200" s="168"/>
      <c r="DM200" s="168"/>
      <c r="DN200" s="92">
        <f>SUM(DO200:DZ200)</f>
        <v>90</v>
      </c>
      <c r="DO200" s="152">
        <v>0</v>
      </c>
      <c r="DP200" s="152">
        <v>0</v>
      </c>
      <c r="DQ200" s="152">
        <v>0</v>
      </c>
      <c r="DR200" s="152">
        <v>0</v>
      </c>
      <c r="DS200" s="152">
        <v>0</v>
      </c>
      <c r="DT200" s="152">
        <v>0</v>
      </c>
      <c r="DU200" s="152">
        <v>0</v>
      </c>
      <c r="DV200" s="152">
        <v>0</v>
      </c>
      <c r="DW200" s="152">
        <v>0</v>
      </c>
      <c r="DX200" s="152">
        <v>0</v>
      </c>
      <c r="DY200" s="152">
        <v>90</v>
      </c>
      <c r="DZ200" s="152">
        <v>0</v>
      </c>
    </row>
    <row r="201" spans="1:132" s="50" customFormat="1" ht="16.25" hidden="1" customHeight="1" x14ac:dyDescent="0.35">
      <c r="A201" s="36" t="s">
        <v>657</v>
      </c>
      <c r="B201" s="36" t="s">
        <v>660</v>
      </c>
      <c r="C201" s="36" t="s">
        <v>28</v>
      </c>
      <c r="D201" s="16" t="s">
        <v>859</v>
      </c>
      <c r="E201" s="38" t="s">
        <v>336</v>
      </c>
      <c r="F201" s="38" t="s">
        <v>223</v>
      </c>
      <c r="G201" s="32" t="s">
        <v>101</v>
      </c>
      <c r="H201" s="32"/>
      <c r="I201" s="36"/>
      <c r="J201" s="34"/>
      <c r="K201" s="36"/>
      <c r="L201" s="36"/>
      <c r="M201" s="36"/>
      <c r="N201" s="36"/>
      <c r="O201" s="38"/>
      <c r="P201" s="36" t="s">
        <v>193</v>
      </c>
      <c r="Q201" s="39"/>
      <c r="R201" s="39"/>
      <c r="S201" s="39"/>
      <c r="T201" s="39"/>
      <c r="U201" s="39"/>
      <c r="V201" s="39"/>
      <c r="W201" s="39">
        <v>200</v>
      </c>
      <c r="X201" s="39"/>
      <c r="Y201" s="39">
        <v>220</v>
      </c>
      <c r="Z201" s="39"/>
      <c r="AA201" s="39"/>
      <c r="AB201" s="39"/>
      <c r="AC201" s="36"/>
      <c r="AD201" s="37"/>
      <c r="AE201" s="37"/>
      <c r="AF201" s="37"/>
      <c r="AG201" s="37"/>
      <c r="AH201" s="34"/>
      <c r="AI201" s="34"/>
      <c r="AJ201" s="37"/>
      <c r="AK201" s="46"/>
      <c r="AL201" s="47"/>
      <c r="AM201" s="47"/>
      <c r="AN201" s="45"/>
      <c r="AO201" s="45"/>
      <c r="AP201" s="45"/>
      <c r="AQ201" s="45"/>
      <c r="AR201" s="45"/>
      <c r="AS201" s="46"/>
      <c r="AT201" s="37"/>
      <c r="AU201" s="48"/>
      <c r="AV201" s="49"/>
      <c r="AW201" s="48"/>
      <c r="AY201" s="45">
        <v>700</v>
      </c>
      <c r="AZ201" s="46">
        <v>0.5</v>
      </c>
      <c r="BA201" s="45">
        <f>AY201*AZ201</f>
        <v>350</v>
      </c>
      <c r="BB201" s="39"/>
      <c r="BE201" s="45">
        <v>700</v>
      </c>
      <c r="BF201" s="46">
        <v>0.5</v>
      </c>
      <c r="BG201" s="45">
        <f>BE201*BF201</f>
        <v>350</v>
      </c>
      <c r="BH201" s="45"/>
      <c r="BI201" s="39">
        <f>BG201-BA201</f>
        <v>0</v>
      </c>
      <c r="BJ201" s="39"/>
      <c r="BM201" s="45">
        <v>1100</v>
      </c>
      <c r="BN201" s="46">
        <v>0.5</v>
      </c>
      <c r="BO201" s="45">
        <f>BM201*BN201</f>
        <v>550</v>
      </c>
      <c r="BP201" s="45"/>
      <c r="BQ201" s="92">
        <f t="shared" si="176"/>
        <v>200</v>
      </c>
      <c r="BR201" s="34" t="s">
        <v>178</v>
      </c>
      <c r="BU201" s="45">
        <v>1100</v>
      </c>
      <c r="BV201" s="46">
        <v>0.5</v>
      </c>
      <c r="BW201" s="39">
        <f t="shared" si="177"/>
        <v>550</v>
      </c>
      <c r="BX201" s="118">
        <f t="shared" si="178"/>
        <v>0</v>
      </c>
      <c r="CA201" s="45">
        <v>840</v>
      </c>
      <c r="CB201" s="46">
        <v>0.5</v>
      </c>
      <c r="CC201" s="39">
        <f t="shared" si="179"/>
        <v>420</v>
      </c>
      <c r="CD201" s="100">
        <v>420</v>
      </c>
      <c r="CE201" s="92">
        <f t="shared" si="180"/>
        <v>-130</v>
      </c>
      <c r="CF201" s="92">
        <f t="shared" si="181"/>
        <v>-130</v>
      </c>
      <c r="CI201" s="45">
        <v>840</v>
      </c>
      <c r="CJ201" s="46">
        <v>0.5</v>
      </c>
      <c r="CK201" s="39">
        <f t="shared" si="182"/>
        <v>420</v>
      </c>
      <c r="CL201" s="92">
        <f t="shared" si="183"/>
        <v>0</v>
      </c>
      <c r="CN201" s="17"/>
      <c r="CO201" s="45">
        <v>840</v>
      </c>
      <c r="CP201" s="46">
        <v>0.5</v>
      </c>
      <c r="CQ201" s="39">
        <f t="shared" si="184"/>
        <v>420</v>
      </c>
      <c r="CR201" s="92">
        <f t="shared" si="185"/>
        <v>0</v>
      </c>
      <c r="CS201" s="91"/>
      <c r="CT201" s="17"/>
      <c r="CU201" s="45">
        <v>840</v>
      </c>
      <c r="CV201" s="46">
        <v>0.5</v>
      </c>
      <c r="CW201" s="39">
        <f t="shared" si="186"/>
        <v>420</v>
      </c>
      <c r="CX201" s="45">
        <v>360</v>
      </c>
      <c r="CY201" s="46">
        <v>0.5</v>
      </c>
      <c r="CZ201" s="39">
        <f t="shared" si="187"/>
        <v>180</v>
      </c>
      <c r="DA201" s="168">
        <f>CZ201-CQ201</f>
        <v>-240</v>
      </c>
      <c r="DB201" s="168">
        <f>CZ201-CW201</f>
        <v>-240</v>
      </c>
      <c r="DC201" s="168">
        <f>CZ201-CK201</f>
        <v>-240</v>
      </c>
      <c r="DD201" s="91"/>
      <c r="DE201" s="91"/>
      <c r="DF201" s="45">
        <v>0</v>
      </c>
      <c r="DG201" s="46">
        <v>0</v>
      </c>
      <c r="DH201" s="39">
        <f t="shared" si="167"/>
        <v>0</v>
      </c>
      <c r="DI201" s="168">
        <f t="shared" si="174"/>
        <v>-180</v>
      </c>
      <c r="DJ201" s="168">
        <f t="shared" si="175"/>
        <v>-420</v>
      </c>
      <c r="DK201" s="168"/>
      <c r="DL201" s="168"/>
      <c r="DM201" s="168"/>
      <c r="DN201" s="92">
        <f>SUM(DO201:DZ201)</f>
        <v>180</v>
      </c>
      <c r="DO201" s="152">
        <v>0</v>
      </c>
      <c r="DP201" s="152">
        <v>0</v>
      </c>
      <c r="DQ201" s="152">
        <v>0</v>
      </c>
      <c r="DR201" s="152">
        <v>0</v>
      </c>
      <c r="DS201" s="152">
        <v>0</v>
      </c>
      <c r="DT201" s="152">
        <v>0</v>
      </c>
      <c r="DU201" s="152">
        <v>0</v>
      </c>
      <c r="DV201" s="152">
        <v>0</v>
      </c>
      <c r="DW201" s="152">
        <v>0</v>
      </c>
      <c r="DX201" s="152">
        <v>0</v>
      </c>
      <c r="DY201" s="152">
        <v>0</v>
      </c>
      <c r="DZ201" s="152">
        <v>180</v>
      </c>
    </row>
    <row r="202" spans="1:132" s="59" customFormat="1" ht="16.25" hidden="1" customHeight="1" x14ac:dyDescent="0.35">
      <c r="A202" s="36" t="s">
        <v>657</v>
      </c>
      <c r="B202" s="36" t="s">
        <v>660</v>
      </c>
      <c r="C202" s="36" t="s">
        <v>27</v>
      </c>
      <c r="D202" s="16" t="s">
        <v>860</v>
      </c>
      <c r="E202" s="38" t="s">
        <v>336</v>
      </c>
      <c r="F202" s="38" t="s">
        <v>223</v>
      </c>
      <c r="G202" s="32" t="s">
        <v>101</v>
      </c>
      <c r="H202" s="32"/>
      <c r="I202" s="36"/>
      <c r="J202" s="38"/>
      <c r="K202" s="38"/>
      <c r="L202" s="38"/>
      <c r="M202" s="38"/>
      <c r="N202" s="36"/>
      <c r="O202" s="33"/>
      <c r="P202" s="36" t="s">
        <v>193</v>
      </c>
      <c r="Q202" s="39"/>
      <c r="R202" s="39"/>
      <c r="S202" s="39"/>
      <c r="T202" s="39"/>
      <c r="U202" s="39"/>
      <c r="V202" s="39"/>
      <c r="W202" s="50"/>
      <c r="X202" s="39">
        <f>CC202</f>
        <v>125</v>
      </c>
      <c r="Y202" s="39"/>
      <c r="Z202" s="39"/>
      <c r="AA202" s="39"/>
      <c r="AB202" s="39"/>
      <c r="AC202" s="36"/>
      <c r="AD202" s="39">
        <v>750</v>
      </c>
      <c r="AE202" s="39">
        <v>750</v>
      </c>
      <c r="AF202" s="37"/>
      <c r="AG202" s="37"/>
      <c r="AH202" s="34"/>
      <c r="AI202" s="45"/>
      <c r="AJ202" s="37">
        <v>0</v>
      </c>
      <c r="AK202" s="46">
        <v>0</v>
      </c>
      <c r="AL202" s="47">
        <f>AJ202*AK202</f>
        <v>0</v>
      </c>
      <c r="AM202" s="47"/>
      <c r="AN202" s="37"/>
      <c r="AO202" s="37"/>
      <c r="AP202" s="37"/>
      <c r="AQ202" s="37"/>
      <c r="AR202" s="39">
        <v>250</v>
      </c>
      <c r="AS202" s="40">
        <v>0.5</v>
      </c>
      <c r="AT202" s="39">
        <v>125</v>
      </c>
      <c r="AU202" s="48"/>
      <c r="AV202" s="49">
        <f>AU202*AS202</f>
        <v>0</v>
      </c>
      <c r="AW202" s="48"/>
      <c r="AX202" s="50"/>
      <c r="AY202" s="39">
        <v>250</v>
      </c>
      <c r="AZ202" s="40">
        <v>0.5</v>
      </c>
      <c r="BA202" s="39">
        <v>125</v>
      </c>
      <c r="BB202" s="39">
        <f>BA202-AT202</f>
        <v>0</v>
      </c>
      <c r="BC202" s="50"/>
      <c r="BD202" s="50"/>
      <c r="BE202" s="39">
        <v>250</v>
      </c>
      <c r="BF202" s="40">
        <v>0.5</v>
      </c>
      <c r="BG202" s="39">
        <v>125</v>
      </c>
      <c r="BH202" s="39"/>
      <c r="BI202" s="39">
        <f>BG202-BA202</f>
        <v>0</v>
      </c>
      <c r="BJ202" s="39"/>
      <c r="BK202" s="50"/>
      <c r="BL202" s="50"/>
      <c r="BM202" s="39">
        <v>250</v>
      </c>
      <c r="BN202" s="40">
        <v>0.5</v>
      </c>
      <c r="BO202" s="39">
        <v>125</v>
      </c>
      <c r="BP202" s="39"/>
      <c r="BQ202" s="92">
        <f t="shared" si="176"/>
        <v>0</v>
      </c>
      <c r="BS202" s="50"/>
      <c r="BT202" s="50"/>
      <c r="BU202" s="39">
        <v>250</v>
      </c>
      <c r="BV202" s="40">
        <v>0.5</v>
      </c>
      <c r="BW202" s="39">
        <f t="shared" si="177"/>
        <v>125</v>
      </c>
      <c r="BX202" s="118">
        <f t="shared" si="178"/>
        <v>0</v>
      </c>
      <c r="BY202" s="34"/>
      <c r="BZ202" s="50"/>
      <c r="CA202" s="39">
        <v>250</v>
      </c>
      <c r="CB202" s="40">
        <v>0.5</v>
      </c>
      <c r="CC202" s="39">
        <f t="shared" si="179"/>
        <v>125</v>
      </c>
      <c r="CD202" s="100">
        <v>125</v>
      </c>
      <c r="CE202" s="92">
        <f t="shared" si="180"/>
        <v>0</v>
      </c>
      <c r="CF202" s="92">
        <f t="shared" si="181"/>
        <v>0</v>
      </c>
      <c r="CG202" s="50"/>
      <c r="CH202" s="50"/>
      <c r="CI202" s="39">
        <v>250</v>
      </c>
      <c r="CJ202" s="40">
        <v>0.5</v>
      </c>
      <c r="CK202" s="39">
        <f t="shared" si="182"/>
        <v>125</v>
      </c>
      <c r="CL202" s="92">
        <f t="shared" si="183"/>
        <v>0</v>
      </c>
      <c r="CM202" s="50"/>
      <c r="CN202" s="17"/>
      <c r="CO202" s="39">
        <v>250</v>
      </c>
      <c r="CP202" s="40">
        <v>0.5</v>
      </c>
      <c r="CQ202" s="39">
        <f t="shared" si="184"/>
        <v>125</v>
      </c>
      <c r="CR202" s="92">
        <f t="shared" si="185"/>
        <v>0</v>
      </c>
      <c r="CS202" s="91"/>
      <c r="CT202" s="17"/>
      <c r="CU202" s="39">
        <v>250</v>
      </c>
      <c r="CV202" s="40">
        <v>0.5</v>
      </c>
      <c r="CW202" s="39">
        <f t="shared" si="186"/>
        <v>125</v>
      </c>
      <c r="CX202" s="39">
        <v>250</v>
      </c>
      <c r="CY202" s="40">
        <v>0.5</v>
      </c>
      <c r="CZ202" s="39">
        <f t="shared" si="187"/>
        <v>125</v>
      </c>
      <c r="DA202" s="168">
        <f>CZ202-CQ202</f>
        <v>0</v>
      </c>
      <c r="DB202" s="168">
        <f>CZ202-CW202</f>
        <v>0</v>
      </c>
      <c r="DC202" s="168">
        <f>CZ202-CK202</f>
        <v>0</v>
      </c>
      <c r="DD202" s="91"/>
      <c r="DE202" s="91"/>
      <c r="DF202" s="39">
        <v>0</v>
      </c>
      <c r="DG202" s="40">
        <v>0</v>
      </c>
      <c r="DH202" s="39">
        <f t="shared" si="167"/>
        <v>0</v>
      </c>
      <c r="DI202" s="168">
        <f t="shared" si="174"/>
        <v>-125</v>
      </c>
      <c r="DJ202" s="168">
        <f t="shared" si="175"/>
        <v>-125</v>
      </c>
      <c r="DK202" s="168"/>
      <c r="DL202" s="168"/>
      <c r="DM202" s="168"/>
      <c r="DN202" s="92">
        <f>SUM(DO202:DZ202)</f>
        <v>125</v>
      </c>
      <c r="DO202" s="152">
        <v>0</v>
      </c>
      <c r="DP202" s="152">
        <v>0</v>
      </c>
      <c r="DQ202" s="152">
        <v>0</v>
      </c>
      <c r="DR202" s="152">
        <v>0</v>
      </c>
      <c r="DS202" s="152">
        <v>0</v>
      </c>
      <c r="DT202" s="152">
        <v>0</v>
      </c>
      <c r="DU202" s="152">
        <v>0</v>
      </c>
      <c r="DV202" s="152">
        <v>0</v>
      </c>
      <c r="DW202" s="152">
        <v>0</v>
      </c>
      <c r="DX202" s="152">
        <v>0</v>
      </c>
      <c r="DY202" s="152">
        <v>0</v>
      </c>
      <c r="DZ202" s="152">
        <v>125</v>
      </c>
      <c r="EA202" s="50"/>
      <c r="EB202" s="50"/>
    </row>
    <row r="203" spans="1:132" s="50" customFormat="1" ht="16.25" hidden="1" customHeight="1" x14ac:dyDescent="0.35">
      <c r="A203" s="36" t="s">
        <v>657</v>
      </c>
      <c r="B203" s="36" t="s">
        <v>660</v>
      </c>
      <c r="C203" s="36" t="s">
        <v>20</v>
      </c>
      <c r="D203" s="15" t="s">
        <v>862</v>
      </c>
      <c r="E203" s="38" t="s">
        <v>863</v>
      </c>
      <c r="F203" s="38" t="s">
        <v>114</v>
      </c>
      <c r="G203" s="32" t="s">
        <v>263</v>
      </c>
      <c r="H203" s="32"/>
      <c r="I203" s="36"/>
      <c r="J203" s="33" t="s">
        <v>864</v>
      </c>
      <c r="K203" s="36" t="s">
        <v>184</v>
      </c>
      <c r="L203" s="36"/>
      <c r="M203" s="36" t="s">
        <v>249</v>
      </c>
      <c r="N203" s="36"/>
      <c r="O203" s="33" t="s">
        <v>865</v>
      </c>
      <c r="P203" s="36" t="s">
        <v>361</v>
      </c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6"/>
      <c r="AD203" s="39">
        <v>10000</v>
      </c>
      <c r="AE203" s="37"/>
      <c r="AF203" s="37"/>
      <c r="AG203" s="37"/>
      <c r="AH203" s="34"/>
      <c r="AI203" s="45"/>
      <c r="AJ203" s="37">
        <v>0</v>
      </c>
      <c r="AK203" s="46">
        <v>0</v>
      </c>
      <c r="AL203" s="47">
        <f>AJ203*AK203</f>
        <v>0</v>
      </c>
      <c r="AM203" s="47"/>
      <c r="AN203" s="39" t="e">
        <f>VLOOKUP(D203,'May FF'!B$2:E$201,2,0)</f>
        <v>#N/A</v>
      </c>
      <c r="AO203" s="45"/>
      <c r="AP203" s="45"/>
      <c r="AQ203" s="45"/>
      <c r="AR203" s="45">
        <v>4000</v>
      </c>
      <c r="AS203" s="46">
        <v>0.75</v>
      </c>
      <c r="AT203" s="37">
        <f>AR203*AS203</f>
        <v>3000</v>
      </c>
      <c r="AU203" s="48"/>
      <c r="AV203" s="49">
        <f>AU203*AS203</f>
        <v>0</v>
      </c>
      <c r="AW203" s="48"/>
      <c r="AX203" s="34"/>
      <c r="AY203" s="45">
        <v>4000</v>
      </c>
      <c r="AZ203" s="46">
        <v>1</v>
      </c>
      <c r="BA203" s="37">
        <f>AY203*AZ203</f>
        <v>4000</v>
      </c>
      <c r="BB203" s="37"/>
      <c r="BC203" s="80"/>
      <c r="BD203" s="34"/>
      <c r="BE203" s="45">
        <v>4000</v>
      </c>
      <c r="BF203" s="40">
        <v>0.9</v>
      </c>
      <c r="BG203" s="37">
        <f>BE203*BF203</f>
        <v>3600</v>
      </c>
      <c r="BH203" s="37"/>
      <c r="BI203" s="39">
        <f>BG203-BA203</f>
        <v>-400</v>
      </c>
      <c r="BJ203" s="39"/>
      <c r="BK203" s="80">
        <f>BE203/1000</f>
        <v>4</v>
      </c>
      <c r="BL203" s="34"/>
      <c r="BM203" s="45">
        <v>1000</v>
      </c>
      <c r="BN203" s="40">
        <v>1</v>
      </c>
      <c r="BO203" s="37">
        <f>BM203*BN203</f>
        <v>1000</v>
      </c>
      <c r="BP203" s="37"/>
      <c r="BQ203" s="92">
        <f t="shared" si="176"/>
        <v>-3000</v>
      </c>
      <c r="BR203" s="59"/>
      <c r="BT203" s="34"/>
      <c r="BU203" s="45">
        <v>1000</v>
      </c>
      <c r="BV203" s="40">
        <v>1</v>
      </c>
      <c r="BW203" s="39">
        <f t="shared" si="177"/>
        <v>1000</v>
      </c>
      <c r="BX203" s="118">
        <f t="shared" si="178"/>
        <v>0</v>
      </c>
      <c r="BZ203" s="34"/>
      <c r="CA203" s="45">
        <v>1000</v>
      </c>
      <c r="CB203" s="40">
        <v>1</v>
      </c>
      <c r="CC203" s="39">
        <f t="shared" si="179"/>
        <v>1000</v>
      </c>
      <c r="CD203" s="100">
        <v>1000</v>
      </c>
      <c r="CE203" s="92">
        <f t="shared" si="180"/>
        <v>0</v>
      </c>
      <c r="CF203" s="92">
        <f t="shared" si="181"/>
        <v>0</v>
      </c>
      <c r="CH203" s="34"/>
      <c r="CI203" s="45">
        <v>1000</v>
      </c>
      <c r="CJ203" s="40">
        <v>1</v>
      </c>
      <c r="CK203" s="39">
        <f t="shared" si="182"/>
        <v>1000</v>
      </c>
      <c r="CL203" s="118">
        <f t="shared" si="183"/>
        <v>0</v>
      </c>
      <c r="CM203" s="34" t="s">
        <v>866</v>
      </c>
      <c r="CN203" s="17"/>
      <c r="CO203" s="45">
        <v>1000</v>
      </c>
      <c r="CP203" s="40">
        <v>1</v>
      </c>
      <c r="CQ203" s="39">
        <f t="shared" si="184"/>
        <v>1000</v>
      </c>
      <c r="CR203" s="92">
        <f t="shared" si="185"/>
        <v>0</v>
      </c>
      <c r="CS203" s="91" t="s">
        <v>867</v>
      </c>
      <c r="CT203" s="17"/>
      <c r="CU203" s="45">
        <v>1000</v>
      </c>
      <c r="CV203" s="40">
        <v>1</v>
      </c>
      <c r="CW203" s="39">
        <f t="shared" si="186"/>
        <v>1000</v>
      </c>
      <c r="CX203" s="45">
        <v>1000</v>
      </c>
      <c r="CY203" s="40">
        <v>1</v>
      </c>
      <c r="CZ203" s="39">
        <f t="shared" si="187"/>
        <v>1000</v>
      </c>
      <c r="DA203" s="92">
        <f>CW203-CQ203</f>
        <v>0</v>
      </c>
      <c r="DB203" s="92"/>
      <c r="DC203" s="92"/>
      <c r="DD203" s="91"/>
      <c r="DE203" s="91"/>
      <c r="DF203" s="45">
        <v>0</v>
      </c>
      <c r="DG203" s="40">
        <v>1</v>
      </c>
      <c r="DH203" s="39">
        <f t="shared" si="167"/>
        <v>0</v>
      </c>
      <c r="DI203" s="168">
        <f t="shared" si="174"/>
        <v>-1000</v>
      </c>
      <c r="DJ203" s="168">
        <f t="shared" si="175"/>
        <v>-1000</v>
      </c>
      <c r="DK203" s="91"/>
      <c r="DL203" s="91"/>
      <c r="DM203" s="91"/>
      <c r="DN203" s="92">
        <f>SUM(DO203:DZ203)</f>
        <v>0</v>
      </c>
      <c r="DO203" s="152"/>
      <c r="DP203" s="152"/>
      <c r="DQ203" s="152"/>
      <c r="DR203" s="152"/>
      <c r="DS203" s="152"/>
      <c r="DT203" s="152"/>
      <c r="DU203" s="152"/>
      <c r="DV203" s="152"/>
      <c r="DW203" s="152"/>
      <c r="DX203" s="152"/>
      <c r="DY203" s="152"/>
      <c r="DZ203" s="152"/>
    </row>
    <row r="204" spans="1:132" s="50" customFormat="1" ht="16.25" hidden="1" customHeight="1" x14ac:dyDescent="0.35">
      <c r="A204" s="36" t="s">
        <v>657</v>
      </c>
      <c r="B204" s="36" t="s">
        <v>660</v>
      </c>
      <c r="C204" s="36" t="s">
        <v>28</v>
      </c>
      <c r="D204" s="16" t="s">
        <v>1028</v>
      </c>
      <c r="E204" s="38" t="s">
        <v>807</v>
      </c>
      <c r="F204" s="38" t="s">
        <v>100</v>
      </c>
      <c r="G204" s="32" t="s">
        <v>101</v>
      </c>
      <c r="H204" s="32"/>
      <c r="I204" s="36"/>
      <c r="J204" s="34"/>
      <c r="K204" s="36"/>
      <c r="L204" s="36"/>
      <c r="M204" s="36"/>
      <c r="N204" s="36"/>
      <c r="O204" s="69" t="s">
        <v>808</v>
      </c>
      <c r="P204" s="68" t="s">
        <v>111</v>
      </c>
      <c r="Q204" s="39"/>
      <c r="R204" s="39"/>
      <c r="S204" s="39"/>
      <c r="T204" s="39"/>
      <c r="U204" s="39"/>
      <c r="V204" s="39"/>
      <c r="W204" s="39">
        <v>400</v>
      </c>
      <c r="X204" s="39"/>
      <c r="Y204" s="39">
        <f>CZ204-W204</f>
        <v>1100</v>
      </c>
      <c r="Z204" s="39"/>
      <c r="AA204" s="39"/>
      <c r="AB204" s="39"/>
      <c r="AC204" s="36"/>
      <c r="AD204" s="37"/>
      <c r="AE204" s="37"/>
      <c r="AF204" s="37"/>
      <c r="AG204" s="37"/>
      <c r="AH204" s="34"/>
      <c r="AI204" s="45"/>
      <c r="AJ204" s="37">
        <v>0</v>
      </c>
      <c r="AK204" s="46">
        <v>0</v>
      </c>
      <c r="AL204" s="47">
        <f>AJ204*AK204</f>
        <v>0</v>
      </c>
      <c r="AM204" s="47"/>
      <c r="AN204" s="45"/>
      <c r="AO204" s="45"/>
      <c r="AP204" s="45"/>
      <c r="AQ204" s="45"/>
      <c r="AR204" s="54">
        <v>1600</v>
      </c>
      <c r="AS204" s="46">
        <v>0.5</v>
      </c>
      <c r="AT204" s="45">
        <f>AR204*AS204</f>
        <v>800</v>
      </c>
      <c r="AU204" s="48"/>
      <c r="AV204" s="49">
        <f>AU204*AS204</f>
        <v>0</v>
      </c>
      <c r="AY204" s="54">
        <v>1600</v>
      </c>
      <c r="AZ204" s="46">
        <v>0.5</v>
      </c>
      <c r="BA204" s="45">
        <f>AY204*AZ204</f>
        <v>800</v>
      </c>
      <c r="BB204" s="39">
        <f>BA204-AT204</f>
        <v>0</v>
      </c>
      <c r="BC204" s="50" t="s">
        <v>809</v>
      </c>
      <c r="BE204" s="54">
        <v>1600</v>
      </c>
      <c r="BF204" s="46">
        <v>0.5</v>
      </c>
      <c r="BG204" s="45">
        <f>BE204*BF204</f>
        <v>800</v>
      </c>
      <c r="BH204" s="45"/>
      <c r="BI204" s="39">
        <f>BG204-BA204</f>
        <v>0</v>
      </c>
      <c r="BJ204" s="39"/>
      <c r="BK204" s="50" t="s">
        <v>809</v>
      </c>
      <c r="BM204" s="54">
        <v>1600</v>
      </c>
      <c r="BN204" s="46">
        <v>0.5</v>
      </c>
      <c r="BO204" s="45">
        <f>BM204*BN204</f>
        <v>800</v>
      </c>
      <c r="BP204" s="45"/>
      <c r="BQ204" s="92">
        <f t="shared" si="176"/>
        <v>0</v>
      </c>
      <c r="BR204" s="59"/>
      <c r="BU204" s="54">
        <v>1600</v>
      </c>
      <c r="BV204" s="46">
        <v>0.5</v>
      </c>
      <c r="BW204" s="39">
        <f t="shared" si="177"/>
        <v>800</v>
      </c>
      <c r="BX204" s="118">
        <f t="shared" si="178"/>
        <v>0</v>
      </c>
      <c r="BZ204" s="59"/>
      <c r="CA204" s="54">
        <v>1600</v>
      </c>
      <c r="CB204" s="46">
        <v>0.5</v>
      </c>
      <c r="CC204" s="39">
        <f t="shared" si="179"/>
        <v>800</v>
      </c>
      <c r="CD204" s="100">
        <v>800</v>
      </c>
      <c r="CE204" s="92">
        <f t="shared" si="180"/>
        <v>0</v>
      </c>
      <c r="CF204" s="92">
        <f t="shared" si="181"/>
        <v>0</v>
      </c>
      <c r="CG204" s="59"/>
      <c r="CI204" s="54">
        <v>1600</v>
      </c>
      <c r="CJ204" s="46">
        <v>0.5</v>
      </c>
      <c r="CK204" s="39">
        <f t="shared" si="182"/>
        <v>800</v>
      </c>
      <c r="CL204" s="92">
        <f t="shared" si="183"/>
        <v>0</v>
      </c>
      <c r="CM204" s="59" t="s">
        <v>810</v>
      </c>
      <c r="CN204" s="17"/>
      <c r="CO204" s="54">
        <v>1600</v>
      </c>
      <c r="CP204" s="46">
        <v>0.5</v>
      </c>
      <c r="CQ204" s="39">
        <f t="shared" si="184"/>
        <v>800</v>
      </c>
      <c r="CR204" s="92">
        <f t="shared" si="185"/>
        <v>0</v>
      </c>
      <c r="CS204" s="91" t="s">
        <v>811</v>
      </c>
      <c r="CT204" s="17"/>
      <c r="CU204" s="54">
        <v>1600</v>
      </c>
      <c r="CV204" s="46">
        <v>0.5</v>
      </c>
      <c r="CW204" s="39">
        <f t="shared" si="186"/>
        <v>800</v>
      </c>
      <c r="CX204" s="54">
        <v>2000</v>
      </c>
      <c r="CY204" s="46">
        <v>0.75</v>
      </c>
      <c r="CZ204" s="39">
        <f t="shared" si="187"/>
        <v>1500</v>
      </c>
      <c r="DA204" s="168">
        <f>CZ204-CQ204</f>
        <v>700</v>
      </c>
      <c r="DB204" s="168">
        <f>CZ204-CW204</f>
        <v>700</v>
      </c>
      <c r="DC204" s="168">
        <f>CZ204-CK204</f>
        <v>700</v>
      </c>
      <c r="DD204" s="91" t="s">
        <v>812</v>
      </c>
      <c r="DE204" s="91"/>
      <c r="DF204" s="54">
        <v>2000</v>
      </c>
      <c r="DG204" s="46">
        <v>0.75</v>
      </c>
      <c r="DH204" s="39">
        <f t="shared" si="167"/>
        <v>1500</v>
      </c>
      <c r="DI204" s="168">
        <f t="shared" si="174"/>
        <v>0</v>
      </c>
      <c r="DJ204" s="168">
        <f t="shared" si="175"/>
        <v>700</v>
      </c>
      <c r="DK204" s="168"/>
      <c r="DL204" s="168"/>
      <c r="DM204" s="168"/>
      <c r="DN204" s="92">
        <f>SUM(DO204:DZ204)</f>
        <v>1500.11175</v>
      </c>
      <c r="DO204" s="152">
        <v>0</v>
      </c>
      <c r="DP204" s="152">
        <v>0</v>
      </c>
      <c r="DQ204" s="152">
        <v>0</v>
      </c>
      <c r="DR204" s="152">
        <v>0</v>
      </c>
      <c r="DS204" s="152">
        <v>0</v>
      </c>
      <c r="DT204" s="152">
        <v>0</v>
      </c>
      <c r="DU204" s="152">
        <v>39.769500000000001</v>
      </c>
      <c r="DV204" s="152">
        <v>0</v>
      </c>
      <c r="DW204" s="152">
        <v>170.44200000000001</v>
      </c>
      <c r="DX204" s="152">
        <v>170.44200000000001</v>
      </c>
      <c r="DY204" s="152">
        <v>946.89975000000004</v>
      </c>
      <c r="DZ204" s="152">
        <v>172.55850000000001</v>
      </c>
    </row>
    <row r="205" spans="1:132" s="50" customFormat="1" ht="16.25" hidden="1" customHeight="1" x14ac:dyDescent="0.35">
      <c r="A205" s="36" t="s">
        <v>657</v>
      </c>
      <c r="B205" s="36" t="s">
        <v>660</v>
      </c>
      <c r="C205" s="36" t="s">
        <v>20</v>
      </c>
      <c r="D205" s="15" t="s">
        <v>1029</v>
      </c>
      <c r="E205" s="38" t="s">
        <v>823</v>
      </c>
      <c r="F205" s="38" t="s">
        <v>114</v>
      </c>
      <c r="G205" s="32" t="s">
        <v>101</v>
      </c>
      <c r="H205" s="32"/>
      <c r="I205" s="51"/>
      <c r="J205" s="33"/>
      <c r="K205" s="36"/>
      <c r="L205" s="36"/>
      <c r="M205" s="36"/>
      <c r="N205" s="36"/>
      <c r="O205" s="33"/>
      <c r="P205" s="36" t="s">
        <v>230</v>
      </c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6"/>
      <c r="AD205" s="39"/>
      <c r="AE205" s="37"/>
      <c r="AF205" s="37"/>
      <c r="AG205" s="37"/>
      <c r="AH205" s="34"/>
      <c r="AI205" s="45"/>
      <c r="AJ205" s="37"/>
      <c r="AK205" s="46"/>
      <c r="AL205" s="47"/>
      <c r="AM205" s="47"/>
      <c r="AN205" s="39"/>
      <c r="AO205" s="45"/>
      <c r="AP205" s="45"/>
      <c r="AQ205" s="45"/>
      <c r="AR205" s="37"/>
      <c r="AS205" s="46"/>
      <c r="AT205" s="37"/>
      <c r="AU205" s="48"/>
      <c r="AV205" s="49"/>
      <c r="AW205" s="49"/>
      <c r="AX205" s="34"/>
      <c r="AY205" s="37"/>
      <c r="AZ205" s="46"/>
      <c r="BA205" s="37"/>
      <c r="BB205" s="39"/>
      <c r="BE205" s="37"/>
      <c r="BF205" s="46"/>
      <c r="BG205" s="37"/>
      <c r="BH205" s="37"/>
      <c r="BI205" s="39"/>
      <c r="BJ205" s="39"/>
      <c r="BM205" s="37"/>
      <c r="BN205" s="46"/>
      <c r="BO205" s="37"/>
      <c r="BP205" s="37"/>
      <c r="BQ205" s="92"/>
      <c r="BR205" s="59"/>
      <c r="BU205" s="37"/>
      <c r="BV205" s="46"/>
      <c r="BW205" s="39"/>
      <c r="BX205" s="118"/>
      <c r="CA205" s="37"/>
      <c r="CB205" s="46"/>
      <c r="CC205" s="39"/>
      <c r="CD205" s="100"/>
      <c r="CE205" s="92"/>
      <c r="CF205" s="92"/>
      <c r="CI205" s="37"/>
      <c r="CJ205" s="46"/>
      <c r="CK205" s="39"/>
      <c r="CL205" s="92"/>
      <c r="CN205" s="17"/>
      <c r="CO205" s="37"/>
      <c r="CP205" s="46"/>
      <c r="CQ205" s="39"/>
      <c r="CR205" s="92"/>
      <c r="CS205" s="91"/>
      <c r="CT205" s="17"/>
      <c r="CU205" s="37">
        <v>400</v>
      </c>
      <c r="CV205" s="46">
        <v>1</v>
      </c>
      <c r="CW205" s="39">
        <f t="shared" si="186"/>
        <v>400</v>
      </c>
      <c r="CX205" s="37">
        <v>400</v>
      </c>
      <c r="CY205" s="46">
        <v>1</v>
      </c>
      <c r="CZ205" s="39">
        <f t="shared" si="187"/>
        <v>400</v>
      </c>
      <c r="DA205" s="168">
        <f>CZ205-CQ205</f>
        <v>400</v>
      </c>
      <c r="DB205" s="168">
        <f>CZ205-CW205</f>
        <v>0</v>
      </c>
      <c r="DC205" s="168"/>
      <c r="DD205" s="91" t="s">
        <v>824</v>
      </c>
      <c r="DE205" s="91"/>
      <c r="DF205" s="37">
        <v>470</v>
      </c>
      <c r="DG205" s="46">
        <v>0.9</v>
      </c>
      <c r="DH205" s="39">
        <f t="shared" si="167"/>
        <v>423</v>
      </c>
      <c r="DI205" s="168">
        <f t="shared" si="174"/>
        <v>23</v>
      </c>
      <c r="DJ205" s="168">
        <f t="shared" si="175"/>
        <v>23</v>
      </c>
      <c r="DK205" s="168" t="s">
        <v>825</v>
      </c>
      <c r="DL205" s="168"/>
      <c r="DM205" s="168"/>
      <c r="DN205" s="92"/>
      <c r="DO205" s="152"/>
      <c r="DP205" s="152"/>
      <c r="DQ205" s="152"/>
      <c r="DR205" s="152"/>
      <c r="DS205" s="152"/>
      <c r="DT205" s="152"/>
      <c r="DU205" s="152"/>
      <c r="DV205" s="152"/>
      <c r="DW205" s="152"/>
      <c r="DX205" s="152"/>
      <c r="DY205" s="152"/>
      <c r="DZ205" s="152"/>
      <c r="EA205" s="59"/>
    </row>
    <row r="206" spans="1:132" s="50" customFormat="1" ht="16.25" hidden="1" customHeight="1" x14ac:dyDescent="0.35">
      <c r="A206" s="36" t="s">
        <v>657</v>
      </c>
      <c r="B206" s="36" t="s">
        <v>660</v>
      </c>
      <c r="C206" s="36" t="s">
        <v>172</v>
      </c>
      <c r="D206" s="16" t="s">
        <v>861</v>
      </c>
      <c r="E206" s="38" t="s">
        <v>1030</v>
      </c>
      <c r="F206" s="38" t="s">
        <v>175</v>
      </c>
      <c r="G206" s="32" t="s">
        <v>101</v>
      </c>
      <c r="H206" s="32"/>
      <c r="I206" s="32"/>
      <c r="J206" s="43"/>
      <c r="K206" s="36"/>
      <c r="L206" s="36"/>
      <c r="M206" s="36"/>
      <c r="N206" s="36"/>
      <c r="O206" s="33"/>
      <c r="P206" s="36" t="s">
        <v>189</v>
      </c>
      <c r="Q206" s="39"/>
      <c r="R206" s="39"/>
      <c r="S206" s="39"/>
      <c r="T206" s="39"/>
      <c r="U206" s="39">
        <f>CZ206</f>
        <v>186.3</v>
      </c>
      <c r="V206" s="39"/>
      <c r="W206" s="39"/>
      <c r="X206" s="39"/>
      <c r="Y206" s="39"/>
      <c r="Z206" s="39"/>
      <c r="AA206" s="39"/>
      <c r="AB206" s="39"/>
      <c r="AC206" s="36"/>
      <c r="AD206" s="37"/>
      <c r="AE206" s="37"/>
      <c r="AF206" s="37"/>
      <c r="AG206" s="37"/>
      <c r="AH206" s="34"/>
      <c r="AI206" s="45"/>
      <c r="AJ206" s="37"/>
      <c r="AK206" s="46"/>
      <c r="AL206" s="47"/>
      <c r="AM206" s="47"/>
      <c r="AN206" s="45"/>
      <c r="AO206" s="45"/>
      <c r="AP206" s="45"/>
      <c r="AQ206" s="45"/>
      <c r="AR206" s="37">
        <v>444</v>
      </c>
      <c r="AS206" s="46">
        <v>0.9</v>
      </c>
      <c r="AT206" s="37">
        <f>AR206*AS206</f>
        <v>399.6</v>
      </c>
      <c r="AU206" s="48"/>
      <c r="AV206" s="49">
        <f>AU206*AS206</f>
        <v>0</v>
      </c>
      <c r="AW206" s="48"/>
      <c r="AY206" s="37">
        <v>444</v>
      </c>
      <c r="AZ206" s="46">
        <v>0.9</v>
      </c>
      <c r="BA206" s="37">
        <f>AY206*AZ206</f>
        <v>399.6</v>
      </c>
      <c r="BB206" s="39">
        <f>BA206-AT206</f>
        <v>0</v>
      </c>
      <c r="BE206" s="37">
        <v>900</v>
      </c>
      <c r="BF206" s="46">
        <v>0.9</v>
      </c>
      <c r="BG206" s="37">
        <f>BE206*BF206</f>
        <v>810</v>
      </c>
      <c r="BH206" s="37"/>
      <c r="BI206" s="39">
        <f>BG206-BA206</f>
        <v>410.4</v>
      </c>
      <c r="BJ206" s="39"/>
      <c r="BM206" s="37">
        <v>900</v>
      </c>
      <c r="BN206" s="46">
        <v>0.9</v>
      </c>
      <c r="BO206" s="37">
        <f>BM206*BN206</f>
        <v>810</v>
      </c>
      <c r="BP206" s="37"/>
      <c r="BQ206" s="92">
        <f>BO206-BA206</f>
        <v>410.4</v>
      </c>
      <c r="BR206" s="34" t="s">
        <v>193</v>
      </c>
      <c r="BU206" s="37">
        <v>900</v>
      </c>
      <c r="BV206" s="46">
        <v>0.9</v>
      </c>
      <c r="BW206" s="39">
        <f>BU206*BV206</f>
        <v>810</v>
      </c>
      <c r="BX206" s="118">
        <f>BW206-BO206</f>
        <v>0</v>
      </c>
      <c r="CA206" s="37">
        <v>206.267</v>
      </c>
      <c r="CB206" s="46">
        <v>0.9</v>
      </c>
      <c r="CC206" s="39">
        <f>CA206*CB206</f>
        <v>185.6403</v>
      </c>
      <c r="CD206" s="100">
        <v>185.6403</v>
      </c>
      <c r="CE206" s="92">
        <f>CC206-BW206</f>
        <v>-624.35969999999998</v>
      </c>
      <c r="CF206" s="92">
        <f>CC206-BO206</f>
        <v>-624.35969999999998</v>
      </c>
      <c r="CG206" s="80"/>
      <c r="CI206" s="37">
        <v>206.267</v>
      </c>
      <c r="CJ206" s="46">
        <v>0.9</v>
      </c>
      <c r="CK206" s="39">
        <f>CI206*CJ206</f>
        <v>185.6403</v>
      </c>
      <c r="CL206" s="92">
        <f>CK206-CC206</f>
        <v>0</v>
      </c>
      <c r="CM206" s="80"/>
      <c r="CN206" s="17"/>
      <c r="CO206" s="37">
        <v>207</v>
      </c>
      <c r="CP206" s="46">
        <v>0.9</v>
      </c>
      <c r="CQ206" s="39">
        <f>CO206*CP206</f>
        <v>186.3</v>
      </c>
      <c r="CR206" s="92">
        <f>CQ206-CK206</f>
        <v>0.65970000000001505</v>
      </c>
      <c r="CS206" s="91"/>
      <c r="CT206" s="17"/>
      <c r="CU206" s="37">
        <v>207</v>
      </c>
      <c r="CV206" s="46">
        <v>0.9</v>
      </c>
      <c r="CW206" s="39">
        <f t="shared" si="186"/>
        <v>186.3</v>
      </c>
      <c r="CX206" s="37">
        <v>207</v>
      </c>
      <c r="CY206" s="46">
        <v>0.9</v>
      </c>
      <c r="CZ206" s="39">
        <f t="shared" si="187"/>
        <v>186.3</v>
      </c>
      <c r="DA206" s="168">
        <f>CZ206-CQ206</f>
        <v>0</v>
      </c>
      <c r="DB206" s="168">
        <f>CZ206-CW206</f>
        <v>0</v>
      </c>
      <c r="DC206" s="168">
        <f>CZ206-CK206</f>
        <v>0.65970000000001505</v>
      </c>
      <c r="DD206" s="198"/>
      <c r="DE206" s="198"/>
      <c r="DF206" s="37">
        <v>207</v>
      </c>
      <c r="DG206" s="46">
        <v>0.9</v>
      </c>
      <c r="DH206" s="39">
        <f t="shared" si="167"/>
        <v>186.3</v>
      </c>
      <c r="DI206" s="168">
        <f t="shared" si="174"/>
        <v>0</v>
      </c>
      <c r="DJ206" s="168">
        <f t="shared" si="175"/>
        <v>0</v>
      </c>
      <c r="DK206" s="168"/>
      <c r="DL206" s="168"/>
      <c r="DM206" s="168"/>
      <c r="DN206" s="92">
        <f>SUM(DO206:DZ206)</f>
        <v>189.37980000000002</v>
      </c>
      <c r="DO206" s="152">
        <v>0</v>
      </c>
      <c r="DP206" s="152">
        <v>0</v>
      </c>
      <c r="DQ206" s="152">
        <v>0</v>
      </c>
      <c r="DR206" s="152">
        <v>0</v>
      </c>
      <c r="DS206" s="152">
        <v>0</v>
      </c>
      <c r="DT206" s="152">
        <v>0</v>
      </c>
      <c r="DU206" s="152">
        <v>0</v>
      </c>
      <c r="DV206" s="152">
        <v>0</v>
      </c>
      <c r="DW206" s="152">
        <v>0</v>
      </c>
      <c r="DX206" s="152">
        <v>0</v>
      </c>
      <c r="DY206" s="152">
        <v>0</v>
      </c>
      <c r="DZ206" s="152">
        <v>189.37980000000002</v>
      </c>
    </row>
    <row r="207" spans="1:132" s="50" customFormat="1" ht="16.25" hidden="1" customHeight="1" x14ac:dyDescent="0.35">
      <c r="A207" s="36" t="s">
        <v>657</v>
      </c>
      <c r="B207" s="36" t="s">
        <v>660</v>
      </c>
      <c r="C207" s="36" t="s">
        <v>20</v>
      </c>
      <c r="D207" s="15" t="s">
        <v>862</v>
      </c>
      <c r="E207" s="38" t="s">
        <v>863</v>
      </c>
      <c r="F207" s="38" t="s">
        <v>114</v>
      </c>
      <c r="G207" s="32" t="s">
        <v>101</v>
      </c>
      <c r="H207" s="32"/>
      <c r="I207" s="36"/>
      <c r="J207" s="33"/>
      <c r="K207" s="36"/>
      <c r="L207" s="36"/>
      <c r="M207" s="36"/>
      <c r="N207" s="36"/>
      <c r="O207" s="33"/>
      <c r="P207" s="36" t="s">
        <v>361</v>
      </c>
      <c r="Q207" s="39"/>
      <c r="R207" s="39"/>
      <c r="S207" s="39"/>
      <c r="U207" s="39"/>
      <c r="V207" s="39"/>
      <c r="W207" s="39"/>
      <c r="X207" s="39"/>
      <c r="Y207" s="39"/>
      <c r="Z207" s="39"/>
      <c r="AA207" s="39"/>
      <c r="AB207" s="39"/>
      <c r="AC207" s="36"/>
      <c r="AD207" s="57"/>
      <c r="AE207" s="36"/>
      <c r="AF207" s="36"/>
      <c r="AH207" s="36"/>
      <c r="AI207" s="37"/>
      <c r="AJ207" s="37"/>
      <c r="AK207" s="46"/>
      <c r="AL207" s="47"/>
      <c r="AM207" s="47"/>
      <c r="AN207" s="39"/>
      <c r="AO207" s="45"/>
      <c r="AP207" s="45"/>
      <c r="AQ207" s="45"/>
      <c r="AR207" s="73"/>
      <c r="AS207" s="72"/>
      <c r="AT207" s="71"/>
      <c r="AU207" s="48"/>
      <c r="AV207" s="49"/>
      <c r="AW207" s="48"/>
      <c r="AY207" s="45"/>
      <c r="AZ207" s="46"/>
      <c r="BA207" s="37"/>
      <c r="BB207" s="39"/>
      <c r="BD207" s="34"/>
      <c r="BE207" s="45"/>
      <c r="BF207" s="46"/>
      <c r="BG207" s="37"/>
      <c r="BH207" s="37"/>
      <c r="BI207" s="39"/>
      <c r="BJ207" s="39"/>
      <c r="BM207" s="45"/>
      <c r="BN207" s="46"/>
      <c r="BO207" s="37"/>
      <c r="BP207" s="37"/>
      <c r="BQ207" s="92"/>
      <c r="BR207" s="59"/>
      <c r="BU207" s="45"/>
      <c r="BV207" s="46"/>
      <c r="BW207" s="39"/>
      <c r="BX207" s="118"/>
      <c r="CA207" s="45"/>
      <c r="CB207" s="46"/>
      <c r="CC207" s="39"/>
      <c r="CD207" s="100"/>
      <c r="CE207" s="92"/>
      <c r="CF207" s="92"/>
      <c r="CI207" s="45"/>
      <c r="CJ207" s="46"/>
      <c r="CK207" s="39"/>
      <c r="CL207" s="92"/>
      <c r="CN207" s="17"/>
      <c r="CO207" s="45"/>
      <c r="CP207" s="46"/>
      <c r="CQ207" s="39"/>
      <c r="CR207" s="92"/>
      <c r="CS207" s="91"/>
      <c r="CT207" s="17"/>
      <c r="CU207" s="45"/>
      <c r="CV207" s="46"/>
      <c r="CW207" s="39"/>
      <c r="CX207" s="45"/>
      <c r="CY207" s="46"/>
      <c r="CZ207" s="39"/>
      <c r="DA207" s="168"/>
      <c r="DB207" s="168"/>
      <c r="DC207" s="168"/>
      <c r="DD207" s="91"/>
      <c r="DE207" s="91"/>
      <c r="DF207" s="45">
        <v>200</v>
      </c>
      <c r="DG207" s="46">
        <v>0.9</v>
      </c>
      <c r="DH207" s="39">
        <f t="shared" si="167"/>
        <v>180</v>
      </c>
      <c r="DI207" s="168">
        <f t="shared" si="174"/>
        <v>180</v>
      </c>
      <c r="DJ207" s="168"/>
      <c r="DK207" s="168" t="s">
        <v>968</v>
      </c>
      <c r="DL207" s="168"/>
      <c r="DM207" s="168"/>
      <c r="DY207" s="50">
        <v>180</v>
      </c>
    </row>
    <row r="208" spans="1:132" s="50" customFormat="1" ht="16.25" hidden="1" customHeight="1" x14ac:dyDescent="0.35">
      <c r="A208" s="36" t="s">
        <v>657</v>
      </c>
      <c r="B208" s="36" t="s">
        <v>660</v>
      </c>
      <c r="C208" s="36" t="s">
        <v>20</v>
      </c>
      <c r="D208" s="16" t="s">
        <v>868</v>
      </c>
      <c r="E208" s="207" t="s">
        <v>869</v>
      </c>
      <c r="F208" s="38" t="s">
        <v>100</v>
      </c>
      <c r="G208" s="32" t="s">
        <v>101</v>
      </c>
      <c r="H208" s="32"/>
      <c r="I208" s="36" t="s">
        <v>264</v>
      </c>
      <c r="J208" s="33" t="s">
        <v>265</v>
      </c>
      <c r="K208" s="36"/>
      <c r="L208" s="36"/>
      <c r="M208" s="36"/>
      <c r="N208" s="36"/>
      <c r="O208" s="33" t="s">
        <v>870</v>
      </c>
      <c r="P208" s="36" t="s">
        <v>361</v>
      </c>
      <c r="Q208" s="39"/>
      <c r="R208" s="39"/>
      <c r="S208" s="39"/>
      <c r="U208" s="39"/>
      <c r="V208" s="39"/>
      <c r="W208" s="39"/>
      <c r="X208" s="39">
        <v>200</v>
      </c>
      <c r="Y208" s="39"/>
      <c r="Z208" s="39"/>
      <c r="AA208" s="39"/>
      <c r="AB208" s="39"/>
      <c r="AC208" s="36"/>
      <c r="AD208" s="57">
        <v>5000</v>
      </c>
      <c r="AE208" s="36"/>
      <c r="AF208" s="36"/>
      <c r="AH208" s="36"/>
      <c r="AI208" s="37"/>
      <c r="AJ208" s="37">
        <v>0</v>
      </c>
      <c r="AK208" s="46">
        <v>0</v>
      </c>
      <c r="AL208" s="47">
        <f>AJ208*AK208</f>
        <v>0</v>
      </c>
      <c r="AM208" s="47"/>
      <c r="AN208" s="39" t="e">
        <f>VLOOKUP(D208,'May FF'!B$2:E$201,2,0)</f>
        <v>#N/A</v>
      </c>
      <c r="AO208" s="45"/>
      <c r="AP208" s="45"/>
      <c r="AQ208" s="45"/>
      <c r="AR208" s="73">
        <v>5000</v>
      </c>
      <c r="AS208" s="72">
        <v>0.5</v>
      </c>
      <c r="AT208" s="71">
        <f>AR208*AS208</f>
        <v>2500</v>
      </c>
      <c r="AU208" s="48"/>
      <c r="AV208" s="49">
        <f>AU208*AS208</f>
        <v>0</v>
      </c>
      <c r="AW208" s="48"/>
      <c r="AY208" s="45">
        <v>5000</v>
      </c>
      <c r="AZ208" s="46">
        <v>0.5</v>
      </c>
      <c r="BA208" s="37">
        <f>AY208*AZ208</f>
        <v>2500</v>
      </c>
      <c r="BB208" s="39">
        <f>BA208-AT208</f>
        <v>0</v>
      </c>
      <c r="BD208" s="34"/>
      <c r="BE208" s="45">
        <v>5000</v>
      </c>
      <c r="BF208" s="46">
        <v>0.5</v>
      </c>
      <c r="BG208" s="37">
        <f>BE208*BF208</f>
        <v>2500</v>
      </c>
      <c r="BH208" s="37"/>
      <c r="BI208" s="39">
        <f>BG208-BA208</f>
        <v>0</v>
      </c>
      <c r="BJ208" s="39"/>
      <c r="BM208" s="45">
        <v>5000</v>
      </c>
      <c r="BN208" s="46">
        <v>0.5</v>
      </c>
      <c r="BO208" s="37">
        <f>BM208*BN208</f>
        <v>2500</v>
      </c>
      <c r="BP208" s="37"/>
      <c r="BQ208" s="92">
        <f>BO208-BA208</f>
        <v>0</v>
      </c>
      <c r="BR208" s="59"/>
      <c r="BU208" s="45">
        <v>5000</v>
      </c>
      <c r="BV208" s="46">
        <v>0.5</v>
      </c>
      <c r="BW208" s="39">
        <f>BU208*BV208</f>
        <v>2500</v>
      </c>
      <c r="BX208" s="118">
        <f>BW208-BO208</f>
        <v>0</v>
      </c>
      <c r="CA208" s="45">
        <v>5000</v>
      </c>
      <c r="CB208" s="46">
        <v>0.5</v>
      </c>
      <c r="CC208" s="39">
        <f>CA208*CB208</f>
        <v>2500</v>
      </c>
      <c r="CD208" s="100">
        <v>2500</v>
      </c>
      <c r="CE208" s="92">
        <f>CC208-BW208</f>
        <v>0</v>
      </c>
      <c r="CF208" s="92">
        <f>CC208-BO208</f>
        <v>0</v>
      </c>
      <c r="CG208" s="50" t="s">
        <v>817</v>
      </c>
      <c r="CI208" s="45">
        <v>5000</v>
      </c>
      <c r="CJ208" s="46">
        <v>0.5</v>
      </c>
      <c r="CK208" s="39">
        <f>CI208*CJ208</f>
        <v>2500</v>
      </c>
      <c r="CL208" s="92">
        <f>CK208-CC208</f>
        <v>0</v>
      </c>
      <c r="CM208" s="50" t="s">
        <v>871</v>
      </c>
      <c r="CN208" s="17"/>
      <c r="CO208" s="45">
        <v>400</v>
      </c>
      <c r="CP208" s="46">
        <v>0.5</v>
      </c>
      <c r="CQ208" s="39">
        <f t="shared" ref="CQ208:CQ237" si="188">CO208*CP208</f>
        <v>200</v>
      </c>
      <c r="CR208" s="92">
        <f>CQ208-CK208</f>
        <v>-2300</v>
      </c>
      <c r="CS208" s="91"/>
      <c r="CT208" s="17"/>
      <c r="CU208" s="45">
        <v>400</v>
      </c>
      <c r="CV208" s="46">
        <v>0.5</v>
      </c>
      <c r="CW208" s="39">
        <f t="shared" ref="CW208:CW237" si="189">CU208*CV208</f>
        <v>200</v>
      </c>
      <c r="CX208" s="45">
        <v>400</v>
      </c>
      <c r="CY208" s="46">
        <v>0.5</v>
      </c>
      <c r="CZ208" s="39">
        <f t="shared" ref="CZ208:CZ240" si="190">CX208*CY208</f>
        <v>200</v>
      </c>
      <c r="DA208" s="168">
        <f>CZ208-CQ208</f>
        <v>0</v>
      </c>
      <c r="DB208" s="168">
        <f>CZ208-CW208</f>
        <v>0</v>
      </c>
      <c r="DC208" s="168">
        <f>CZ208-CK208</f>
        <v>-2300</v>
      </c>
      <c r="DD208" s="91"/>
      <c r="DE208" s="91"/>
      <c r="DF208" s="45">
        <v>400</v>
      </c>
      <c r="DG208" s="46">
        <v>0.5</v>
      </c>
      <c r="DH208" s="39">
        <f t="shared" si="167"/>
        <v>200</v>
      </c>
      <c r="DI208" s="168">
        <f t="shared" si="174"/>
        <v>0</v>
      </c>
      <c r="DJ208" s="168">
        <f t="shared" ref="DJ208:DJ240" si="191">DH208-CW208</f>
        <v>0</v>
      </c>
      <c r="DK208" s="168"/>
      <c r="DL208" s="168"/>
      <c r="DM208" s="168"/>
    </row>
    <row r="209" spans="1:131" s="50" customFormat="1" ht="16.25" hidden="1" customHeight="1" x14ac:dyDescent="0.35">
      <c r="A209" s="36" t="s">
        <v>657</v>
      </c>
      <c r="B209" s="36" t="s">
        <v>660</v>
      </c>
      <c r="C209" s="36" t="s">
        <v>20</v>
      </c>
      <c r="D209" s="15" t="s">
        <v>876</v>
      </c>
      <c r="E209" s="38" t="s">
        <v>877</v>
      </c>
      <c r="F209" s="38" t="s">
        <v>114</v>
      </c>
      <c r="G209" s="32" t="s">
        <v>263</v>
      </c>
      <c r="H209" s="32"/>
      <c r="I209" s="36"/>
      <c r="J209" s="33" t="s">
        <v>878</v>
      </c>
      <c r="K209" s="36"/>
      <c r="L209" s="36"/>
      <c r="M209" s="36" t="s">
        <v>640</v>
      </c>
      <c r="N209" s="36"/>
      <c r="O209" s="33" t="s">
        <v>879</v>
      </c>
      <c r="P209" s="36" t="s">
        <v>361</v>
      </c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6"/>
      <c r="AD209" s="39">
        <v>300</v>
      </c>
      <c r="AE209" s="37"/>
      <c r="AF209" s="37"/>
      <c r="AG209" s="37"/>
      <c r="AH209" s="34"/>
      <c r="AI209" s="45"/>
      <c r="AJ209" s="37">
        <v>0</v>
      </c>
      <c r="AK209" s="46">
        <v>0</v>
      </c>
      <c r="AL209" s="47">
        <f>AJ209*AK209</f>
        <v>0</v>
      </c>
      <c r="AM209" s="47"/>
      <c r="AN209" s="39" t="e">
        <f>VLOOKUP(D209,'May FF'!B$2:E$201,2,0)</f>
        <v>#N/A</v>
      </c>
      <c r="AO209" s="45"/>
      <c r="AP209" s="45"/>
      <c r="AQ209" s="45"/>
      <c r="AR209" s="45">
        <v>300</v>
      </c>
      <c r="AS209" s="46">
        <v>0.75</v>
      </c>
      <c r="AT209" s="37">
        <f>AR209*AS209</f>
        <v>225</v>
      </c>
      <c r="AU209" s="48"/>
      <c r="AV209" s="49">
        <f>AU209*AS209</f>
        <v>0</v>
      </c>
      <c r="AW209" s="48"/>
      <c r="AX209" s="34"/>
      <c r="AY209" s="45">
        <v>300</v>
      </c>
      <c r="AZ209" s="46">
        <v>1</v>
      </c>
      <c r="BA209" s="37">
        <f>AY209*AZ209</f>
        <v>300</v>
      </c>
      <c r="BB209" s="37"/>
      <c r="BC209" s="80"/>
      <c r="BD209" s="34"/>
      <c r="BE209" s="45">
        <v>300</v>
      </c>
      <c r="BF209" s="40">
        <v>0.9</v>
      </c>
      <c r="BG209" s="37">
        <f>BE209*BF209</f>
        <v>270</v>
      </c>
      <c r="BH209" s="37"/>
      <c r="BI209" s="39">
        <f>BG209-BA209</f>
        <v>-30</v>
      </c>
      <c r="BJ209" s="39"/>
      <c r="BK209" s="80">
        <f>BE209/1000</f>
        <v>0.3</v>
      </c>
      <c r="BL209" s="34"/>
      <c r="BM209" s="45">
        <v>300</v>
      </c>
      <c r="BN209" s="40">
        <v>1</v>
      </c>
      <c r="BO209" s="37">
        <f>BM209*BN209</f>
        <v>300</v>
      </c>
      <c r="BP209" s="37"/>
      <c r="BQ209" s="92">
        <f>BO209-BA209</f>
        <v>0</v>
      </c>
      <c r="BR209" s="59"/>
      <c r="BT209" s="34"/>
      <c r="BU209" s="45">
        <v>300</v>
      </c>
      <c r="BV209" s="40">
        <v>1</v>
      </c>
      <c r="BW209" s="39">
        <f>BU209*BV209</f>
        <v>300</v>
      </c>
      <c r="BX209" s="118">
        <f>BW209-BO209</f>
        <v>0</v>
      </c>
      <c r="BZ209" s="34"/>
      <c r="CA209" s="45">
        <v>300</v>
      </c>
      <c r="CB209" s="40">
        <v>1</v>
      </c>
      <c r="CC209" s="39">
        <f>CA209*CB209</f>
        <v>300</v>
      </c>
      <c r="CD209" s="100">
        <v>300</v>
      </c>
      <c r="CE209" s="92">
        <f>CC209-BW209</f>
        <v>0</v>
      </c>
      <c r="CF209" s="92">
        <f>CC209-BO209</f>
        <v>0</v>
      </c>
      <c r="CH209" s="34"/>
      <c r="CI209" s="45">
        <v>300</v>
      </c>
      <c r="CJ209" s="40">
        <v>1</v>
      </c>
      <c r="CK209" s="39">
        <f>CI209*CJ209</f>
        <v>300</v>
      </c>
      <c r="CL209" s="118">
        <f>CK209-CC209</f>
        <v>0</v>
      </c>
      <c r="CM209" s="34" t="s">
        <v>866</v>
      </c>
      <c r="CN209" s="17"/>
      <c r="CO209" s="45">
        <v>300</v>
      </c>
      <c r="CP209" s="40">
        <v>1</v>
      </c>
      <c r="CQ209" s="39">
        <f t="shared" si="188"/>
        <v>300</v>
      </c>
      <c r="CR209" s="92">
        <f>CQ209-CK209</f>
        <v>0</v>
      </c>
      <c r="CS209" s="91" t="s">
        <v>867</v>
      </c>
      <c r="CT209" s="17"/>
      <c r="CU209" s="45">
        <v>300</v>
      </c>
      <c r="CV209" s="40">
        <v>1</v>
      </c>
      <c r="CW209" s="39">
        <f t="shared" si="189"/>
        <v>300</v>
      </c>
      <c r="CX209" s="45">
        <v>300</v>
      </c>
      <c r="CY209" s="40">
        <v>1</v>
      </c>
      <c r="CZ209" s="39">
        <f t="shared" si="190"/>
        <v>300</v>
      </c>
      <c r="DA209" s="92">
        <f>CW209-CQ209</f>
        <v>0</v>
      </c>
      <c r="DB209" s="92"/>
      <c r="DC209" s="92"/>
      <c r="DD209" s="91"/>
      <c r="DE209" s="91"/>
      <c r="DF209" s="45">
        <v>0</v>
      </c>
      <c r="DG209" s="40">
        <v>1</v>
      </c>
      <c r="DH209" s="39">
        <f t="shared" si="167"/>
        <v>0</v>
      </c>
      <c r="DI209" s="168">
        <f t="shared" si="174"/>
        <v>-300</v>
      </c>
      <c r="DJ209" s="168">
        <f t="shared" si="191"/>
        <v>-300</v>
      </c>
      <c r="DK209" s="91"/>
      <c r="DL209" s="91"/>
      <c r="DM209" s="91"/>
      <c r="DN209" s="92">
        <f t="shared" ref="DN209:DN217" si="192">SUM(DO209:DZ209)</f>
        <v>0</v>
      </c>
      <c r="DO209" s="152"/>
      <c r="DP209" s="152"/>
      <c r="DQ209" s="152"/>
      <c r="DR209" s="152"/>
      <c r="DS209" s="152"/>
      <c r="DT209" s="152"/>
      <c r="DU209" s="152"/>
      <c r="DV209" s="152"/>
      <c r="DW209" s="152"/>
      <c r="DX209" s="152"/>
      <c r="DY209" s="152"/>
      <c r="DZ209" s="152"/>
    </row>
    <row r="210" spans="1:131" s="50" customFormat="1" ht="16.25" hidden="1" customHeight="1" x14ac:dyDescent="0.35">
      <c r="A210" s="36" t="s">
        <v>657</v>
      </c>
      <c r="B210" s="36" t="s">
        <v>660</v>
      </c>
      <c r="C210" s="36" t="s">
        <v>20</v>
      </c>
      <c r="D210" s="16" t="s">
        <v>1031</v>
      </c>
      <c r="E210" s="38" t="s">
        <v>814</v>
      </c>
      <c r="F210" s="38" t="s">
        <v>110</v>
      </c>
      <c r="G210" s="32" t="s">
        <v>101</v>
      </c>
      <c r="H210" s="32"/>
      <c r="I210" s="51" t="s">
        <v>781</v>
      </c>
      <c r="J210" s="33" t="s">
        <v>815</v>
      </c>
      <c r="K210" s="36" t="s">
        <v>248</v>
      </c>
      <c r="L210" s="36"/>
      <c r="M210" s="36"/>
      <c r="N210" s="36" t="s">
        <v>274</v>
      </c>
      <c r="O210" s="33" t="s">
        <v>816</v>
      </c>
      <c r="P210" s="36" t="s">
        <v>361</v>
      </c>
      <c r="Q210" s="39"/>
      <c r="R210" s="39"/>
      <c r="S210" s="39"/>
      <c r="T210" s="39"/>
      <c r="V210" s="39">
        <f>CK210-S210</f>
        <v>750</v>
      </c>
      <c r="W210" s="39"/>
      <c r="X210" s="39"/>
      <c r="Y210" s="39"/>
      <c r="Z210" s="39"/>
      <c r="AA210" s="39"/>
      <c r="AB210" s="39"/>
      <c r="AC210" s="36"/>
      <c r="AD210" s="39">
        <v>3000</v>
      </c>
      <c r="AE210" s="37"/>
      <c r="AF210" s="37"/>
      <c r="AG210" s="37"/>
      <c r="AH210" s="34"/>
      <c r="AI210" s="45"/>
      <c r="AJ210" s="37">
        <v>0</v>
      </c>
      <c r="AK210" s="46">
        <v>0</v>
      </c>
      <c r="AL210" s="47">
        <f>AJ210*AK210</f>
        <v>0</v>
      </c>
      <c r="AM210" s="47"/>
      <c r="AN210" s="39" t="e">
        <f>VLOOKUP(D210,'May FF'!B$2:E$201,2,0)</f>
        <v>#N/A</v>
      </c>
      <c r="AO210" s="45"/>
      <c r="AP210" s="45"/>
      <c r="AQ210" s="45"/>
      <c r="AR210" s="37">
        <v>3000</v>
      </c>
      <c r="AS210" s="46">
        <v>0.5</v>
      </c>
      <c r="AT210" s="37">
        <f>AR210*AS210</f>
        <v>1500</v>
      </c>
      <c r="AU210" s="48"/>
      <c r="AV210" s="49">
        <f>AU210*AS210</f>
        <v>0</v>
      </c>
      <c r="AW210" s="49"/>
      <c r="AX210" s="34"/>
      <c r="AY210" s="37">
        <v>3000</v>
      </c>
      <c r="AZ210" s="46">
        <v>0.25</v>
      </c>
      <c r="BA210" s="37">
        <f>AY210*AZ210</f>
        <v>750</v>
      </c>
      <c r="BB210" s="39">
        <f>BA210-AT210</f>
        <v>-750</v>
      </c>
      <c r="BC210" s="50" t="s">
        <v>781</v>
      </c>
      <c r="BE210" s="37">
        <v>3000</v>
      </c>
      <c r="BF210" s="46">
        <v>0.25</v>
      </c>
      <c r="BG210" s="37">
        <f>BE210*BF210</f>
        <v>750</v>
      </c>
      <c r="BH210" s="37"/>
      <c r="BI210" s="39">
        <f>BG210-BA210</f>
        <v>0</v>
      </c>
      <c r="BJ210" s="39"/>
      <c r="BM210" s="37">
        <v>3000</v>
      </c>
      <c r="BN210" s="46">
        <v>0.25</v>
      </c>
      <c r="BO210" s="37">
        <f>BM210*BN210</f>
        <v>750</v>
      </c>
      <c r="BP210" s="37"/>
      <c r="BQ210" s="92">
        <f>BO210-BA210</f>
        <v>0</v>
      </c>
      <c r="BR210" s="59"/>
      <c r="BU210" s="37">
        <v>3000</v>
      </c>
      <c r="BV210" s="46">
        <v>0.25</v>
      </c>
      <c r="BW210" s="39">
        <f>BU210*BV210</f>
        <v>750</v>
      </c>
      <c r="BX210" s="118">
        <f>BW210-BO210</f>
        <v>0</v>
      </c>
      <c r="CA210" s="37">
        <v>3000</v>
      </c>
      <c r="CB210" s="46">
        <v>0.25</v>
      </c>
      <c r="CC210" s="39">
        <f>CA210*CB210</f>
        <v>750</v>
      </c>
      <c r="CD210" s="100">
        <v>750</v>
      </c>
      <c r="CE210" s="92">
        <f>CC210-BW210</f>
        <v>0</v>
      </c>
      <c r="CF210" s="92">
        <f>CC210-BO210</f>
        <v>0</v>
      </c>
      <c r="CG210" s="50" t="s">
        <v>817</v>
      </c>
      <c r="CI210" s="37">
        <v>1000</v>
      </c>
      <c r="CJ210" s="46">
        <v>0.75</v>
      </c>
      <c r="CK210" s="39">
        <f>CI210*CJ210</f>
        <v>750</v>
      </c>
      <c r="CL210" s="92">
        <f>CK210-CC210</f>
        <v>0</v>
      </c>
      <c r="CM210" s="50" t="s">
        <v>818</v>
      </c>
      <c r="CN210" s="17"/>
      <c r="CO210" s="37">
        <v>1000</v>
      </c>
      <c r="CP210" s="46">
        <v>0.75</v>
      </c>
      <c r="CQ210" s="39">
        <f t="shared" si="188"/>
        <v>750</v>
      </c>
      <c r="CR210" s="92">
        <f>CQ210-CK210</f>
        <v>0</v>
      </c>
      <c r="CS210" s="91"/>
      <c r="CT210" s="17"/>
      <c r="CU210" s="37">
        <v>1000</v>
      </c>
      <c r="CV210" s="46">
        <v>0.75</v>
      </c>
      <c r="CW210" s="39">
        <f t="shared" si="189"/>
        <v>750</v>
      </c>
      <c r="CX210" s="37">
        <v>1000</v>
      </c>
      <c r="CY210" s="46">
        <v>0.75</v>
      </c>
      <c r="CZ210" s="39">
        <f t="shared" si="190"/>
        <v>750</v>
      </c>
      <c r="DA210" s="168">
        <f>CZ210-CQ210</f>
        <v>0</v>
      </c>
      <c r="DB210" s="168">
        <f>CZ210-CW210</f>
        <v>0</v>
      </c>
      <c r="DC210" s="168">
        <f>CZ210-CK210</f>
        <v>0</v>
      </c>
      <c r="DD210" s="91"/>
      <c r="DE210" s="91"/>
      <c r="DF210" s="37">
        <v>1000</v>
      </c>
      <c r="DG210" s="46">
        <v>0.75</v>
      </c>
      <c r="DH210" s="39">
        <f t="shared" si="167"/>
        <v>750</v>
      </c>
      <c r="DI210" s="168">
        <f t="shared" si="174"/>
        <v>0</v>
      </c>
      <c r="DJ210" s="168">
        <f t="shared" si="191"/>
        <v>0</v>
      </c>
      <c r="DK210" s="168"/>
      <c r="DL210" s="168"/>
      <c r="DM210" s="168"/>
      <c r="DN210" s="92">
        <f t="shared" si="192"/>
        <v>750</v>
      </c>
      <c r="DO210" s="152">
        <v>0</v>
      </c>
      <c r="DP210" s="152">
        <v>0</v>
      </c>
      <c r="DQ210" s="152">
        <v>0</v>
      </c>
      <c r="DR210" s="152">
        <v>0</v>
      </c>
      <c r="DS210" s="152">
        <v>0</v>
      </c>
      <c r="DT210" s="152">
        <v>0</v>
      </c>
      <c r="DU210" s="152">
        <v>0</v>
      </c>
      <c r="DV210" s="152">
        <v>300</v>
      </c>
      <c r="DW210" s="152">
        <v>300</v>
      </c>
      <c r="DX210" s="152">
        <v>150</v>
      </c>
      <c r="DY210" s="152">
        <v>0</v>
      </c>
      <c r="DZ210" s="152">
        <v>0</v>
      </c>
      <c r="EA210" s="59"/>
    </row>
    <row r="211" spans="1:131" s="50" customFormat="1" ht="16.25" hidden="1" customHeight="1" x14ac:dyDescent="0.35">
      <c r="A211" s="36" t="s">
        <v>657</v>
      </c>
      <c r="B211" s="36" t="s">
        <v>660</v>
      </c>
      <c r="C211" s="36" t="s">
        <v>20</v>
      </c>
      <c r="D211" s="16" t="s">
        <v>872</v>
      </c>
      <c r="E211" s="38" t="s">
        <v>507</v>
      </c>
      <c r="F211" s="38" t="s">
        <v>100</v>
      </c>
      <c r="G211" s="32" t="s">
        <v>101</v>
      </c>
      <c r="H211" s="32"/>
      <c r="I211" s="36"/>
      <c r="J211" s="38"/>
      <c r="K211" s="36"/>
      <c r="L211" s="36"/>
      <c r="M211" s="36"/>
      <c r="N211" s="36"/>
      <c r="O211" s="38"/>
      <c r="P211" s="36" t="s">
        <v>361</v>
      </c>
      <c r="Q211" s="39"/>
      <c r="R211" s="39"/>
      <c r="S211" s="59"/>
      <c r="T211" s="39"/>
      <c r="U211" s="39"/>
      <c r="V211" s="59"/>
      <c r="W211" s="39">
        <v>200</v>
      </c>
      <c r="X211" s="39"/>
      <c r="Y211" s="39"/>
      <c r="Z211" s="39"/>
      <c r="AA211" s="39"/>
      <c r="AB211" s="39"/>
      <c r="AC211" s="36"/>
      <c r="AD211" s="37">
        <v>2400</v>
      </c>
      <c r="AE211" s="37"/>
      <c r="AF211" s="37"/>
      <c r="AG211" s="37"/>
      <c r="AH211" s="34"/>
      <c r="AI211" s="45"/>
      <c r="AJ211" s="37">
        <v>0</v>
      </c>
      <c r="AK211" s="46">
        <v>0</v>
      </c>
      <c r="AL211" s="47">
        <f>AJ211*AK211</f>
        <v>0</v>
      </c>
      <c r="AM211" s="47"/>
      <c r="AN211" s="39" t="e">
        <f>VLOOKUP(D211,'May FF'!B$2:E$201,2,0)</f>
        <v>#N/A</v>
      </c>
      <c r="AO211" s="45"/>
      <c r="AP211" s="45"/>
      <c r="AQ211" s="45"/>
      <c r="AR211" s="45">
        <v>800</v>
      </c>
      <c r="AS211" s="46">
        <v>0.5</v>
      </c>
      <c r="AT211" s="37">
        <f>AR211*AS211</f>
        <v>400</v>
      </c>
      <c r="AU211" s="48"/>
      <c r="AV211" s="49">
        <f>AU211*AS211</f>
        <v>0</v>
      </c>
      <c r="AW211" s="48"/>
      <c r="AY211" s="45">
        <v>800</v>
      </c>
      <c r="AZ211" s="46">
        <v>0.5</v>
      </c>
      <c r="BA211" s="37">
        <f>AY211*AZ211</f>
        <v>400</v>
      </c>
      <c r="BB211" s="39">
        <f>BA211-AT211</f>
        <v>0</v>
      </c>
      <c r="BE211" s="45">
        <v>800</v>
      </c>
      <c r="BF211" s="46">
        <v>0.5</v>
      </c>
      <c r="BG211" s="37">
        <f>BE211*BF211</f>
        <v>400</v>
      </c>
      <c r="BH211" s="37"/>
      <c r="BI211" s="39">
        <f>BG211-BA211</f>
        <v>0</v>
      </c>
      <c r="BJ211" s="39"/>
      <c r="BM211" s="45">
        <v>800</v>
      </c>
      <c r="BN211" s="46">
        <v>0.5</v>
      </c>
      <c r="BO211" s="37">
        <f>BM211*BN211</f>
        <v>400</v>
      </c>
      <c r="BP211" s="37"/>
      <c r="BQ211" s="92">
        <f>BO211-BA211</f>
        <v>0</v>
      </c>
      <c r="BR211" s="59"/>
      <c r="BU211" s="45">
        <v>800</v>
      </c>
      <c r="BV211" s="46">
        <v>0.5</v>
      </c>
      <c r="BW211" s="39">
        <f>BU211*BV211</f>
        <v>400</v>
      </c>
      <c r="BX211" s="118">
        <f>BW211-BO211</f>
        <v>0</v>
      </c>
      <c r="CA211" s="45">
        <v>800</v>
      </c>
      <c r="CB211" s="46">
        <v>0.5</v>
      </c>
      <c r="CC211" s="39">
        <f>CA211*CB211</f>
        <v>400</v>
      </c>
      <c r="CD211" s="100">
        <v>400</v>
      </c>
      <c r="CE211" s="92">
        <f>CC211-BW211</f>
        <v>0</v>
      </c>
      <c r="CF211" s="92">
        <f>CC211-BO211</f>
        <v>0</v>
      </c>
      <c r="CG211" s="50" t="s">
        <v>873</v>
      </c>
      <c r="CH211" s="59"/>
      <c r="CI211" s="45">
        <v>800</v>
      </c>
      <c r="CJ211" s="46">
        <v>0.5</v>
      </c>
      <c r="CK211" s="39">
        <f>CI211*CJ211</f>
        <v>400</v>
      </c>
      <c r="CL211" s="92">
        <f>CK211-CC211</f>
        <v>0</v>
      </c>
      <c r="CM211" s="50" t="s">
        <v>874</v>
      </c>
      <c r="CN211" s="17"/>
      <c r="CO211" s="45">
        <v>800</v>
      </c>
      <c r="CP211" s="46">
        <v>0.5</v>
      </c>
      <c r="CQ211" s="39">
        <f t="shared" si="188"/>
        <v>400</v>
      </c>
      <c r="CR211" s="92">
        <f>CQ211-CK211</f>
        <v>0</v>
      </c>
      <c r="CS211" s="91" t="s">
        <v>875</v>
      </c>
      <c r="CT211" s="17"/>
      <c r="CU211" s="45">
        <v>800</v>
      </c>
      <c r="CV211" s="46">
        <v>0.5</v>
      </c>
      <c r="CW211" s="39">
        <f t="shared" si="189"/>
        <v>400</v>
      </c>
      <c r="CX211" s="45">
        <v>400</v>
      </c>
      <c r="CY211" s="46">
        <v>0.5</v>
      </c>
      <c r="CZ211" s="39">
        <f t="shared" si="190"/>
        <v>200</v>
      </c>
      <c r="DA211" s="168">
        <f>CZ211-CQ211</f>
        <v>-200</v>
      </c>
      <c r="DB211" s="168">
        <f>CZ211-CW211</f>
        <v>-200</v>
      </c>
      <c r="DC211" s="168">
        <f>CZ211-CK211</f>
        <v>-200</v>
      </c>
      <c r="DF211" s="45">
        <v>0</v>
      </c>
      <c r="DG211" s="46">
        <v>0.5</v>
      </c>
      <c r="DH211" s="39">
        <f t="shared" ref="DH211:DH243" si="193">DF211*DG211</f>
        <v>0</v>
      </c>
      <c r="DI211" s="168">
        <f t="shared" si="174"/>
        <v>-200</v>
      </c>
      <c r="DJ211" s="168">
        <f t="shared" si="191"/>
        <v>-400</v>
      </c>
      <c r="DK211" s="168"/>
      <c r="DL211" s="168"/>
      <c r="DM211" s="168"/>
      <c r="DN211" s="92">
        <f t="shared" si="192"/>
        <v>0</v>
      </c>
      <c r="DO211" s="152">
        <v>0</v>
      </c>
      <c r="DP211" s="152">
        <v>0</v>
      </c>
      <c r="DQ211" s="152">
        <v>0</v>
      </c>
      <c r="DR211" s="152">
        <v>0</v>
      </c>
      <c r="DS211" s="152">
        <v>0</v>
      </c>
      <c r="DT211" s="152">
        <v>0</v>
      </c>
      <c r="DU211" s="152">
        <v>0</v>
      </c>
      <c r="DV211" s="152">
        <v>0</v>
      </c>
      <c r="DW211" s="152">
        <v>0</v>
      </c>
      <c r="DX211" s="152">
        <v>0</v>
      </c>
      <c r="DY211" s="152">
        <v>0</v>
      </c>
      <c r="DZ211" s="152">
        <v>0</v>
      </c>
      <c r="EA211" s="50">
        <v>0</v>
      </c>
    </row>
    <row r="212" spans="1:131" s="50" customFormat="1" ht="16.25" hidden="1" customHeight="1" x14ac:dyDescent="0.35">
      <c r="A212" s="36" t="s">
        <v>657</v>
      </c>
      <c r="B212" s="36" t="s">
        <v>660</v>
      </c>
      <c r="C212" s="36" t="s">
        <v>20</v>
      </c>
      <c r="D212" s="16" t="s">
        <v>872</v>
      </c>
      <c r="E212" s="38" t="s">
        <v>856</v>
      </c>
      <c r="F212" s="38" t="s">
        <v>100</v>
      </c>
      <c r="G212" s="32" t="s">
        <v>101</v>
      </c>
      <c r="H212" s="32"/>
      <c r="I212" s="36"/>
      <c r="J212" s="33"/>
      <c r="K212" s="36"/>
      <c r="L212" s="36"/>
      <c r="M212" s="36"/>
      <c r="N212" s="36"/>
      <c r="O212" s="33"/>
      <c r="P212" s="36" t="s">
        <v>230</v>
      </c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6"/>
      <c r="AD212" s="39"/>
      <c r="AE212" s="37"/>
      <c r="AF212" s="37"/>
      <c r="AG212" s="37"/>
      <c r="AH212" s="34"/>
      <c r="AI212" s="45"/>
      <c r="AJ212" s="37"/>
      <c r="AK212" s="46"/>
      <c r="AL212" s="47"/>
      <c r="AM212" s="47"/>
      <c r="AN212" s="39"/>
      <c r="AO212" s="45"/>
      <c r="AP212" s="45"/>
      <c r="AQ212" s="45"/>
      <c r="AR212" s="45"/>
      <c r="AS212" s="46"/>
      <c r="AT212" s="37"/>
      <c r="AU212" s="48"/>
      <c r="AV212" s="49"/>
      <c r="AW212" s="48"/>
      <c r="AX212" s="34"/>
      <c r="AY212" s="45"/>
      <c r="AZ212" s="46"/>
      <c r="BA212" s="37"/>
      <c r="BB212" s="37"/>
      <c r="BC212" s="80"/>
      <c r="BD212" s="34"/>
      <c r="BE212" s="45"/>
      <c r="BF212" s="40"/>
      <c r="BG212" s="37"/>
      <c r="BH212" s="37"/>
      <c r="BI212" s="39"/>
      <c r="BJ212" s="39"/>
      <c r="BK212" s="80"/>
      <c r="BL212" s="34"/>
      <c r="BM212" s="45"/>
      <c r="BN212" s="40"/>
      <c r="BO212" s="37"/>
      <c r="BP212" s="37"/>
      <c r="BQ212" s="92"/>
      <c r="BR212" s="59"/>
      <c r="BT212" s="34"/>
      <c r="BU212" s="45"/>
      <c r="BV212" s="40"/>
      <c r="BW212" s="39"/>
      <c r="BX212" s="118"/>
      <c r="BZ212" s="34"/>
      <c r="CA212" s="45"/>
      <c r="CB212" s="40"/>
      <c r="CC212" s="39"/>
      <c r="CD212" s="100"/>
      <c r="CE212" s="92"/>
      <c r="CF212" s="92"/>
      <c r="CH212" s="34"/>
      <c r="CI212" s="45"/>
      <c r="CJ212" s="40"/>
      <c r="CK212" s="39"/>
      <c r="CL212" s="118"/>
      <c r="CM212" s="34"/>
      <c r="CN212" s="17"/>
      <c r="CO212" s="45">
        <v>0</v>
      </c>
      <c r="CP212" s="101">
        <v>0</v>
      </c>
      <c r="CQ212" s="39">
        <f t="shared" si="188"/>
        <v>0</v>
      </c>
      <c r="CR212" s="92"/>
      <c r="CS212" s="91"/>
      <c r="CT212" s="17"/>
      <c r="CU212" s="45">
        <v>0</v>
      </c>
      <c r="CV212" s="40">
        <v>0</v>
      </c>
      <c r="CW212" s="39">
        <f t="shared" si="189"/>
        <v>0</v>
      </c>
      <c r="CX212" s="45">
        <v>203</v>
      </c>
      <c r="CY212" s="40">
        <v>1</v>
      </c>
      <c r="CZ212" s="39">
        <f t="shared" si="190"/>
        <v>203</v>
      </c>
      <c r="DA212" s="168">
        <f>CZ212-CQ212</f>
        <v>203</v>
      </c>
      <c r="DB212" s="168">
        <f>CZ212-CW212</f>
        <v>203</v>
      </c>
      <c r="DC212" s="168">
        <f>CZ212-CK212</f>
        <v>203</v>
      </c>
      <c r="DD212" s="91" t="s">
        <v>857</v>
      </c>
      <c r="DE212" s="91"/>
      <c r="DF212" s="45">
        <v>250</v>
      </c>
      <c r="DG212" s="40">
        <v>1</v>
      </c>
      <c r="DH212" s="39">
        <f t="shared" si="193"/>
        <v>250</v>
      </c>
      <c r="DI212" s="168">
        <f t="shared" si="174"/>
        <v>47</v>
      </c>
      <c r="DJ212" s="168">
        <f t="shared" si="191"/>
        <v>250</v>
      </c>
      <c r="DK212" s="91"/>
      <c r="DL212" s="91"/>
      <c r="DM212" s="91"/>
      <c r="DN212" s="92">
        <f t="shared" si="192"/>
        <v>202.5</v>
      </c>
      <c r="DO212" s="152">
        <v>0</v>
      </c>
      <c r="DP212" s="152">
        <v>0</v>
      </c>
      <c r="DQ212" s="152">
        <v>0</v>
      </c>
      <c r="DR212" s="152">
        <v>0</v>
      </c>
      <c r="DS212" s="152">
        <v>0</v>
      </c>
      <c r="DT212" s="152">
        <v>0</v>
      </c>
      <c r="DU212" s="152">
        <v>99.999900000000011</v>
      </c>
      <c r="DV212" s="152">
        <v>0</v>
      </c>
      <c r="DW212" s="152">
        <v>0</v>
      </c>
      <c r="DX212" s="152">
        <v>50.000399999999999</v>
      </c>
      <c r="DY212" s="152">
        <v>0</v>
      </c>
      <c r="DZ212" s="152">
        <v>52.499700000000004</v>
      </c>
    </row>
    <row r="213" spans="1:131" s="50" customFormat="1" ht="16.25" hidden="1" customHeight="1" x14ac:dyDescent="0.35">
      <c r="A213" s="36" t="s">
        <v>657</v>
      </c>
      <c r="B213" s="36" t="s">
        <v>660</v>
      </c>
      <c r="C213" s="36" t="s">
        <v>20</v>
      </c>
      <c r="D213" s="16" t="s">
        <v>880</v>
      </c>
      <c r="E213" s="38" t="s">
        <v>881</v>
      </c>
      <c r="F213" s="38" t="s">
        <v>114</v>
      </c>
      <c r="G213" s="32" t="s">
        <v>101</v>
      </c>
      <c r="H213" s="32"/>
      <c r="I213" s="36"/>
      <c r="J213" s="33"/>
      <c r="K213" s="36"/>
      <c r="L213" s="36"/>
      <c r="M213" s="36" t="s">
        <v>388</v>
      </c>
      <c r="N213" s="36"/>
      <c r="O213" s="33" t="s">
        <v>882</v>
      </c>
      <c r="P213" s="36" t="s">
        <v>193</v>
      </c>
      <c r="Q213" s="39"/>
      <c r="R213" s="39"/>
      <c r="S213" s="39"/>
      <c r="U213" s="39"/>
      <c r="V213" s="39"/>
      <c r="W213" s="39"/>
      <c r="X213" s="39"/>
      <c r="Y213" s="39"/>
      <c r="Z213" s="39"/>
      <c r="AA213" s="39"/>
      <c r="AB213" s="39"/>
      <c r="AC213" s="36"/>
      <c r="AD213" s="39">
        <v>150</v>
      </c>
      <c r="AE213" s="37"/>
      <c r="AF213" s="37"/>
      <c r="AG213" s="37"/>
      <c r="AH213" s="34"/>
      <c r="AI213" s="45"/>
      <c r="AJ213" s="37">
        <v>0</v>
      </c>
      <c r="AK213" s="46">
        <v>0</v>
      </c>
      <c r="AL213" s="47">
        <f t="shared" ref="AL213:AL224" si="194">AJ213*AK213</f>
        <v>0</v>
      </c>
      <c r="AM213" s="47"/>
      <c r="AN213" s="39" t="e">
        <f>VLOOKUP(D213,'May FF'!B$2:E$201,2,0)</f>
        <v>#N/A</v>
      </c>
      <c r="AO213" s="45"/>
      <c r="AP213" s="45"/>
      <c r="AQ213" s="45"/>
      <c r="AR213" s="45">
        <v>150</v>
      </c>
      <c r="AS213" s="46">
        <v>0.75</v>
      </c>
      <c r="AT213" s="37">
        <f t="shared" ref="AT213:AT219" si="195">AR213*AS213</f>
        <v>112.5</v>
      </c>
      <c r="AU213" s="48"/>
      <c r="AV213" s="49">
        <f>AU213*AS213</f>
        <v>0</v>
      </c>
      <c r="AW213" s="48"/>
      <c r="AY213" s="45">
        <v>150</v>
      </c>
      <c r="AZ213" s="46">
        <v>0.75</v>
      </c>
      <c r="BA213" s="37">
        <f t="shared" ref="BA213:BA219" si="196">AY213*AZ213</f>
        <v>112.5</v>
      </c>
      <c r="BB213" s="39">
        <f>BA213-AT213</f>
        <v>0</v>
      </c>
      <c r="BE213" s="45">
        <v>150</v>
      </c>
      <c r="BF213" s="46">
        <v>0.75</v>
      </c>
      <c r="BG213" s="37">
        <f t="shared" ref="BG213:BG219" si="197">BE213*BF213</f>
        <v>112.5</v>
      </c>
      <c r="BH213" s="37"/>
      <c r="BI213" s="39">
        <f t="shared" ref="BI213:BI231" si="198">BG213-BA213</f>
        <v>0</v>
      </c>
      <c r="BJ213" s="39"/>
      <c r="BM213" s="45">
        <v>150</v>
      </c>
      <c r="BN213" s="46">
        <v>0.75</v>
      </c>
      <c r="BO213" s="37">
        <f t="shared" ref="BO213:BO219" si="199">BM213*BN213</f>
        <v>112.5</v>
      </c>
      <c r="BP213" s="37"/>
      <c r="BQ213" s="92">
        <f t="shared" ref="BQ213:BQ231" si="200">BO213-BA213</f>
        <v>0</v>
      </c>
      <c r="BR213" s="59"/>
      <c r="BU213" s="45">
        <v>150</v>
      </c>
      <c r="BV213" s="46">
        <v>0.75</v>
      </c>
      <c r="BW213" s="39">
        <f t="shared" ref="BW213:BW233" si="201">BU213*BV213</f>
        <v>112.5</v>
      </c>
      <c r="BX213" s="118">
        <f t="shared" ref="BX213:BX233" si="202">BW213-BO213</f>
        <v>0</v>
      </c>
      <c r="CA213" s="45">
        <v>150</v>
      </c>
      <c r="CB213" s="46">
        <v>0.75</v>
      </c>
      <c r="CC213" s="39">
        <f t="shared" ref="CC213:CC237" si="203">CA213*CB213</f>
        <v>112.5</v>
      </c>
      <c r="CD213" s="100">
        <v>112.5</v>
      </c>
      <c r="CE213" s="92">
        <f t="shared" ref="CE213:CE237" si="204">CC213-BW213</f>
        <v>0</v>
      </c>
      <c r="CF213" s="92">
        <f t="shared" ref="CF213:CF237" si="205">CC213-BO213</f>
        <v>0</v>
      </c>
      <c r="CI213" s="45">
        <v>0</v>
      </c>
      <c r="CJ213" s="46">
        <v>0</v>
      </c>
      <c r="CK213" s="39">
        <f t="shared" ref="CK213:CK237" si="206">CI213*CJ213</f>
        <v>0</v>
      </c>
      <c r="CL213" s="92">
        <f t="shared" ref="CL213:CL237" si="207">CK213-CC213</f>
        <v>-112.5</v>
      </c>
      <c r="CN213" s="17"/>
      <c r="CO213" s="45">
        <v>0</v>
      </c>
      <c r="CP213" s="46">
        <v>0</v>
      </c>
      <c r="CQ213" s="39">
        <f t="shared" si="188"/>
        <v>0</v>
      </c>
      <c r="CR213" s="92">
        <f t="shared" ref="CR213:CR237" si="208">CQ213-CK213</f>
        <v>0</v>
      </c>
      <c r="CS213" s="91"/>
      <c r="CT213" s="17"/>
      <c r="CU213" s="45">
        <v>0</v>
      </c>
      <c r="CV213" s="46">
        <v>0</v>
      </c>
      <c r="CW213" s="39">
        <f t="shared" si="189"/>
        <v>0</v>
      </c>
      <c r="CX213" s="45">
        <v>0</v>
      </c>
      <c r="CY213" s="46">
        <v>0</v>
      </c>
      <c r="CZ213" s="39">
        <f t="shared" si="190"/>
        <v>0</v>
      </c>
      <c r="DA213" s="168">
        <f>CZ213-CQ213</f>
        <v>0</v>
      </c>
      <c r="DB213" s="168">
        <f>CZ213-CW213</f>
        <v>0</v>
      </c>
      <c r="DC213" s="168">
        <f>CZ213-CK213</f>
        <v>0</v>
      </c>
      <c r="DD213" s="91"/>
      <c r="DE213" s="91"/>
      <c r="DF213" s="45">
        <v>0</v>
      </c>
      <c r="DG213" s="46">
        <v>0</v>
      </c>
      <c r="DH213" s="39">
        <f t="shared" si="193"/>
        <v>0</v>
      </c>
      <c r="DI213" s="168">
        <f t="shared" si="174"/>
        <v>0</v>
      </c>
      <c r="DJ213" s="168">
        <f t="shared" si="191"/>
        <v>0</v>
      </c>
      <c r="DK213" s="168"/>
      <c r="DL213" s="168"/>
      <c r="DM213" s="168"/>
      <c r="DN213" s="92">
        <f t="shared" si="192"/>
        <v>0</v>
      </c>
      <c r="DO213" s="151">
        <v>0</v>
      </c>
      <c r="DP213" s="151">
        <v>0</v>
      </c>
      <c r="DQ213" s="151">
        <v>0</v>
      </c>
      <c r="DR213" s="151">
        <v>0</v>
      </c>
      <c r="DS213" s="151">
        <v>0</v>
      </c>
      <c r="DT213" s="151">
        <v>0</v>
      </c>
      <c r="DU213" s="151">
        <v>0</v>
      </c>
      <c r="DV213" s="151">
        <v>0</v>
      </c>
      <c r="DW213" s="151">
        <v>0</v>
      </c>
      <c r="DX213" s="151">
        <v>0</v>
      </c>
      <c r="DY213" s="151">
        <v>0</v>
      </c>
      <c r="DZ213" s="151">
        <v>0</v>
      </c>
    </row>
    <row r="214" spans="1:131" s="50" customFormat="1" ht="16.25" hidden="1" customHeight="1" x14ac:dyDescent="0.35">
      <c r="A214" s="36" t="s">
        <v>657</v>
      </c>
      <c r="B214" s="36" t="s">
        <v>660</v>
      </c>
      <c r="C214" s="36" t="s">
        <v>27</v>
      </c>
      <c r="D214" s="16" t="s">
        <v>886</v>
      </c>
      <c r="E214" s="33" t="s">
        <v>887</v>
      </c>
      <c r="F214" s="38" t="s">
        <v>110</v>
      </c>
      <c r="G214" s="36" t="s">
        <v>263</v>
      </c>
      <c r="H214" s="36"/>
      <c r="I214" s="36"/>
      <c r="J214" s="33"/>
      <c r="K214" s="36"/>
      <c r="L214" s="36"/>
      <c r="M214" s="36"/>
      <c r="N214" s="36"/>
      <c r="O214" s="33" t="s">
        <v>783</v>
      </c>
      <c r="P214" s="36" t="s">
        <v>193</v>
      </c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6"/>
      <c r="AD214" s="39">
        <v>8000</v>
      </c>
      <c r="AE214" s="39">
        <v>7000</v>
      </c>
      <c r="AF214" s="37"/>
      <c r="AG214" s="37"/>
      <c r="AH214" s="34"/>
      <c r="AI214" s="45"/>
      <c r="AJ214" s="37">
        <v>0</v>
      </c>
      <c r="AK214" s="46">
        <v>0</v>
      </c>
      <c r="AL214" s="47">
        <f t="shared" si="194"/>
        <v>0</v>
      </c>
      <c r="AM214" s="47"/>
      <c r="AN214" s="45"/>
      <c r="AO214" s="45"/>
      <c r="AP214" s="45"/>
      <c r="AQ214" s="45"/>
      <c r="AR214" s="39">
        <v>8000</v>
      </c>
      <c r="AS214" s="40">
        <v>0.25</v>
      </c>
      <c r="AT214" s="39">
        <f t="shared" si="195"/>
        <v>2000</v>
      </c>
      <c r="AU214" s="48"/>
      <c r="AV214" s="49"/>
      <c r="AW214" s="48"/>
      <c r="AY214" s="39">
        <v>8000</v>
      </c>
      <c r="AZ214" s="46">
        <v>1</v>
      </c>
      <c r="BA214" s="39">
        <f t="shared" si="196"/>
        <v>8000</v>
      </c>
      <c r="BB214" s="37">
        <f>AT214-BA214</f>
        <v>-6000</v>
      </c>
      <c r="BC214" s="80"/>
      <c r="BE214" s="39">
        <v>8000</v>
      </c>
      <c r="BF214" s="40">
        <v>0.5</v>
      </c>
      <c r="BG214" s="39">
        <f t="shared" si="197"/>
        <v>4000</v>
      </c>
      <c r="BH214" s="39"/>
      <c r="BI214" s="39">
        <f t="shared" si="198"/>
        <v>-4000</v>
      </c>
      <c r="BJ214" s="39"/>
      <c r="BK214" s="80"/>
      <c r="BM214" s="39">
        <v>0</v>
      </c>
      <c r="BN214" s="40">
        <v>1</v>
      </c>
      <c r="BO214" s="39">
        <f t="shared" si="199"/>
        <v>0</v>
      </c>
      <c r="BP214" s="39"/>
      <c r="BQ214" s="92">
        <f t="shared" si="200"/>
        <v>-8000</v>
      </c>
      <c r="BR214" s="59"/>
      <c r="BS214" s="50" t="s">
        <v>888</v>
      </c>
      <c r="BU214" s="39">
        <v>0</v>
      </c>
      <c r="BV214" s="40">
        <v>1</v>
      </c>
      <c r="BW214" s="39">
        <f t="shared" si="201"/>
        <v>0</v>
      </c>
      <c r="BX214" s="118">
        <f t="shared" si="202"/>
        <v>0</v>
      </c>
      <c r="BY214" s="34"/>
      <c r="CA214" s="39">
        <v>0</v>
      </c>
      <c r="CB214" s="40">
        <v>1</v>
      </c>
      <c r="CC214" s="39">
        <f t="shared" si="203"/>
        <v>0</v>
      </c>
      <c r="CD214" s="100">
        <v>0</v>
      </c>
      <c r="CE214" s="92">
        <f t="shared" si="204"/>
        <v>0</v>
      </c>
      <c r="CF214" s="92">
        <f t="shared" si="205"/>
        <v>0</v>
      </c>
      <c r="CI214" s="39">
        <v>0</v>
      </c>
      <c r="CJ214" s="40">
        <v>1</v>
      </c>
      <c r="CK214" s="39">
        <f t="shared" si="206"/>
        <v>0</v>
      </c>
      <c r="CL214" s="92">
        <f t="shared" si="207"/>
        <v>0</v>
      </c>
      <c r="CN214" s="17"/>
      <c r="CO214" s="39">
        <v>0</v>
      </c>
      <c r="CP214" s="40">
        <v>1</v>
      </c>
      <c r="CQ214" s="39">
        <f t="shared" si="188"/>
        <v>0</v>
      </c>
      <c r="CR214" s="92">
        <f t="shared" si="208"/>
        <v>0</v>
      </c>
      <c r="CS214" s="91"/>
      <c r="CT214" s="17"/>
      <c r="CU214" s="39">
        <v>0</v>
      </c>
      <c r="CV214" s="40">
        <v>1</v>
      </c>
      <c r="CW214" s="39">
        <f t="shared" si="189"/>
        <v>0</v>
      </c>
      <c r="CX214" s="39">
        <v>0</v>
      </c>
      <c r="CY214" s="40">
        <v>1</v>
      </c>
      <c r="CZ214" s="39">
        <f t="shared" si="190"/>
        <v>0</v>
      </c>
      <c r="DA214" s="92">
        <f>CW214-CQ214</f>
        <v>0</v>
      </c>
      <c r="DB214" s="92"/>
      <c r="DC214" s="92"/>
      <c r="DD214" s="91"/>
      <c r="DE214" s="91"/>
      <c r="DF214" s="39">
        <v>0</v>
      </c>
      <c r="DG214" s="40">
        <v>1</v>
      </c>
      <c r="DH214" s="39">
        <f t="shared" si="193"/>
        <v>0</v>
      </c>
      <c r="DI214" s="168">
        <f t="shared" si="174"/>
        <v>0</v>
      </c>
      <c r="DJ214" s="168">
        <f t="shared" si="191"/>
        <v>0</v>
      </c>
      <c r="DK214" s="91"/>
      <c r="DL214" s="91"/>
      <c r="DM214" s="91"/>
      <c r="DN214" s="92">
        <f t="shared" si="192"/>
        <v>0</v>
      </c>
      <c r="DO214" s="152"/>
      <c r="DP214" s="152"/>
      <c r="DQ214" s="152"/>
      <c r="DR214" s="152"/>
      <c r="DS214" s="152"/>
      <c r="DT214" s="152"/>
      <c r="DU214" s="152"/>
      <c r="DV214" s="152"/>
      <c r="DW214" s="152"/>
      <c r="DX214" s="152"/>
      <c r="DY214" s="152"/>
      <c r="DZ214" s="152"/>
    </row>
    <row r="215" spans="1:131" s="50" customFormat="1" ht="16.25" hidden="1" customHeight="1" x14ac:dyDescent="0.35">
      <c r="A215" s="36" t="s">
        <v>657</v>
      </c>
      <c r="B215" s="36" t="s">
        <v>660</v>
      </c>
      <c r="C215" s="36" t="s">
        <v>27</v>
      </c>
      <c r="D215" s="36" t="s">
        <v>889</v>
      </c>
      <c r="E215" s="38" t="s">
        <v>890</v>
      </c>
      <c r="F215" s="38" t="s">
        <v>110</v>
      </c>
      <c r="G215" s="36" t="s">
        <v>263</v>
      </c>
      <c r="H215" s="36"/>
      <c r="I215" s="36"/>
      <c r="J215" s="33"/>
      <c r="K215" s="36"/>
      <c r="L215" s="36"/>
      <c r="M215" s="36"/>
      <c r="N215" s="36"/>
      <c r="O215" s="33" t="s">
        <v>891</v>
      </c>
      <c r="P215" s="36" t="s">
        <v>193</v>
      </c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6"/>
      <c r="AD215" s="39">
        <v>4000</v>
      </c>
      <c r="AE215" s="39"/>
      <c r="AF215" s="37"/>
      <c r="AG215" s="37"/>
      <c r="AH215" s="34"/>
      <c r="AI215" s="45"/>
      <c r="AJ215" s="37">
        <v>0</v>
      </c>
      <c r="AK215" s="46">
        <v>0</v>
      </c>
      <c r="AL215" s="47">
        <f t="shared" si="194"/>
        <v>0</v>
      </c>
      <c r="AM215" s="47"/>
      <c r="AN215" s="45"/>
      <c r="AO215" s="45"/>
      <c r="AP215" s="45"/>
      <c r="AQ215" s="45"/>
      <c r="AR215" s="39">
        <v>4000</v>
      </c>
      <c r="AS215" s="40">
        <v>0.5</v>
      </c>
      <c r="AT215" s="39">
        <f t="shared" si="195"/>
        <v>2000</v>
      </c>
      <c r="AU215" s="48"/>
      <c r="AV215" s="49"/>
      <c r="AW215" s="48"/>
      <c r="AY215" s="39">
        <v>4000</v>
      </c>
      <c r="AZ215" s="46">
        <v>1</v>
      </c>
      <c r="BA215" s="39">
        <f t="shared" si="196"/>
        <v>4000</v>
      </c>
      <c r="BB215" s="37">
        <f>AT215-BA215</f>
        <v>-2000</v>
      </c>
      <c r="BC215" s="80"/>
      <c r="BE215" s="39">
        <v>0</v>
      </c>
      <c r="BF215" s="52">
        <v>0.5</v>
      </c>
      <c r="BG215" s="39">
        <f t="shared" si="197"/>
        <v>0</v>
      </c>
      <c r="BH215" s="39"/>
      <c r="BI215" s="39">
        <f t="shared" si="198"/>
        <v>-4000</v>
      </c>
      <c r="BJ215" s="39"/>
      <c r="BK215" s="80"/>
      <c r="BM215" s="39">
        <v>0</v>
      </c>
      <c r="BN215" s="101">
        <v>1</v>
      </c>
      <c r="BO215" s="39">
        <f t="shared" si="199"/>
        <v>0</v>
      </c>
      <c r="BP215" s="39"/>
      <c r="BQ215" s="92">
        <f t="shared" si="200"/>
        <v>-4000</v>
      </c>
      <c r="BR215" s="59"/>
      <c r="BU215" s="39">
        <v>0</v>
      </c>
      <c r="BV215" s="101">
        <v>1</v>
      </c>
      <c r="BW215" s="39">
        <f t="shared" si="201"/>
        <v>0</v>
      </c>
      <c r="BX215" s="118">
        <f t="shared" si="202"/>
        <v>0</v>
      </c>
      <c r="BY215" s="34"/>
      <c r="CA215" s="37">
        <v>0</v>
      </c>
      <c r="CB215" s="101">
        <v>1</v>
      </c>
      <c r="CC215" s="39">
        <f t="shared" si="203"/>
        <v>0</v>
      </c>
      <c r="CD215" s="100">
        <v>0</v>
      </c>
      <c r="CE215" s="92">
        <f t="shared" si="204"/>
        <v>0</v>
      </c>
      <c r="CF215" s="92">
        <f t="shared" si="205"/>
        <v>0</v>
      </c>
      <c r="CI215" s="37">
        <v>0</v>
      </c>
      <c r="CJ215" s="101">
        <v>1</v>
      </c>
      <c r="CK215" s="39">
        <f t="shared" si="206"/>
        <v>0</v>
      </c>
      <c r="CL215" s="92">
        <f t="shared" si="207"/>
        <v>0</v>
      </c>
      <c r="CN215" s="17"/>
      <c r="CO215" s="37">
        <v>0</v>
      </c>
      <c r="CP215" s="101">
        <v>1</v>
      </c>
      <c r="CQ215" s="39">
        <f t="shared" si="188"/>
        <v>0</v>
      </c>
      <c r="CR215" s="92">
        <f t="shared" si="208"/>
        <v>0</v>
      </c>
      <c r="CS215" s="91"/>
      <c r="CT215" s="17"/>
      <c r="CU215" s="37">
        <v>0</v>
      </c>
      <c r="CV215" s="101">
        <v>1</v>
      </c>
      <c r="CW215" s="39">
        <f t="shared" si="189"/>
        <v>0</v>
      </c>
      <c r="CX215" s="37">
        <v>0</v>
      </c>
      <c r="CY215" s="101">
        <v>1</v>
      </c>
      <c r="CZ215" s="39">
        <f t="shared" si="190"/>
        <v>0</v>
      </c>
      <c r="DA215" s="92">
        <f>CW215-CQ215</f>
        <v>0</v>
      </c>
      <c r="DB215" s="92"/>
      <c r="DC215" s="92"/>
      <c r="DD215" s="91"/>
      <c r="DE215" s="91"/>
      <c r="DF215" s="37">
        <v>0</v>
      </c>
      <c r="DG215" s="101">
        <v>1</v>
      </c>
      <c r="DH215" s="39">
        <f t="shared" si="193"/>
        <v>0</v>
      </c>
      <c r="DI215" s="168">
        <f t="shared" si="174"/>
        <v>0</v>
      </c>
      <c r="DJ215" s="168">
        <f t="shared" si="191"/>
        <v>0</v>
      </c>
      <c r="DK215" s="91"/>
      <c r="DL215" s="91"/>
      <c r="DM215" s="91"/>
      <c r="DN215" s="92">
        <f t="shared" si="192"/>
        <v>0</v>
      </c>
      <c r="DO215" s="152"/>
      <c r="DP215" s="152"/>
      <c r="DQ215" s="152"/>
      <c r="DR215" s="152"/>
      <c r="DS215" s="152"/>
      <c r="DT215" s="152"/>
      <c r="DU215" s="152"/>
      <c r="DV215" s="152"/>
      <c r="DW215" s="152"/>
      <c r="DX215" s="152"/>
      <c r="DY215" s="152"/>
      <c r="DZ215" s="152"/>
    </row>
    <row r="216" spans="1:131" s="50" customFormat="1" ht="16.25" hidden="1" customHeight="1" x14ac:dyDescent="0.35">
      <c r="A216" s="36" t="s">
        <v>657</v>
      </c>
      <c r="B216" s="36" t="s">
        <v>660</v>
      </c>
      <c r="C216" s="36" t="s">
        <v>20</v>
      </c>
      <c r="D216" s="16" t="s">
        <v>883</v>
      </c>
      <c r="E216" s="38" t="s">
        <v>196</v>
      </c>
      <c r="F216" s="38" t="s">
        <v>100</v>
      </c>
      <c r="G216" s="32" t="s">
        <v>101</v>
      </c>
      <c r="H216" s="32"/>
      <c r="I216" s="36"/>
      <c r="J216" s="33"/>
      <c r="K216" s="36"/>
      <c r="L216" s="36"/>
      <c r="M216" s="36"/>
      <c r="N216" s="36"/>
      <c r="O216" s="38" t="s">
        <v>884</v>
      </c>
      <c r="P216" s="36" t="s">
        <v>230</v>
      </c>
      <c r="Q216" s="39"/>
      <c r="R216" s="39"/>
      <c r="T216" s="39"/>
      <c r="V216" s="39">
        <f>CW216</f>
        <v>90</v>
      </c>
      <c r="W216" s="39"/>
      <c r="X216" s="39"/>
      <c r="Y216" s="39"/>
      <c r="Z216" s="39"/>
      <c r="AA216" s="39"/>
      <c r="AB216" s="39"/>
      <c r="AC216" s="36"/>
      <c r="AD216" s="39">
        <v>100</v>
      </c>
      <c r="AE216" s="37"/>
      <c r="AF216" s="37"/>
      <c r="AG216" s="37"/>
      <c r="AH216" s="34"/>
      <c r="AI216" s="34"/>
      <c r="AJ216" s="37">
        <v>0</v>
      </c>
      <c r="AK216" s="46">
        <v>0</v>
      </c>
      <c r="AL216" s="47">
        <f t="shared" si="194"/>
        <v>0</v>
      </c>
      <c r="AM216" s="47"/>
      <c r="AN216" s="39" t="e">
        <f>VLOOKUP(D216,'May FF'!B$2:E$201,2,0)</f>
        <v>#N/A</v>
      </c>
      <c r="AO216" s="45"/>
      <c r="AP216" s="45"/>
      <c r="AQ216" s="45"/>
      <c r="AR216" s="45">
        <v>160</v>
      </c>
      <c r="AS216" s="46">
        <v>0.5</v>
      </c>
      <c r="AT216" s="37">
        <f t="shared" si="195"/>
        <v>80</v>
      </c>
      <c r="AU216" s="48"/>
      <c r="AV216" s="49">
        <f t="shared" ref="AV216:AV225" si="209">AU216*AS216</f>
        <v>0</v>
      </c>
      <c r="AW216" s="48"/>
      <c r="AY216" s="45">
        <v>160</v>
      </c>
      <c r="AZ216" s="46">
        <v>0.5</v>
      </c>
      <c r="BA216" s="37">
        <f t="shared" si="196"/>
        <v>80</v>
      </c>
      <c r="BB216" s="39">
        <f>BA216-AT216</f>
        <v>0</v>
      </c>
      <c r="BE216" s="45">
        <v>100</v>
      </c>
      <c r="BF216" s="46">
        <v>0.9</v>
      </c>
      <c r="BG216" s="37">
        <f t="shared" si="197"/>
        <v>90</v>
      </c>
      <c r="BH216" s="37"/>
      <c r="BI216" s="39">
        <f t="shared" si="198"/>
        <v>10</v>
      </c>
      <c r="BJ216" s="39"/>
      <c r="BM216" s="45">
        <v>100</v>
      </c>
      <c r="BN216" s="46">
        <v>0.9</v>
      </c>
      <c r="BO216" s="37">
        <f t="shared" si="199"/>
        <v>90</v>
      </c>
      <c r="BP216" s="37"/>
      <c r="BQ216" s="92">
        <f t="shared" si="200"/>
        <v>10</v>
      </c>
      <c r="BR216" s="34" t="s">
        <v>106</v>
      </c>
      <c r="BU216" s="45">
        <v>100</v>
      </c>
      <c r="BV216" s="46">
        <v>0.9</v>
      </c>
      <c r="BW216" s="39">
        <f t="shared" si="201"/>
        <v>90</v>
      </c>
      <c r="BX216" s="118">
        <f t="shared" si="202"/>
        <v>0</v>
      </c>
      <c r="CA216" s="45">
        <v>100</v>
      </c>
      <c r="CB216" s="46">
        <v>0.9</v>
      </c>
      <c r="CC216" s="39">
        <f t="shared" si="203"/>
        <v>90</v>
      </c>
      <c r="CD216" s="100">
        <v>90</v>
      </c>
      <c r="CE216" s="92">
        <f t="shared" si="204"/>
        <v>0</v>
      </c>
      <c r="CF216" s="92">
        <f t="shared" si="205"/>
        <v>0</v>
      </c>
      <c r="CG216" s="50" t="s">
        <v>817</v>
      </c>
      <c r="CI216" s="45">
        <v>100</v>
      </c>
      <c r="CJ216" s="46">
        <v>0.9</v>
      </c>
      <c r="CK216" s="39">
        <f t="shared" si="206"/>
        <v>90</v>
      </c>
      <c r="CL216" s="92">
        <f t="shared" si="207"/>
        <v>0</v>
      </c>
      <c r="CN216" s="17"/>
      <c r="CO216" s="45">
        <v>100</v>
      </c>
      <c r="CP216" s="46">
        <v>0.9</v>
      </c>
      <c r="CQ216" s="39">
        <f t="shared" si="188"/>
        <v>90</v>
      </c>
      <c r="CR216" s="92">
        <f t="shared" si="208"/>
        <v>0</v>
      </c>
      <c r="CS216" s="91" t="s">
        <v>885</v>
      </c>
      <c r="CT216" s="17"/>
      <c r="CU216" s="45">
        <v>100</v>
      </c>
      <c r="CV216" s="46">
        <v>0.9</v>
      </c>
      <c r="CW216" s="39">
        <f t="shared" si="189"/>
        <v>90</v>
      </c>
      <c r="CX216" s="45">
        <v>100</v>
      </c>
      <c r="CY216" s="46">
        <v>0.9</v>
      </c>
      <c r="CZ216" s="39">
        <f t="shared" si="190"/>
        <v>90</v>
      </c>
      <c r="DA216" s="168">
        <f>CZ216-CQ216</f>
        <v>0</v>
      </c>
      <c r="DB216" s="168">
        <f>CZ216-CW216</f>
        <v>0</v>
      </c>
      <c r="DC216" s="168">
        <f>CZ216-CK216</f>
        <v>0</v>
      </c>
      <c r="DD216" s="91"/>
      <c r="DE216" s="91"/>
      <c r="DF216" s="45">
        <v>100</v>
      </c>
      <c r="DG216" s="46">
        <v>0.9</v>
      </c>
      <c r="DH216" s="39">
        <f t="shared" si="193"/>
        <v>90</v>
      </c>
      <c r="DI216" s="168">
        <f t="shared" si="174"/>
        <v>0</v>
      </c>
      <c r="DJ216" s="168">
        <f t="shared" si="191"/>
        <v>0</v>
      </c>
      <c r="DK216" s="168" t="s">
        <v>1032</v>
      </c>
      <c r="DL216" s="168"/>
      <c r="DM216" s="168"/>
      <c r="DN216" s="92">
        <f t="shared" si="192"/>
        <v>90</v>
      </c>
      <c r="DO216" s="152"/>
      <c r="DP216" s="152"/>
      <c r="DQ216" s="152"/>
      <c r="DR216" s="152"/>
      <c r="DS216" s="152"/>
      <c r="DT216" s="152"/>
      <c r="DU216" s="152"/>
      <c r="DV216" s="152"/>
      <c r="DW216" s="152"/>
      <c r="DX216" s="152"/>
      <c r="DY216" s="152"/>
      <c r="DZ216" s="152">
        <v>90</v>
      </c>
    </row>
    <row r="217" spans="1:131" s="50" customFormat="1" ht="16.25" hidden="1" customHeight="1" x14ac:dyDescent="0.35">
      <c r="A217" s="36" t="s">
        <v>657</v>
      </c>
      <c r="B217" s="36" t="s">
        <v>660</v>
      </c>
      <c r="C217" s="36" t="s">
        <v>27</v>
      </c>
      <c r="D217" s="16" t="s">
        <v>896</v>
      </c>
      <c r="E217" s="38" t="s">
        <v>897</v>
      </c>
      <c r="F217" s="38" t="s">
        <v>110</v>
      </c>
      <c r="G217" s="32" t="s">
        <v>263</v>
      </c>
      <c r="H217" s="32"/>
      <c r="I217" s="32"/>
      <c r="J217" s="33"/>
      <c r="K217" s="36"/>
      <c r="L217" s="36"/>
      <c r="M217" s="36"/>
      <c r="N217" s="36"/>
      <c r="O217" s="33"/>
      <c r="P217" s="36" t="s">
        <v>193</v>
      </c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6"/>
      <c r="AD217" s="39"/>
      <c r="AE217" s="37"/>
      <c r="AF217" s="37"/>
      <c r="AG217" s="37"/>
      <c r="AH217" s="34"/>
      <c r="AI217" s="45"/>
      <c r="AJ217" s="37">
        <v>0</v>
      </c>
      <c r="AK217" s="46">
        <v>0</v>
      </c>
      <c r="AL217" s="47">
        <f t="shared" si="194"/>
        <v>0</v>
      </c>
      <c r="AM217" s="47"/>
      <c r="AN217" s="45"/>
      <c r="AO217" s="45"/>
      <c r="AP217" s="45"/>
      <c r="AQ217" s="45"/>
      <c r="AR217" s="37">
        <v>1500</v>
      </c>
      <c r="AS217" s="46">
        <v>0.9</v>
      </c>
      <c r="AT217" s="37">
        <f t="shared" si="195"/>
        <v>1350</v>
      </c>
      <c r="AU217" s="48"/>
      <c r="AV217" s="49">
        <f t="shared" si="209"/>
        <v>0</v>
      </c>
      <c r="AW217" s="48"/>
      <c r="AY217" s="37">
        <v>1500</v>
      </c>
      <c r="AZ217" s="46">
        <v>1</v>
      </c>
      <c r="BA217" s="37">
        <f t="shared" si="196"/>
        <v>1500</v>
      </c>
      <c r="BB217" s="37"/>
      <c r="BC217" s="80"/>
      <c r="BE217" s="37">
        <v>1500</v>
      </c>
      <c r="BF217" s="46">
        <v>0.9</v>
      </c>
      <c r="BG217" s="37">
        <f t="shared" si="197"/>
        <v>1350</v>
      </c>
      <c r="BH217" s="37"/>
      <c r="BI217" s="39">
        <f t="shared" si="198"/>
        <v>-150</v>
      </c>
      <c r="BJ217" s="39"/>
      <c r="BK217" s="80">
        <f>BE217/1000</f>
        <v>1.5</v>
      </c>
      <c r="BM217" s="37">
        <v>1500</v>
      </c>
      <c r="BN217" s="101">
        <v>1</v>
      </c>
      <c r="BO217" s="37">
        <f t="shared" si="199"/>
        <v>1500</v>
      </c>
      <c r="BP217" s="37"/>
      <c r="BQ217" s="92">
        <f t="shared" si="200"/>
        <v>0</v>
      </c>
      <c r="BR217" s="59"/>
      <c r="BU217" s="37">
        <v>1500</v>
      </c>
      <c r="BV217" s="101">
        <v>1</v>
      </c>
      <c r="BW217" s="39">
        <f t="shared" si="201"/>
        <v>1500</v>
      </c>
      <c r="BX217" s="118">
        <f t="shared" si="202"/>
        <v>0</v>
      </c>
      <c r="BY217" s="34"/>
      <c r="CA217" s="37">
        <v>0</v>
      </c>
      <c r="CB217" s="101">
        <v>1</v>
      </c>
      <c r="CC217" s="39">
        <f t="shared" si="203"/>
        <v>0</v>
      </c>
      <c r="CD217" s="100">
        <v>0</v>
      </c>
      <c r="CE217" s="92">
        <f t="shared" si="204"/>
        <v>-1500</v>
      </c>
      <c r="CF217" s="92">
        <f t="shared" si="205"/>
        <v>-1500</v>
      </c>
      <c r="CG217" s="50" t="s">
        <v>898</v>
      </c>
      <c r="CI217" s="37">
        <v>0</v>
      </c>
      <c r="CJ217" s="101">
        <v>1</v>
      </c>
      <c r="CK217" s="39">
        <f t="shared" si="206"/>
        <v>0</v>
      </c>
      <c r="CL217" s="92">
        <f t="shared" si="207"/>
        <v>0</v>
      </c>
      <c r="CM217" s="50" t="s">
        <v>898</v>
      </c>
      <c r="CN217" s="17"/>
      <c r="CO217" s="37">
        <v>0</v>
      </c>
      <c r="CP217" s="101">
        <v>1</v>
      </c>
      <c r="CQ217" s="39">
        <f t="shared" si="188"/>
        <v>0</v>
      </c>
      <c r="CR217" s="92">
        <f t="shared" si="208"/>
        <v>0</v>
      </c>
      <c r="CS217" s="91"/>
      <c r="CT217" s="17"/>
      <c r="CU217" s="37">
        <v>0</v>
      </c>
      <c r="CV217" s="101">
        <v>1</v>
      </c>
      <c r="CW217" s="39">
        <f t="shared" si="189"/>
        <v>0</v>
      </c>
      <c r="CX217" s="37">
        <v>0</v>
      </c>
      <c r="CY217" s="101">
        <v>1</v>
      </c>
      <c r="CZ217" s="39">
        <f t="shared" si="190"/>
        <v>0</v>
      </c>
      <c r="DA217" s="92">
        <f>CW217-CQ217</f>
        <v>0</v>
      </c>
      <c r="DB217" s="92"/>
      <c r="DC217" s="92"/>
      <c r="DD217" s="91"/>
      <c r="DE217" s="91"/>
      <c r="DF217" s="37">
        <v>0</v>
      </c>
      <c r="DG217" s="101">
        <v>1</v>
      </c>
      <c r="DH217" s="39">
        <f t="shared" si="193"/>
        <v>0</v>
      </c>
      <c r="DI217" s="168">
        <f t="shared" si="174"/>
        <v>0</v>
      </c>
      <c r="DJ217" s="168">
        <f t="shared" si="191"/>
        <v>0</v>
      </c>
      <c r="DK217" s="91"/>
      <c r="DL217" s="91"/>
      <c r="DM217" s="91"/>
      <c r="DN217" s="92">
        <f t="shared" si="192"/>
        <v>0</v>
      </c>
      <c r="DO217" s="152"/>
      <c r="DP217" s="152"/>
      <c r="DQ217" s="152"/>
      <c r="DR217" s="152"/>
      <c r="DS217" s="152"/>
      <c r="DT217" s="152"/>
      <c r="DU217" s="152"/>
      <c r="DV217" s="152"/>
      <c r="DW217" s="152"/>
      <c r="DX217" s="152"/>
      <c r="DY217" s="152"/>
      <c r="DZ217" s="152"/>
    </row>
    <row r="218" spans="1:131" s="50" customFormat="1" ht="16.25" hidden="1" customHeight="1" x14ac:dyDescent="0.35">
      <c r="A218" s="36" t="s">
        <v>657</v>
      </c>
      <c r="B218" s="36" t="s">
        <v>660</v>
      </c>
      <c r="C218" s="36" t="s">
        <v>27</v>
      </c>
      <c r="D218" s="16" t="s">
        <v>892</v>
      </c>
      <c r="E218" s="208" t="s">
        <v>1033</v>
      </c>
      <c r="F218" s="38" t="s">
        <v>110</v>
      </c>
      <c r="G218" s="36" t="s">
        <v>101</v>
      </c>
      <c r="H218" s="36"/>
      <c r="I218" s="36" t="s">
        <v>727</v>
      </c>
      <c r="J218" s="33" t="s">
        <v>893</v>
      </c>
      <c r="K218" s="36" t="s">
        <v>332</v>
      </c>
      <c r="L218" s="36" t="s">
        <v>764</v>
      </c>
      <c r="M218" s="36" t="s">
        <v>184</v>
      </c>
      <c r="N218" s="36" t="s">
        <v>244</v>
      </c>
      <c r="O218" s="33" t="s">
        <v>894</v>
      </c>
      <c r="P218" s="36" t="s">
        <v>361</v>
      </c>
      <c r="Q218" s="39"/>
      <c r="R218" s="39"/>
      <c r="S218" s="39"/>
      <c r="U218" s="39"/>
      <c r="V218" s="80">
        <f>CK218</f>
        <v>500</v>
      </c>
      <c r="X218" s="39"/>
      <c r="Y218" s="39"/>
      <c r="Z218" s="39"/>
      <c r="AA218" s="39"/>
      <c r="AB218" s="39"/>
      <c r="AC218" s="36"/>
      <c r="AD218" s="39">
        <v>4000</v>
      </c>
      <c r="AE218" s="39">
        <v>3400</v>
      </c>
      <c r="AF218" s="37"/>
      <c r="AG218" s="37"/>
      <c r="AH218" s="34"/>
      <c r="AI218" s="45"/>
      <c r="AJ218" s="37">
        <v>0</v>
      </c>
      <c r="AK218" s="46">
        <v>0</v>
      </c>
      <c r="AL218" s="47">
        <f t="shared" si="194"/>
        <v>0</v>
      </c>
      <c r="AM218" s="47"/>
      <c r="AN218" s="45"/>
      <c r="AO218" s="45"/>
      <c r="AP218" s="45"/>
      <c r="AQ218" s="45"/>
      <c r="AR218" s="39">
        <v>3400</v>
      </c>
      <c r="AS218" s="40">
        <v>0.5</v>
      </c>
      <c r="AT218" s="39">
        <f t="shared" si="195"/>
        <v>1700</v>
      </c>
      <c r="AU218" s="48"/>
      <c r="AV218" s="49">
        <f t="shared" si="209"/>
        <v>0</v>
      </c>
      <c r="AW218" s="48"/>
      <c r="AY218" s="39">
        <v>3400</v>
      </c>
      <c r="AZ218" s="40">
        <v>0.5</v>
      </c>
      <c r="BA218" s="39">
        <f t="shared" si="196"/>
        <v>1700</v>
      </c>
      <c r="BB218" s="39">
        <f>BA218-AT218</f>
        <v>0</v>
      </c>
      <c r="BE218" s="39">
        <v>3400</v>
      </c>
      <c r="BF218" s="40">
        <v>0.5</v>
      </c>
      <c r="BG218" s="39">
        <f t="shared" si="197"/>
        <v>1700</v>
      </c>
      <c r="BH218" s="39"/>
      <c r="BI218" s="39">
        <f t="shared" si="198"/>
        <v>0</v>
      </c>
      <c r="BJ218" s="39"/>
      <c r="BM218" s="39">
        <v>3400</v>
      </c>
      <c r="BN218" s="40">
        <v>0.5</v>
      </c>
      <c r="BO218" s="39">
        <f t="shared" si="199"/>
        <v>1700</v>
      </c>
      <c r="BP218" s="39"/>
      <c r="BQ218" s="92">
        <f t="shared" si="200"/>
        <v>0</v>
      </c>
      <c r="BR218" s="59"/>
      <c r="BU218" s="39">
        <v>3400</v>
      </c>
      <c r="BV218" s="40">
        <v>0.5</v>
      </c>
      <c r="BW218" s="39">
        <f t="shared" si="201"/>
        <v>1700</v>
      </c>
      <c r="BX218" s="118">
        <f t="shared" si="202"/>
        <v>0</v>
      </c>
      <c r="BY218" s="34"/>
      <c r="CA218" s="39">
        <v>2700</v>
      </c>
      <c r="CB218" s="40">
        <v>0.5</v>
      </c>
      <c r="CC218" s="39">
        <f t="shared" si="203"/>
        <v>1350</v>
      </c>
      <c r="CD218" s="100">
        <f>500+200</f>
        <v>700</v>
      </c>
      <c r="CE218" s="92">
        <f t="shared" si="204"/>
        <v>-350</v>
      </c>
      <c r="CF218" s="92">
        <f t="shared" si="205"/>
        <v>-350</v>
      </c>
      <c r="CI218" s="39">
        <v>1000</v>
      </c>
      <c r="CJ218" s="40">
        <v>0.5</v>
      </c>
      <c r="CK218" s="39">
        <f t="shared" si="206"/>
        <v>500</v>
      </c>
      <c r="CL218" s="92">
        <f t="shared" si="207"/>
        <v>-850</v>
      </c>
      <c r="CN218" s="17"/>
      <c r="CO218" s="39">
        <v>1000</v>
      </c>
      <c r="CP218" s="40">
        <v>0.5</v>
      </c>
      <c r="CQ218" s="39">
        <f t="shared" si="188"/>
        <v>500</v>
      </c>
      <c r="CR218" s="92">
        <f t="shared" si="208"/>
        <v>0</v>
      </c>
      <c r="CS218" s="91"/>
      <c r="CT218" s="17"/>
      <c r="CU218" s="39">
        <v>1000</v>
      </c>
      <c r="CV218" s="40">
        <v>0.5</v>
      </c>
      <c r="CW218" s="39">
        <f t="shared" si="189"/>
        <v>500</v>
      </c>
      <c r="CX218" s="39">
        <v>1000</v>
      </c>
      <c r="CY218" s="40">
        <v>0.5</v>
      </c>
      <c r="CZ218" s="39">
        <f t="shared" si="190"/>
        <v>500</v>
      </c>
      <c r="DA218" s="168">
        <f>CZ218-CQ218</f>
        <v>0</v>
      </c>
      <c r="DB218" s="168">
        <f>CZ218-CW218</f>
        <v>0</v>
      </c>
      <c r="DC218" s="168">
        <f>CZ218-CK218</f>
        <v>0</v>
      </c>
      <c r="DD218" s="91" t="s">
        <v>895</v>
      </c>
      <c r="DE218" s="91"/>
      <c r="DF218" s="39">
        <v>2000</v>
      </c>
      <c r="DG218" s="40">
        <v>0.5</v>
      </c>
      <c r="DH218" s="39">
        <f t="shared" si="193"/>
        <v>1000</v>
      </c>
      <c r="DI218" s="168">
        <f t="shared" si="174"/>
        <v>500</v>
      </c>
      <c r="DJ218" s="168">
        <f t="shared" si="191"/>
        <v>500</v>
      </c>
      <c r="DK218" s="168"/>
      <c r="DL218" s="168"/>
      <c r="DM218" s="168"/>
    </row>
    <row r="219" spans="1:131" s="50" customFormat="1" ht="16.25" hidden="1" customHeight="1" x14ac:dyDescent="0.35">
      <c r="A219" s="36" t="s">
        <v>657</v>
      </c>
      <c r="B219" s="36" t="s">
        <v>660</v>
      </c>
      <c r="C219" s="36" t="s">
        <v>27</v>
      </c>
      <c r="D219" s="16" t="s">
        <v>903</v>
      </c>
      <c r="E219" s="33" t="s">
        <v>904</v>
      </c>
      <c r="F219" s="38" t="s">
        <v>110</v>
      </c>
      <c r="G219" s="36" t="s">
        <v>263</v>
      </c>
      <c r="H219" s="36"/>
      <c r="I219" s="36" t="s">
        <v>743</v>
      </c>
      <c r="J219" s="33" t="s">
        <v>905</v>
      </c>
      <c r="K219" s="36" t="s">
        <v>906</v>
      </c>
      <c r="L219" s="36" t="s">
        <v>357</v>
      </c>
      <c r="M219" s="36" t="s">
        <v>255</v>
      </c>
      <c r="N219" s="36" t="s">
        <v>640</v>
      </c>
      <c r="O219" s="33" t="s">
        <v>907</v>
      </c>
      <c r="P219" s="36" t="s">
        <v>193</v>
      </c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6"/>
      <c r="AD219" s="39">
        <v>9000</v>
      </c>
      <c r="AE219" s="39">
        <v>7650</v>
      </c>
      <c r="AF219" s="37"/>
      <c r="AG219" s="37"/>
      <c r="AH219" s="34"/>
      <c r="AI219" s="45"/>
      <c r="AJ219" s="37">
        <v>0</v>
      </c>
      <c r="AK219" s="46">
        <v>0</v>
      </c>
      <c r="AL219" s="47">
        <f t="shared" si="194"/>
        <v>0</v>
      </c>
      <c r="AM219" s="47"/>
      <c r="AN219" s="45"/>
      <c r="AO219" s="45"/>
      <c r="AP219" s="45"/>
      <c r="AQ219" s="45"/>
      <c r="AR219" s="39">
        <v>2295</v>
      </c>
      <c r="AS219" s="40">
        <v>0.25</v>
      </c>
      <c r="AT219" s="39">
        <f t="shared" si="195"/>
        <v>573.75</v>
      </c>
      <c r="AU219" s="48"/>
      <c r="AV219" s="49">
        <f t="shared" si="209"/>
        <v>0</v>
      </c>
      <c r="AW219" s="48"/>
      <c r="AY219" s="39">
        <v>2295</v>
      </c>
      <c r="AZ219" s="46">
        <v>1</v>
      </c>
      <c r="BA219" s="39">
        <f t="shared" si="196"/>
        <v>2295</v>
      </c>
      <c r="BB219" s="37">
        <f>AT219-BA219</f>
        <v>-1721.25</v>
      </c>
      <c r="BC219" s="80"/>
      <c r="BE219" s="39">
        <v>2300</v>
      </c>
      <c r="BF219" s="40">
        <v>0.5</v>
      </c>
      <c r="BG219" s="39">
        <f t="shared" si="197"/>
        <v>1150</v>
      </c>
      <c r="BH219" s="39"/>
      <c r="BI219" s="39">
        <f t="shared" si="198"/>
        <v>-1145</v>
      </c>
      <c r="BJ219" s="39"/>
      <c r="BK219" s="80"/>
      <c r="BM219" s="39">
        <v>0</v>
      </c>
      <c r="BN219" s="40">
        <v>1</v>
      </c>
      <c r="BO219" s="39">
        <f t="shared" si="199"/>
        <v>0</v>
      </c>
      <c r="BP219" s="39"/>
      <c r="BQ219" s="92">
        <f t="shared" si="200"/>
        <v>-2295</v>
      </c>
      <c r="BR219" s="59"/>
      <c r="BU219" s="39">
        <v>0</v>
      </c>
      <c r="BV219" s="40">
        <v>1</v>
      </c>
      <c r="BW219" s="39">
        <f t="shared" si="201"/>
        <v>0</v>
      </c>
      <c r="BX219" s="118">
        <f t="shared" si="202"/>
        <v>0</v>
      </c>
      <c r="BY219" s="34"/>
      <c r="CA219" s="39">
        <v>0</v>
      </c>
      <c r="CB219" s="40">
        <v>1</v>
      </c>
      <c r="CC219" s="39">
        <f t="shared" si="203"/>
        <v>0</v>
      </c>
      <c r="CD219" s="100">
        <v>0</v>
      </c>
      <c r="CE219" s="92">
        <f t="shared" si="204"/>
        <v>0</v>
      </c>
      <c r="CF219" s="92">
        <f t="shared" si="205"/>
        <v>0</v>
      </c>
      <c r="CI219" s="39">
        <v>0</v>
      </c>
      <c r="CJ219" s="40">
        <v>1</v>
      </c>
      <c r="CK219" s="39">
        <f t="shared" si="206"/>
        <v>0</v>
      </c>
      <c r="CL219" s="92">
        <f t="shared" si="207"/>
        <v>0</v>
      </c>
      <c r="CN219" s="17"/>
      <c r="CO219" s="39">
        <v>0</v>
      </c>
      <c r="CP219" s="40">
        <v>1</v>
      </c>
      <c r="CQ219" s="39">
        <f t="shared" si="188"/>
        <v>0</v>
      </c>
      <c r="CR219" s="92">
        <f t="shared" si="208"/>
        <v>0</v>
      </c>
      <c r="CS219" s="91"/>
      <c r="CT219" s="17"/>
      <c r="CU219" s="39">
        <v>0</v>
      </c>
      <c r="CV219" s="40">
        <v>1</v>
      </c>
      <c r="CW219" s="39">
        <f t="shared" si="189"/>
        <v>0</v>
      </c>
      <c r="CX219" s="39">
        <v>0</v>
      </c>
      <c r="CY219" s="40">
        <v>1</v>
      </c>
      <c r="CZ219" s="39">
        <f t="shared" si="190"/>
        <v>0</v>
      </c>
      <c r="DA219" s="92">
        <f>CW219-CQ219</f>
        <v>0</v>
      </c>
      <c r="DB219" s="92"/>
      <c r="DC219" s="92"/>
      <c r="DD219" s="91"/>
      <c r="DE219" s="91"/>
      <c r="DF219" s="39">
        <v>0</v>
      </c>
      <c r="DG219" s="40">
        <v>1</v>
      </c>
      <c r="DH219" s="39">
        <f t="shared" si="193"/>
        <v>0</v>
      </c>
      <c r="DI219" s="168">
        <f t="shared" si="174"/>
        <v>0</v>
      </c>
      <c r="DJ219" s="168">
        <f t="shared" si="191"/>
        <v>0</v>
      </c>
      <c r="DK219" s="91"/>
      <c r="DL219" s="91"/>
      <c r="DM219" s="91"/>
      <c r="DN219" s="92">
        <f>SUM(DO219:DZ219)</f>
        <v>0</v>
      </c>
      <c r="DO219" s="152"/>
      <c r="DP219" s="152"/>
      <c r="DQ219" s="152"/>
      <c r="DR219" s="152"/>
      <c r="DS219" s="152"/>
      <c r="DT219" s="152"/>
      <c r="DU219" s="152"/>
      <c r="DV219" s="152"/>
      <c r="DW219" s="152"/>
      <c r="DX219" s="152"/>
      <c r="DY219" s="152"/>
      <c r="DZ219" s="152"/>
    </row>
    <row r="220" spans="1:131" s="50" customFormat="1" ht="16.25" hidden="1" customHeight="1" x14ac:dyDescent="0.35">
      <c r="A220" s="36" t="s">
        <v>657</v>
      </c>
      <c r="B220" s="36" t="s">
        <v>660</v>
      </c>
      <c r="C220" s="36" t="s">
        <v>27</v>
      </c>
      <c r="D220" s="16" t="s">
        <v>899</v>
      </c>
      <c r="E220" s="38" t="s">
        <v>507</v>
      </c>
      <c r="F220" s="38" t="s">
        <v>100</v>
      </c>
      <c r="G220" s="32" t="s">
        <v>101</v>
      </c>
      <c r="H220" s="32"/>
      <c r="I220" s="53"/>
      <c r="J220" s="38" t="s">
        <v>275</v>
      </c>
      <c r="K220" s="38"/>
      <c r="L220" s="38"/>
      <c r="M220" s="38"/>
      <c r="N220" s="36"/>
      <c r="O220" s="33"/>
      <c r="P220" s="36" t="s">
        <v>361</v>
      </c>
      <c r="Q220" s="39"/>
      <c r="S220" s="39"/>
      <c r="T220" s="39"/>
      <c r="U220" s="39"/>
      <c r="V220" s="39"/>
      <c r="W220" s="39">
        <f>CC220-S220-T220</f>
        <v>925.2</v>
      </c>
      <c r="X220" s="39"/>
      <c r="Y220" s="39"/>
      <c r="Z220" s="39"/>
      <c r="AA220" s="39"/>
      <c r="AB220" s="39"/>
      <c r="AC220" s="36"/>
      <c r="AD220" s="37">
        <v>3000</v>
      </c>
      <c r="AE220" s="37">
        <v>3000</v>
      </c>
      <c r="AF220" s="37"/>
      <c r="AG220" s="37"/>
      <c r="AH220" s="34"/>
      <c r="AI220" s="45"/>
      <c r="AJ220" s="37">
        <v>0</v>
      </c>
      <c r="AK220" s="46">
        <v>0</v>
      </c>
      <c r="AL220" s="47">
        <f t="shared" si="194"/>
        <v>0</v>
      </c>
      <c r="AM220" s="47"/>
      <c r="AN220" s="45"/>
      <c r="AO220" s="45"/>
      <c r="AP220" s="45"/>
      <c r="AQ220" s="45"/>
      <c r="AR220" s="39">
        <v>1000</v>
      </c>
      <c r="AS220" s="40">
        <v>0.5</v>
      </c>
      <c r="AT220" s="39">
        <v>500</v>
      </c>
      <c r="AU220" s="48"/>
      <c r="AV220" s="49">
        <f t="shared" si="209"/>
        <v>0</v>
      </c>
      <c r="AW220" s="48"/>
      <c r="AY220" s="39">
        <v>1000</v>
      </c>
      <c r="AZ220" s="40">
        <v>0.5</v>
      </c>
      <c r="BA220" s="39">
        <v>500</v>
      </c>
      <c r="BB220" s="39">
        <f>BA220-AT220</f>
        <v>0</v>
      </c>
      <c r="BE220" s="39">
        <v>1000</v>
      </c>
      <c r="BF220" s="40">
        <v>0.5</v>
      </c>
      <c r="BG220" s="39">
        <v>500</v>
      </c>
      <c r="BH220" s="39"/>
      <c r="BI220" s="39">
        <f t="shared" si="198"/>
        <v>0</v>
      </c>
      <c r="BJ220" s="39"/>
      <c r="BM220" s="39">
        <v>1000</v>
      </c>
      <c r="BN220" s="40">
        <v>0.5</v>
      </c>
      <c r="BO220" s="39">
        <v>500</v>
      </c>
      <c r="BP220" s="39"/>
      <c r="BQ220" s="92">
        <f t="shared" si="200"/>
        <v>0</v>
      </c>
      <c r="BR220" s="59"/>
      <c r="BU220" s="39">
        <v>1000</v>
      </c>
      <c r="BV220" s="40">
        <v>0.5</v>
      </c>
      <c r="BW220" s="39">
        <f t="shared" si="201"/>
        <v>500</v>
      </c>
      <c r="BX220" s="118">
        <f t="shared" si="202"/>
        <v>0</v>
      </c>
      <c r="BY220" s="34"/>
      <c r="CA220" s="39">
        <v>1028</v>
      </c>
      <c r="CB220" s="40">
        <v>0.9</v>
      </c>
      <c r="CC220" s="39">
        <f t="shared" si="203"/>
        <v>925.2</v>
      </c>
      <c r="CD220" s="100">
        <v>925.2</v>
      </c>
      <c r="CE220" s="92">
        <f t="shared" si="204"/>
        <v>425.20000000000005</v>
      </c>
      <c r="CF220" s="92">
        <f t="shared" si="205"/>
        <v>425.20000000000005</v>
      </c>
      <c r="CG220" s="50" t="s">
        <v>900</v>
      </c>
      <c r="CI220" s="39">
        <v>1028</v>
      </c>
      <c r="CJ220" s="40">
        <v>0.9</v>
      </c>
      <c r="CK220" s="39">
        <f t="shared" si="206"/>
        <v>925.2</v>
      </c>
      <c r="CL220" s="92">
        <f t="shared" si="207"/>
        <v>0</v>
      </c>
      <c r="CN220" s="17"/>
      <c r="CO220" s="39">
        <v>1028</v>
      </c>
      <c r="CP220" s="40">
        <v>0.9</v>
      </c>
      <c r="CQ220" s="39">
        <f t="shared" si="188"/>
        <v>925.2</v>
      </c>
      <c r="CR220" s="92">
        <f t="shared" si="208"/>
        <v>0</v>
      </c>
      <c r="CS220" s="91" t="s">
        <v>901</v>
      </c>
      <c r="CT220" s="17"/>
      <c r="CU220" s="39">
        <v>1028</v>
      </c>
      <c r="CV220" s="40">
        <v>0.9</v>
      </c>
      <c r="CW220" s="39">
        <f t="shared" si="189"/>
        <v>925.2</v>
      </c>
      <c r="CX220" s="39">
        <v>1028</v>
      </c>
      <c r="CY220" s="40">
        <v>0.9</v>
      </c>
      <c r="CZ220" s="39">
        <f t="shared" si="190"/>
        <v>925.2</v>
      </c>
      <c r="DA220" s="168">
        <f>CZ220-CQ220</f>
        <v>0</v>
      </c>
      <c r="DB220" s="168">
        <f>CZ220-CW220</f>
        <v>0</v>
      </c>
      <c r="DC220" s="168">
        <f>CZ220-CK220</f>
        <v>0</v>
      </c>
      <c r="DD220" s="91"/>
      <c r="DE220" s="91"/>
      <c r="DF220" s="75">
        <v>850</v>
      </c>
      <c r="DG220" s="145">
        <v>0.5</v>
      </c>
      <c r="DH220" s="75">
        <f t="shared" si="193"/>
        <v>425</v>
      </c>
      <c r="DI220" s="168">
        <f t="shared" si="174"/>
        <v>-500.20000000000005</v>
      </c>
      <c r="DJ220" s="168">
        <f t="shared" si="191"/>
        <v>-500.20000000000005</v>
      </c>
      <c r="DL220" s="168"/>
      <c r="DM220" s="168"/>
      <c r="DN220" s="92">
        <f>SUM(DO220:DY220)</f>
        <v>500</v>
      </c>
      <c r="DO220" s="152"/>
      <c r="DP220" s="152"/>
      <c r="DQ220" s="152"/>
      <c r="DR220" s="152"/>
      <c r="DS220" s="152"/>
      <c r="DT220" s="152"/>
      <c r="DU220" s="152"/>
      <c r="DV220" s="152"/>
      <c r="DW220" s="152">
        <v>100</v>
      </c>
      <c r="DX220" s="152">
        <v>300</v>
      </c>
      <c r="DY220" s="152">
        <v>100</v>
      </c>
      <c r="DZ220" s="50">
        <v>100</v>
      </c>
    </row>
    <row r="221" spans="1:131" s="50" customFormat="1" ht="16.25" hidden="1" customHeight="1" x14ac:dyDescent="0.35">
      <c r="A221" s="36" t="s">
        <v>657</v>
      </c>
      <c r="B221" s="36" t="s">
        <v>660</v>
      </c>
      <c r="C221" s="36" t="s">
        <v>27</v>
      </c>
      <c r="D221" s="16" t="s">
        <v>899</v>
      </c>
      <c r="E221" s="38" t="s">
        <v>902</v>
      </c>
      <c r="F221" s="38" t="s">
        <v>100</v>
      </c>
      <c r="G221" s="32" t="s">
        <v>101</v>
      </c>
      <c r="H221" s="32"/>
      <c r="I221" s="53"/>
      <c r="J221" s="38"/>
      <c r="K221" s="38"/>
      <c r="L221" s="38"/>
      <c r="M221" s="38"/>
      <c r="N221" s="36"/>
      <c r="O221" s="33"/>
      <c r="P221" s="36" t="s">
        <v>361</v>
      </c>
      <c r="Q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6"/>
      <c r="AD221" s="37"/>
      <c r="AE221" s="37"/>
      <c r="AF221" s="37"/>
      <c r="AG221" s="37"/>
      <c r="AH221" s="34"/>
      <c r="AI221" s="45"/>
      <c r="AJ221" s="37"/>
      <c r="AK221" s="46"/>
      <c r="AL221" s="47"/>
      <c r="AM221" s="47"/>
      <c r="AN221" s="45"/>
      <c r="AO221" s="45"/>
      <c r="AP221" s="45"/>
      <c r="AQ221" s="45"/>
      <c r="AR221" s="39"/>
      <c r="AS221" s="40"/>
      <c r="AT221" s="39"/>
      <c r="AU221" s="48"/>
      <c r="AV221" s="49"/>
      <c r="AW221" s="48"/>
      <c r="AY221" s="39"/>
      <c r="AZ221" s="40"/>
      <c r="BA221" s="39"/>
      <c r="BB221" s="39"/>
      <c r="BE221" s="39"/>
      <c r="BF221" s="40"/>
      <c r="BG221" s="39"/>
      <c r="BH221" s="39"/>
      <c r="BI221" s="39"/>
      <c r="BJ221" s="39"/>
      <c r="BM221" s="39"/>
      <c r="BN221" s="40"/>
      <c r="BO221" s="39"/>
      <c r="BP221" s="39"/>
      <c r="BQ221" s="92"/>
      <c r="BR221" s="59"/>
      <c r="BU221" s="39"/>
      <c r="BV221" s="40"/>
      <c r="BW221" s="39"/>
      <c r="BX221" s="118"/>
      <c r="BY221" s="34"/>
      <c r="CA221" s="39"/>
      <c r="CB221" s="40"/>
      <c r="CC221" s="39"/>
      <c r="CD221" s="100"/>
      <c r="CE221" s="92"/>
      <c r="CF221" s="92"/>
      <c r="CI221" s="39"/>
      <c r="CJ221" s="40"/>
      <c r="CK221" s="39"/>
      <c r="CL221" s="92"/>
      <c r="CN221" s="17"/>
      <c r="CO221" s="39"/>
      <c r="CP221" s="40"/>
      <c r="CQ221" s="39"/>
      <c r="CR221" s="92"/>
      <c r="CS221" s="91"/>
      <c r="CT221" s="17"/>
      <c r="CU221" s="39"/>
      <c r="CV221" s="40"/>
      <c r="CW221" s="39"/>
      <c r="CX221" s="39"/>
      <c r="CY221" s="40"/>
      <c r="CZ221" s="39"/>
      <c r="DA221" s="168"/>
      <c r="DB221" s="168"/>
      <c r="DC221" s="168"/>
      <c r="DD221" s="91"/>
      <c r="DE221" s="91"/>
      <c r="DF221" s="75">
        <v>555</v>
      </c>
      <c r="DG221" s="145">
        <v>0.9</v>
      </c>
      <c r="DH221" s="75">
        <f t="shared" si="193"/>
        <v>499.5</v>
      </c>
      <c r="DI221" s="168">
        <f t="shared" si="174"/>
        <v>499.5</v>
      </c>
      <c r="DJ221" s="168">
        <f t="shared" si="191"/>
        <v>499.5</v>
      </c>
      <c r="DK221" s="168"/>
      <c r="DL221" s="168"/>
      <c r="DM221" s="168"/>
      <c r="DN221" s="92"/>
      <c r="DO221" s="152"/>
      <c r="DP221" s="152"/>
      <c r="DQ221" s="152"/>
      <c r="DR221" s="152"/>
      <c r="DS221" s="152"/>
      <c r="DT221" s="152"/>
      <c r="DU221" s="152"/>
      <c r="DV221" s="152"/>
      <c r="DW221" s="152"/>
      <c r="DX221" s="152"/>
      <c r="DY221" s="152"/>
    </row>
    <row r="222" spans="1:131" s="50" customFormat="1" ht="16.25" hidden="1" customHeight="1" x14ac:dyDescent="0.35">
      <c r="A222" s="36" t="s">
        <v>657</v>
      </c>
      <c r="B222" s="36" t="s">
        <v>660</v>
      </c>
      <c r="C222" s="36" t="s">
        <v>27</v>
      </c>
      <c r="D222" s="16" t="s">
        <v>908</v>
      </c>
      <c r="E222" s="33" t="s">
        <v>909</v>
      </c>
      <c r="F222" s="38" t="s">
        <v>110</v>
      </c>
      <c r="G222" s="36" t="s">
        <v>101</v>
      </c>
      <c r="H222" s="36"/>
      <c r="I222" s="51" t="s">
        <v>781</v>
      </c>
      <c r="J222" s="38" t="s">
        <v>910</v>
      </c>
      <c r="K222" s="36" t="s">
        <v>389</v>
      </c>
      <c r="L222" s="36" t="s">
        <v>149</v>
      </c>
      <c r="M222" s="36" t="s">
        <v>201</v>
      </c>
      <c r="N222" s="36" t="s">
        <v>184</v>
      </c>
      <c r="O222" s="33" t="s">
        <v>911</v>
      </c>
      <c r="P222" s="36" t="s">
        <v>193</v>
      </c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6"/>
      <c r="AD222" s="37">
        <v>2000</v>
      </c>
      <c r="AE222" s="37">
        <v>1700</v>
      </c>
      <c r="AF222" s="37"/>
      <c r="AG222" s="37"/>
      <c r="AH222" s="34"/>
      <c r="AI222" s="45"/>
      <c r="AJ222" s="37">
        <v>0</v>
      </c>
      <c r="AK222" s="46">
        <v>0</v>
      </c>
      <c r="AL222" s="47">
        <f t="shared" si="194"/>
        <v>0</v>
      </c>
      <c r="AM222" s="47"/>
      <c r="AN222" s="37"/>
      <c r="AO222" s="37"/>
      <c r="AP222" s="37"/>
      <c r="AQ222" s="37"/>
      <c r="AR222" s="39">
        <v>1700</v>
      </c>
      <c r="AS222" s="40">
        <v>0.25</v>
      </c>
      <c r="AT222" s="39">
        <f>AR222*AS222</f>
        <v>425</v>
      </c>
      <c r="AU222" s="48"/>
      <c r="AV222" s="49">
        <f t="shared" si="209"/>
        <v>0</v>
      </c>
      <c r="AW222" s="48"/>
      <c r="AY222" s="39">
        <v>1700</v>
      </c>
      <c r="AZ222" s="40">
        <v>0.25</v>
      </c>
      <c r="BA222" s="39">
        <f t="shared" ref="BA222:BA231" si="210">AY222*AZ222</f>
        <v>425</v>
      </c>
      <c r="BB222" s="39">
        <f>BA222-AT222</f>
        <v>0</v>
      </c>
      <c r="BE222" s="39">
        <v>1700</v>
      </c>
      <c r="BF222" s="40">
        <v>0.25</v>
      </c>
      <c r="BG222" s="39">
        <f t="shared" ref="BG222:BG231" si="211">BE222*BF222</f>
        <v>425</v>
      </c>
      <c r="BH222" s="39"/>
      <c r="BI222" s="39">
        <f t="shared" si="198"/>
        <v>0</v>
      </c>
      <c r="BJ222" s="39"/>
      <c r="BM222" s="39">
        <v>1700</v>
      </c>
      <c r="BN222" s="40">
        <v>0.25</v>
      </c>
      <c r="BO222" s="39">
        <f t="shared" ref="BO222:BO233" si="212">BM222*BN222</f>
        <v>425</v>
      </c>
      <c r="BP222" s="39"/>
      <c r="BQ222" s="92">
        <f t="shared" si="200"/>
        <v>0</v>
      </c>
      <c r="BR222" s="59"/>
      <c r="BU222" s="39">
        <v>1700</v>
      </c>
      <c r="BV222" s="40">
        <v>0.25</v>
      </c>
      <c r="BW222" s="39">
        <f t="shared" si="201"/>
        <v>425</v>
      </c>
      <c r="BX222" s="118">
        <f t="shared" si="202"/>
        <v>0</v>
      </c>
      <c r="BY222" s="34"/>
      <c r="CA222" s="39">
        <v>1700</v>
      </c>
      <c r="CB222" s="40">
        <v>0</v>
      </c>
      <c r="CC222" s="39">
        <f t="shared" si="203"/>
        <v>0</v>
      </c>
      <c r="CD222" s="100">
        <v>0</v>
      </c>
      <c r="CE222" s="92">
        <f t="shared" si="204"/>
        <v>-425</v>
      </c>
      <c r="CF222" s="92">
        <f t="shared" si="205"/>
        <v>-425</v>
      </c>
      <c r="CI222" s="39">
        <v>1700</v>
      </c>
      <c r="CJ222" s="40">
        <v>0</v>
      </c>
      <c r="CK222" s="39">
        <f t="shared" si="206"/>
        <v>0</v>
      </c>
      <c r="CL222" s="92">
        <f t="shared" si="207"/>
        <v>0</v>
      </c>
      <c r="CN222" s="17"/>
      <c r="CO222" s="39">
        <v>1700</v>
      </c>
      <c r="CP222" s="40">
        <v>0</v>
      </c>
      <c r="CQ222" s="39">
        <f t="shared" si="188"/>
        <v>0</v>
      </c>
      <c r="CR222" s="92">
        <f t="shared" si="208"/>
        <v>0</v>
      </c>
      <c r="CS222" s="91"/>
      <c r="CT222" s="17"/>
      <c r="CU222" s="39">
        <v>1700</v>
      </c>
      <c r="CV222" s="40">
        <v>0</v>
      </c>
      <c r="CW222" s="39">
        <f t="shared" si="189"/>
        <v>0</v>
      </c>
      <c r="CX222" s="39">
        <v>1700</v>
      </c>
      <c r="CY222" s="40">
        <v>0</v>
      </c>
      <c r="CZ222" s="39">
        <f t="shared" si="190"/>
        <v>0</v>
      </c>
      <c r="DA222" s="168">
        <f>CZ222-CQ222</f>
        <v>0</v>
      </c>
      <c r="DB222" s="168">
        <f>CZ222-CW222</f>
        <v>0</v>
      </c>
      <c r="DC222" s="168">
        <f>CZ222-CK222</f>
        <v>0</v>
      </c>
      <c r="DD222" s="91"/>
      <c r="DE222" s="91"/>
      <c r="DF222" s="39">
        <v>0</v>
      </c>
      <c r="DG222" s="40">
        <v>0</v>
      </c>
      <c r="DH222" s="39">
        <f t="shared" si="193"/>
        <v>0</v>
      </c>
      <c r="DI222" s="168">
        <f t="shared" si="174"/>
        <v>0</v>
      </c>
      <c r="DJ222" s="168">
        <f t="shared" si="191"/>
        <v>0</v>
      </c>
      <c r="DK222" s="168"/>
      <c r="DL222" s="168"/>
      <c r="DM222" s="168"/>
      <c r="DN222" s="92">
        <f t="shared" ref="DN222:DN248" si="213">SUM(DO222:DZ222)</f>
        <v>0</v>
      </c>
      <c r="DO222" s="151">
        <v>0</v>
      </c>
      <c r="DP222" s="151">
        <v>0</v>
      </c>
      <c r="DQ222" s="151">
        <v>0</v>
      </c>
      <c r="DR222" s="151">
        <v>0</v>
      </c>
      <c r="DS222" s="151">
        <v>0</v>
      </c>
      <c r="DT222" s="151">
        <v>0</v>
      </c>
      <c r="DU222" s="151">
        <v>0</v>
      </c>
      <c r="DV222" s="151">
        <v>0</v>
      </c>
      <c r="DW222" s="151">
        <v>0</v>
      </c>
      <c r="DX222" s="151">
        <v>0</v>
      </c>
      <c r="DY222" s="151">
        <v>0</v>
      </c>
      <c r="DZ222" s="151">
        <v>0</v>
      </c>
    </row>
    <row r="223" spans="1:131" s="50" customFormat="1" ht="16.25" hidden="1" customHeight="1" x14ac:dyDescent="0.35">
      <c r="A223" s="36" t="s">
        <v>657</v>
      </c>
      <c r="B223" s="36" t="s">
        <v>660</v>
      </c>
      <c r="C223" s="36" t="s">
        <v>27</v>
      </c>
      <c r="D223" s="16" t="s">
        <v>912</v>
      </c>
      <c r="E223" s="33" t="s">
        <v>913</v>
      </c>
      <c r="F223" s="38" t="s">
        <v>110</v>
      </c>
      <c r="G223" s="36" t="s">
        <v>101</v>
      </c>
      <c r="H223" s="36"/>
      <c r="I223" s="36"/>
      <c r="J223" s="33" t="s">
        <v>914</v>
      </c>
      <c r="K223" s="36" t="s">
        <v>915</v>
      </c>
      <c r="L223" s="36" t="s">
        <v>915</v>
      </c>
      <c r="M223" s="36" t="s">
        <v>388</v>
      </c>
      <c r="N223" s="36" t="s">
        <v>389</v>
      </c>
      <c r="O223" s="33" t="s">
        <v>294</v>
      </c>
      <c r="P223" s="36" t="s">
        <v>193</v>
      </c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6"/>
      <c r="AD223" s="37">
        <v>400</v>
      </c>
      <c r="AE223" s="37">
        <v>0</v>
      </c>
      <c r="AF223" s="37"/>
      <c r="AG223" s="37"/>
      <c r="AH223" s="34"/>
      <c r="AI223" s="45"/>
      <c r="AJ223" s="37">
        <v>0</v>
      </c>
      <c r="AK223" s="46">
        <v>0</v>
      </c>
      <c r="AL223" s="47">
        <f t="shared" si="194"/>
        <v>0</v>
      </c>
      <c r="AM223" s="47"/>
      <c r="AN223" s="45"/>
      <c r="AO223" s="45"/>
      <c r="AP223" s="45"/>
      <c r="AQ223" s="45"/>
      <c r="AR223" s="39">
        <v>400</v>
      </c>
      <c r="AS223" s="40">
        <v>0.5</v>
      </c>
      <c r="AT223" s="39">
        <f>AR223*AS223</f>
        <v>200</v>
      </c>
      <c r="AU223" s="48"/>
      <c r="AV223" s="49">
        <f t="shared" si="209"/>
        <v>0</v>
      </c>
      <c r="AW223" s="48"/>
      <c r="AY223" s="39">
        <v>400</v>
      </c>
      <c r="AZ223" s="40">
        <v>0.5</v>
      </c>
      <c r="BA223" s="39">
        <f t="shared" si="210"/>
        <v>200</v>
      </c>
      <c r="BB223" s="39">
        <f>BA223-AT223</f>
        <v>0</v>
      </c>
      <c r="BE223" s="39">
        <v>400</v>
      </c>
      <c r="BF223" s="40">
        <v>0.5</v>
      </c>
      <c r="BG223" s="39">
        <f t="shared" si="211"/>
        <v>200</v>
      </c>
      <c r="BH223" s="39"/>
      <c r="BI223" s="39">
        <f t="shared" si="198"/>
        <v>0</v>
      </c>
      <c r="BJ223" s="39"/>
      <c r="BM223" s="39">
        <v>400</v>
      </c>
      <c r="BN223" s="40">
        <v>0.5</v>
      </c>
      <c r="BO223" s="39">
        <f t="shared" si="212"/>
        <v>200</v>
      </c>
      <c r="BP223" s="39"/>
      <c r="BQ223" s="92">
        <f t="shared" si="200"/>
        <v>0</v>
      </c>
      <c r="BR223" s="59"/>
      <c r="BU223" s="39">
        <v>400</v>
      </c>
      <c r="BV223" s="40">
        <v>0.5</v>
      </c>
      <c r="BW223" s="39">
        <f t="shared" si="201"/>
        <v>200</v>
      </c>
      <c r="BX223" s="118">
        <f t="shared" si="202"/>
        <v>0</v>
      </c>
      <c r="BY223" s="34"/>
      <c r="CA223" s="39">
        <v>0</v>
      </c>
      <c r="CB223" s="40">
        <v>0</v>
      </c>
      <c r="CC223" s="39">
        <f t="shared" si="203"/>
        <v>0</v>
      </c>
      <c r="CD223" s="100">
        <v>0</v>
      </c>
      <c r="CE223" s="92">
        <f t="shared" si="204"/>
        <v>-200</v>
      </c>
      <c r="CF223" s="92">
        <f t="shared" si="205"/>
        <v>-200</v>
      </c>
      <c r="CI223" s="39">
        <v>0</v>
      </c>
      <c r="CJ223" s="40">
        <v>0</v>
      </c>
      <c r="CK223" s="39">
        <f t="shared" si="206"/>
        <v>0</v>
      </c>
      <c r="CL223" s="92">
        <f t="shared" si="207"/>
        <v>0</v>
      </c>
      <c r="CN223" s="17"/>
      <c r="CO223" s="39">
        <v>0</v>
      </c>
      <c r="CP223" s="40">
        <v>0</v>
      </c>
      <c r="CQ223" s="39">
        <f t="shared" si="188"/>
        <v>0</v>
      </c>
      <c r="CR223" s="92">
        <f t="shared" si="208"/>
        <v>0</v>
      </c>
      <c r="CS223" s="91"/>
      <c r="CT223" s="17"/>
      <c r="CU223" s="39">
        <v>0</v>
      </c>
      <c r="CV223" s="40">
        <v>0</v>
      </c>
      <c r="CW223" s="39">
        <f t="shared" si="189"/>
        <v>0</v>
      </c>
      <c r="CX223" s="39">
        <v>0</v>
      </c>
      <c r="CY223" s="40">
        <v>0</v>
      </c>
      <c r="CZ223" s="39">
        <f t="shared" si="190"/>
        <v>0</v>
      </c>
      <c r="DA223" s="168">
        <f>CZ223-CQ223</f>
        <v>0</v>
      </c>
      <c r="DB223" s="168">
        <f>CZ223-CW223</f>
        <v>0</v>
      </c>
      <c r="DC223" s="168">
        <f>CZ223-CK223</f>
        <v>0</v>
      </c>
      <c r="DD223" s="91"/>
      <c r="DE223" s="91"/>
      <c r="DF223" s="39">
        <v>0</v>
      </c>
      <c r="DG223" s="40">
        <v>0</v>
      </c>
      <c r="DH223" s="39">
        <f t="shared" si="193"/>
        <v>0</v>
      </c>
      <c r="DI223" s="168">
        <f t="shared" si="174"/>
        <v>0</v>
      </c>
      <c r="DJ223" s="168">
        <f t="shared" si="191"/>
        <v>0</v>
      </c>
      <c r="DK223" s="168"/>
      <c r="DL223" s="168"/>
      <c r="DM223" s="168"/>
      <c r="DN223" s="92">
        <f t="shared" si="213"/>
        <v>0</v>
      </c>
      <c r="DO223" s="151">
        <v>0</v>
      </c>
      <c r="DP223" s="151">
        <v>0</v>
      </c>
      <c r="DQ223" s="151">
        <v>0</v>
      </c>
      <c r="DR223" s="151">
        <v>0</v>
      </c>
      <c r="DS223" s="151">
        <v>0</v>
      </c>
      <c r="DT223" s="151">
        <v>0</v>
      </c>
      <c r="DU223" s="151">
        <v>0</v>
      </c>
      <c r="DV223" s="151">
        <v>0</v>
      </c>
      <c r="DW223" s="151">
        <v>0</v>
      </c>
      <c r="DX223" s="151">
        <v>0</v>
      </c>
      <c r="DY223" s="151">
        <v>0</v>
      </c>
      <c r="DZ223" s="151">
        <v>0</v>
      </c>
    </row>
    <row r="224" spans="1:131" s="50" customFormat="1" ht="16.25" hidden="1" customHeight="1" x14ac:dyDescent="0.35">
      <c r="A224" s="36" t="s">
        <v>657</v>
      </c>
      <c r="B224" s="36" t="s">
        <v>660</v>
      </c>
      <c r="C224" s="36" t="s">
        <v>28</v>
      </c>
      <c r="D224" s="15" t="s">
        <v>916</v>
      </c>
      <c r="E224" s="38" t="s">
        <v>917</v>
      </c>
      <c r="F224" s="38" t="s">
        <v>114</v>
      </c>
      <c r="G224" s="32" t="s">
        <v>263</v>
      </c>
      <c r="H224" s="32"/>
      <c r="I224" s="36" t="s">
        <v>662</v>
      </c>
      <c r="J224" s="34"/>
      <c r="K224" s="36"/>
      <c r="L224" s="36"/>
      <c r="M224" s="36" t="s">
        <v>201</v>
      </c>
      <c r="N224" s="36"/>
      <c r="O224" s="38" t="s">
        <v>918</v>
      </c>
      <c r="P224" s="36" t="s">
        <v>361</v>
      </c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6"/>
      <c r="AD224" s="37">
        <v>9400</v>
      </c>
      <c r="AE224" s="37"/>
      <c r="AF224" s="37"/>
      <c r="AG224" s="37"/>
      <c r="AH224" s="34"/>
      <c r="AI224" s="45"/>
      <c r="AJ224" s="37">
        <v>0</v>
      </c>
      <c r="AK224" s="46">
        <v>0</v>
      </c>
      <c r="AL224" s="47">
        <f t="shared" si="194"/>
        <v>0</v>
      </c>
      <c r="AM224" s="47"/>
      <c r="AN224" s="45"/>
      <c r="AO224" s="45"/>
      <c r="AP224" s="45"/>
      <c r="AQ224" s="45"/>
      <c r="AR224" s="45">
        <v>8700</v>
      </c>
      <c r="AS224" s="46">
        <v>0.75</v>
      </c>
      <c r="AT224" s="45">
        <v>6675</v>
      </c>
      <c r="AU224" s="48"/>
      <c r="AV224" s="49">
        <f t="shared" si="209"/>
        <v>0</v>
      </c>
      <c r="AW224" s="48"/>
      <c r="AX224" s="34"/>
      <c r="AY224" s="45">
        <v>8700</v>
      </c>
      <c r="AZ224" s="46">
        <v>1</v>
      </c>
      <c r="BA224" s="45">
        <f t="shared" si="210"/>
        <v>8700</v>
      </c>
      <c r="BB224" s="45"/>
      <c r="BC224" s="80"/>
      <c r="BD224" s="34"/>
      <c r="BE224" s="45">
        <v>8700</v>
      </c>
      <c r="BF224" s="40">
        <v>0.75</v>
      </c>
      <c r="BG224" s="45">
        <f t="shared" si="211"/>
        <v>6525</v>
      </c>
      <c r="BH224" s="45"/>
      <c r="BI224" s="39">
        <f t="shared" si="198"/>
        <v>-2175</v>
      </c>
      <c r="BJ224" s="39"/>
      <c r="BK224" s="80">
        <f>BE224/1000</f>
        <v>8.6999999999999993</v>
      </c>
      <c r="BL224" s="34"/>
      <c r="BM224" s="45">
        <v>8700</v>
      </c>
      <c r="BN224" s="40">
        <v>1</v>
      </c>
      <c r="BO224" s="45">
        <f t="shared" si="212"/>
        <v>8700</v>
      </c>
      <c r="BP224" s="45"/>
      <c r="BQ224" s="92">
        <f t="shared" si="200"/>
        <v>0</v>
      </c>
      <c r="BR224" s="59"/>
      <c r="BT224" s="34"/>
      <c r="BU224" s="45">
        <v>8700</v>
      </c>
      <c r="BV224" s="40">
        <v>1</v>
      </c>
      <c r="BW224" s="39">
        <f t="shared" si="201"/>
        <v>8700</v>
      </c>
      <c r="BX224" s="118">
        <f t="shared" si="202"/>
        <v>0</v>
      </c>
      <c r="BZ224" s="34"/>
      <c r="CA224" s="45">
        <v>8700</v>
      </c>
      <c r="CB224" s="40">
        <v>1</v>
      </c>
      <c r="CC224" s="39">
        <f t="shared" si="203"/>
        <v>8700</v>
      </c>
      <c r="CD224" s="100">
        <v>8700</v>
      </c>
      <c r="CE224" s="92">
        <f t="shared" si="204"/>
        <v>0</v>
      </c>
      <c r="CF224" s="92">
        <f t="shared" si="205"/>
        <v>0</v>
      </c>
      <c r="CH224" s="34"/>
      <c r="CI224" s="45">
        <v>4000</v>
      </c>
      <c r="CJ224" s="40">
        <v>1</v>
      </c>
      <c r="CK224" s="39">
        <f t="shared" si="206"/>
        <v>4000</v>
      </c>
      <c r="CL224" s="118">
        <f t="shared" si="207"/>
        <v>-4700</v>
      </c>
      <c r="CM224" s="34" t="s">
        <v>919</v>
      </c>
      <c r="CN224" s="17"/>
      <c r="CO224" s="45">
        <v>4000</v>
      </c>
      <c r="CP224" s="40">
        <v>1</v>
      </c>
      <c r="CQ224" s="39">
        <f t="shared" si="188"/>
        <v>4000</v>
      </c>
      <c r="CR224" s="92">
        <f t="shared" si="208"/>
        <v>0</v>
      </c>
      <c r="CS224" s="91"/>
      <c r="CT224" s="17"/>
      <c r="CU224" s="45">
        <v>0</v>
      </c>
      <c r="CV224" s="40">
        <v>0</v>
      </c>
      <c r="CW224" s="39">
        <f t="shared" si="189"/>
        <v>0</v>
      </c>
      <c r="CX224" s="45">
        <v>0</v>
      </c>
      <c r="CY224" s="40">
        <v>0</v>
      </c>
      <c r="CZ224" s="39">
        <f t="shared" si="190"/>
        <v>0</v>
      </c>
      <c r="DA224" s="92">
        <f>CW224-CQ224</f>
        <v>-4000</v>
      </c>
      <c r="DB224" s="92"/>
      <c r="DC224" s="92"/>
      <c r="DD224" s="91" t="s">
        <v>920</v>
      </c>
      <c r="DE224" s="91"/>
      <c r="DF224" s="45">
        <v>0</v>
      </c>
      <c r="DG224" s="40">
        <v>0</v>
      </c>
      <c r="DH224" s="39">
        <f t="shared" si="193"/>
        <v>0</v>
      </c>
      <c r="DI224" s="168">
        <f t="shared" si="174"/>
        <v>0</v>
      </c>
      <c r="DJ224" s="168">
        <f t="shared" si="191"/>
        <v>0</v>
      </c>
      <c r="DK224" s="91"/>
      <c r="DL224" s="91"/>
      <c r="DM224" s="91"/>
      <c r="DN224" s="92">
        <f t="shared" si="213"/>
        <v>0</v>
      </c>
      <c r="DO224" s="152"/>
      <c r="DP224" s="152"/>
      <c r="DQ224" s="152"/>
      <c r="DR224" s="152"/>
      <c r="DS224" s="152"/>
      <c r="DT224" s="152"/>
      <c r="DU224" s="152"/>
      <c r="DV224" s="152"/>
      <c r="DW224" s="152"/>
      <c r="DX224" s="152"/>
      <c r="DY224" s="152"/>
      <c r="DZ224" s="152"/>
    </row>
    <row r="225" spans="1:130" s="50" customFormat="1" ht="16.25" hidden="1" customHeight="1" x14ac:dyDescent="0.35">
      <c r="A225" s="36" t="s">
        <v>657</v>
      </c>
      <c r="B225" s="36" t="s">
        <v>660</v>
      </c>
      <c r="C225" s="36" t="s">
        <v>28</v>
      </c>
      <c r="D225" s="15" t="s">
        <v>921</v>
      </c>
      <c r="E225" s="33" t="s">
        <v>922</v>
      </c>
      <c r="F225" s="38" t="s">
        <v>110</v>
      </c>
      <c r="G225" s="32" t="s">
        <v>101</v>
      </c>
      <c r="H225" s="32"/>
      <c r="I225" s="36"/>
      <c r="J225" s="38"/>
      <c r="K225" s="36"/>
      <c r="L225" s="36"/>
      <c r="M225" s="36" t="s">
        <v>923</v>
      </c>
      <c r="N225" s="36"/>
      <c r="O225" s="33" t="s">
        <v>924</v>
      </c>
      <c r="P225" s="36" t="s">
        <v>193</v>
      </c>
      <c r="Q225" s="39"/>
      <c r="R225" s="39"/>
      <c r="S225" s="39"/>
      <c r="U225" s="39"/>
      <c r="V225" s="39"/>
      <c r="W225" s="39"/>
      <c r="X225" s="39"/>
      <c r="Y225" s="39"/>
      <c r="Z225" s="39"/>
      <c r="AA225" s="39"/>
      <c r="AB225" s="39"/>
      <c r="AC225" s="36"/>
      <c r="AD225" s="39"/>
      <c r="AE225" s="39"/>
      <c r="AF225" s="37"/>
      <c r="AG225" s="37"/>
      <c r="AH225" s="34"/>
      <c r="AI225" s="45"/>
      <c r="AJ225" s="37"/>
      <c r="AK225" s="46"/>
      <c r="AL225" s="47"/>
      <c r="AM225" s="47"/>
      <c r="AN225" s="45"/>
      <c r="AO225" s="45"/>
      <c r="AP225" s="45"/>
      <c r="AQ225" s="45"/>
      <c r="AR225" s="39">
        <v>200</v>
      </c>
      <c r="AS225" s="46">
        <v>0.5</v>
      </c>
      <c r="AT225" s="39">
        <f t="shared" ref="AT225:AT231" si="214">AR225*AS225</f>
        <v>100</v>
      </c>
      <c r="AU225" s="48"/>
      <c r="AV225" s="49">
        <f t="shared" si="209"/>
        <v>0</v>
      </c>
      <c r="AW225" s="48"/>
      <c r="AY225" s="39">
        <v>200</v>
      </c>
      <c r="AZ225" s="46">
        <v>0.5</v>
      </c>
      <c r="BA225" s="39">
        <f t="shared" si="210"/>
        <v>100</v>
      </c>
      <c r="BB225" s="39">
        <f>BA225-AT225</f>
        <v>0</v>
      </c>
      <c r="BE225" s="39">
        <v>200</v>
      </c>
      <c r="BF225" s="46">
        <v>0.5</v>
      </c>
      <c r="BG225" s="39">
        <f t="shared" si="211"/>
        <v>100</v>
      </c>
      <c r="BH225" s="39"/>
      <c r="BI225" s="39">
        <f t="shared" si="198"/>
        <v>0</v>
      </c>
      <c r="BJ225" s="39"/>
      <c r="BM225" s="39">
        <v>200</v>
      </c>
      <c r="BN225" s="46">
        <v>0.5</v>
      </c>
      <c r="BO225" s="39">
        <f t="shared" si="212"/>
        <v>100</v>
      </c>
      <c r="BP225" s="39"/>
      <c r="BQ225" s="92">
        <f t="shared" si="200"/>
        <v>0</v>
      </c>
      <c r="BR225" s="59"/>
      <c r="BU225" s="39">
        <v>200</v>
      </c>
      <c r="BV225" s="46">
        <v>0.5</v>
      </c>
      <c r="BW225" s="39">
        <f t="shared" si="201"/>
        <v>100</v>
      </c>
      <c r="BX225" s="118">
        <f t="shared" si="202"/>
        <v>0</v>
      </c>
      <c r="CA225" s="39">
        <v>200</v>
      </c>
      <c r="CB225" s="46">
        <v>0.5</v>
      </c>
      <c r="CC225" s="39">
        <f t="shared" si="203"/>
        <v>100</v>
      </c>
      <c r="CD225" s="100">
        <v>100</v>
      </c>
      <c r="CE225" s="92">
        <f t="shared" si="204"/>
        <v>0</v>
      </c>
      <c r="CF225" s="92">
        <f t="shared" si="205"/>
        <v>0</v>
      </c>
      <c r="CI225" s="39">
        <v>200</v>
      </c>
      <c r="CJ225" s="46">
        <v>0.5</v>
      </c>
      <c r="CK225" s="39">
        <f t="shared" si="206"/>
        <v>100</v>
      </c>
      <c r="CL225" s="92">
        <f t="shared" si="207"/>
        <v>0</v>
      </c>
      <c r="CN225" s="17"/>
      <c r="CO225" s="39">
        <v>200</v>
      </c>
      <c r="CP225" s="46">
        <v>0.5</v>
      </c>
      <c r="CQ225" s="39">
        <f t="shared" si="188"/>
        <v>100</v>
      </c>
      <c r="CR225" s="92">
        <f t="shared" si="208"/>
        <v>0</v>
      </c>
      <c r="CS225" s="91"/>
      <c r="CT225" s="17"/>
      <c r="CU225" s="39">
        <v>200</v>
      </c>
      <c r="CV225" s="46">
        <v>0.5</v>
      </c>
      <c r="CW225" s="39">
        <f t="shared" si="189"/>
        <v>100</v>
      </c>
      <c r="CX225" s="39">
        <v>200</v>
      </c>
      <c r="CY225" s="46">
        <v>0</v>
      </c>
      <c r="CZ225" s="39">
        <f t="shared" si="190"/>
        <v>0</v>
      </c>
      <c r="DA225" s="168">
        <f>CZ225-CQ225</f>
        <v>-100</v>
      </c>
      <c r="DB225" s="168">
        <f>CZ225-CW225</f>
        <v>-100</v>
      </c>
      <c r="DC225" s="168">
        <f>CZ225-CK225</f>
        <v>-100</v>
      </c>
      <c r="DD225" s="91"/>
      <c r="DE225" s="91"/>
      <c r="DF225" s="39">
        <v>200</v>
      </c>
      <c r="DG225" s="46">
        <v>0</v>
      </c>
      <c r="DH225" s="39">
        <f t="shared" si="193"/>
        <v>0</v>
      </c>
      <c r="DI225" s="168">
        <f t="shared" si="174"/>
        <v>0</v>
      </c>
      <c r="DJ225" s="168">
        <f t="shared" si="191"/>
        <v>-100</v>
      </c>
      <c r="DK225" s="168"/>
      <c r="DL225" s="168"/>
      <c r="DM225" s="168"/>
      <c r="DN225" s="92">
        <f t="shared" si="213"/>
        <v>0</v>
      </c>
      <c r="DO225" s="151">
        <v>0</v>
      </c>
      <c r="DP225" s="151">
        <v>0</v>
      </c>
      <c r="DQ225" s="151">
        <v>0</v>
      </c>
      <c r="DR225" s="151">
        <v>0</v>
      </c>
      <c r="DS225" s="151">
        <v>0</v>
      </c>
      <c r="DT225" s="151">
        <v>0</v>
      </c>
      <c r="DU225" s="151">
        <v>0</v>
      </c>
      <c r="DV225" s="151">
        <v>0</v>
      </c>
      <c r="DW225" s="151">
        <v>0</v>
      </c>
      <c r="DX225" s="151">
        <v>0</v>
      </c>
      <c r="DY225" s="151">
        <v>0</v>
      </c>
      <c r="DZ225" s="151">
        <v>0</v>
      </c>
    </row>
    <row r="226" spans="1:130" s="50" customFormat="1" ht="16.25" hidden="1" customHeight="1" x14ac:dyDescent="0.35">
      <c r="A226" s="36" t="s">
        <v>657</v>
      </c>
      <c r="B226" s="36" t="s">
        <v>660</v>
      </c>
      <c r="C226" s="36" t="s">
        <v>28</v>
      </c>
      <c r="D226" s="15" t="s">
        <v>925</v>
      </c>
      <c r="E226" s="38" t="s">
        <v>926</v>
      </c>
      <c r="F226" s="38" t="s">
        <v>110</v>
      </c>
      <c r="G226" s="32" t="s">
        <v>263</v>
      </c>
      <c r="H226" s="32"/>
      <c r="I226" s="36"/>
      <c r="J226" s="33"/>
      <c r="K226" s="36"/>
      <c r="L226" s="36"/>
      <c r="M226" s="36" t="s">
        <v>927</v>
      </c>
      <c r="N226" s="36"/>
      <c r="O226" s="33" t="s">
        <v>928</v>
      </c>
      <c r="P226" s="36" t="s">
        <v>361</v>
      </c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6"/>
      <c r="AD226" s="39"/>
      <c r="AE226" s="34"/>
      <c r="AF226" s="37"/>
      <c r="AG226" s="37"/>
      <c r="AH226" s="34"/>
      <c r="AI226" s="45"/>
      <c r="AJ226" s="37">
        <v>0</v>
      </c>
      <c r="AK226" s="46">
        <v>0</v>
      </c>
      <c r="AL226" s="47">
        <f>AJ226*AK226</f>
        <v>0</v>
      </c>
      <c r="AM226" s="47"/>
      <c r="AN226" s="45"/>
      <c r="AO226" s="45"/>
      <c r="AP226" s="45"/>
      <c r="AQ226" s="45"/>
      <c r="AR226" s="45">
        <v>300</v>
      </c>
      <c r="AS226" s="46">
        <v>0.5</v>
      </c>
      <c r="AT226" s="45">
        <f t="shared" si="214"/>
        <v>150</v>
      </c>
      <c r="AU226" s="48"/>
      <c r="AV226" s="49"/>
      <c r="AW226" s="48"/>
      <c r="AX226" s="34"/>
      <c r="AY226" s="45">
        <v>300</v>
      </c>
      <c r="AZ226" s="46">
        <v>1</v>
      </c>
      <c r="BA226" s="45">
        <f t="shared" si="210"/>
        <v>300</v>
      </c>
      <c r="BB226" s="37">
        <f>AT226-BA226</f>
        <v>-150</v>
      </c>
      <c r="BC226" s="80"/>
      <c r="BD226" s="34"/>
      <c r="BE226" s="45">
        <v>300</v>
      </c>
      <c r="BF226" s="46">
        <v>0.9</v>
      </c>
      <c r="BG226" s="45">
        <f t="shared" si="211"/>
        <v>270</v>
      </c>
      <c r="BH226" s="45"/>
      <c r="BI226" s="39">
        <f t="shared" si="198"/>
        <v>-30</v>
      </c>
      <c r="BJ226" s="39"/>
      <c r="BK226" s="80"/>
      <c r="BL226" s="34"/>
      <c r="BM226" s="45">
        <v>300</v>
      </c>
      <c r="BN226" s="101">
        <v>1</v>
      </c>
      <c r="BO226" s="45">
        <f t="shared" si="212"/>
        <v>300</v>
      </c>
      <c r="BP226" s="45"/>
      <c r="BQ226" s="92">
        <f t="shared" si="200"/>
        <v>0</v>
      </c>
      <c r="BR226" s="59"/>
      <c r="BT226" s="34"/>
      <c r="BU226" s="45">
        <v>300</v>
      </c>
      <c r="BV226" s="101">
        <v>1</v>
      </c>
      <c r="BW226" s="39">
        <f t="shared" si="201"/>
        <v>300</v>
      </c>
      <c r="BX226" s="118">
        <f t="shared" si="202"/>
        <v>0</v>
      </c>
      <c r="BZ226" s="34"/>
      <c r="CA226" s="45">
        <v>300</v>
      </c>
      <c r="CB226" s="101">
        <v>1</v>
      </c>
      <c r="CC226" s="39">
        <f t="shared" si="203"/>
        <v>300</v>
      </c>
      <c r="CD226" s="100">
        <v>300</v>
      </c>
      <c r="CE226" s="92">
        <f t="shared" si="204"/>
        <v>0</v>
      </c>
      <c r="CF226" s="92">
        <f t="shared" si="205"/>
        <v>0</v>
      </c>
      <c r="CH226" s="34"/>
      <c r="CI226" s="45">
        <v>300</v>
      </c>
      <c r="CJ226" s="101">
        <v>1</v>
      </c>
      <c r="CK226" s="39">
        <f t="shared" si="206"/>
        <v>300</v>
      </c>
      <c r="CL226" s="118">
        <f t="shared" si="207"/>
        <v>0</v>
      </c>
      <c r="CM226" s="34"/>
      <c r="CN226" s="17"/>
      <c r="CO226" s="45">
        <v>300</v>
      </c>
      <c r="CP226" s="101">
        <v>1</v>
      </c>
      <c r="CQ226" s="39">
        <f t="shared" si="188"/>
        <v>300</v>
      </c>
      <c r="CR226" s="92">
        <f t="shared" si="208"/>
        <v>0</v>
      </c>
      <c r="CS226" s="91"/>
      <c r="CT226" s="17"/>
      <c r="CU226" s="45">
        <v>0</v>
      </c>
      <c r="CV226" s="101">
        <v>0</v>
      </c>
      <c r="CW226" s="39">
        <f t="shared" si="189"/>
        <v>0</v>
      </c>
      <c r="CX226" s="45">
        <v>0</v>
      </c>
      <c r="CY226" s="101">
        <v>0</v>
      </c>
      <c r="CZ226" s="39">
        <f t="shared" si="190"/>
        <v>0</v>
      </c>
      <c r="DA226" s="92">
        <f>CW226-CQ226</f>
        <v>-300</v>
      </c>
      <c r="DB226" s="92"/>
      <c r="DC226" s="92"/>
      <c r="DD226" s="91"/>
      <c r="DE226" s="91"/>
      <c r="DF226" s="45">
        <v>0</v>
      </c>
      <c r="DG226" s="101">
        <v>0</v>
      </c>
      <c r="DH226" s="39">
        <f t="shared" si="193"/>
        <v>0</v>
      </c>
      <c r="DI226" s="168">
        <f t="shared" si="174"/>
        <v>0</v>
      </c>
      <c r="DJ226" s="168">
        <f t="shared" si="191"/>
        <v>0</v>
      </c>
      <c r="DK226" s="91"/>
      <c r="DL226" s="91"/>
      <c r="DM226" s="91"/>
      <c r="DN226" s="92">
        <f t="shared" si="213"/>
        <v>0</v>
      </c>
      <c r="DO226" s="152"/>
      <c r="DP226" s="152"/>
      <c r="DQ226" s="152"/>
      <c r="DR226" s="152"/>
      <c r="DS226" s="152"/>
      <c r="DT226" s="152"/>
      <c r="DU226" s="152"/>
      <c r="DV226" s="152"/>
      <c r="DW226" s="152"/>
      <c r="DX226" s="152"/>
      <c r="DY226" s="152"/>
      <c r="DZ226" s="152"/>
    </row>
    <row r="227" spans="1:130" s="50" customFormat="1" ht="16.25" hidden="1" customHeight="1" x14ac:dyDescent="0.35">
      <c r="A227" s="36" t="s">
        <v>657</v>
      </c>
      <c r="B227" s="36" t="s">
        <v>660</v>
      </c>
      <c r="C227" s="36" t="s">
        <v>28</v>
      </c>
      <c r="D227" s="15" t="s">
        <v>929</v>
      </c>
      <c r="E227" s="38" t="s">
        <v>930</v>
      </c>
      <c r="F227" s="38" t="s">
        <v>110</v>
      </c>
      <c r="G227" s="32" t="s">
        <v>101</v>
      </c>
      <c r="H227" s="32"/>
      <c r="I227" s="36"/>
      <c r="J227" s="34"/>
      <c r="K227" s="36"/>
      <c r="L227" s="36"/>
      <c r="M227" s="36" t="s">
        <v>927</v>
      </c>
      <c r="N227" s="36"/>
      <c r="O227" s="33" t="s">
        <v>931</v>
      </c>
      <c r="P227" s="36" t="s">
        <v>193</v>
      </c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6"/>
      <c r="AD227" s="37"/>
      <c r="AE227" s="37"/>
      <c r="AF227" s="37"/>
      <c r="AG227" s="37"/>
      <c r="AH227" s="34"/>
      <c r="AI227" s="45"/>
      <c r="AJ227" s="37">
        <v>0</v>
      </c>
      <c r="AK227" s="46">
        <v>0</v>
      </c>
      <c r="AL227" s="47">
        <f>AJ227*AK227</f>
        <v>0</v>
      </c>
      <c r="AM227" s="47"/>
      <c r="AN227" s="37"/>
      <c r="AO227" s="37"/>
      <c r="AP227" s="37"/>
      <c r="AQ227" s="37"/>
      <c r="AR227" s="54">
        <v>90</v>
      </c>
      <c r="AS227" s="46">
        <v>0.5</v>
      </c>
      <c r="AT227" s="39">
        <f t="shared" si="214"/>
        <v>45</v>
      </c>
      <c r="AU227" s="48"/>
      <c r="AV227" s="49">
        <f>AU227*AS227</f>
        <v>0</v>
      </c>
      <c r="AW227" s="48"/>
      <c r="AY227" s="54">
        <v>90</v>
      </c>
      <c r="AZ227" s="46">
        <v>0.5</v>
      </c>
      <c r="BA227" s="39">
        <f t="shared" si="210"/>
        <v>45</v>
      </c>
      <c r="BB227" s="39">
        <f>BA227-AT227</f>
        <v>0</v>
      </c>
      <c r="BE227" s="54">
        <v>90</v>
      </c>
      <c r="BF227" s="46">
        <v>0.5</v>
      </c>
      <c r="BG227" s="39">
        <f t="shared" si="211"/>
        <v>45</v>
      </c>
      <c r="BH227" s="39"/>
      <c r="BI227" s="39">
        <f t="shared" si="198"/>
        <v>0</v>
      </c>
      <c r="BJ227" s="39"/>
      <c r="BM227" s="54">
        <v>100</v>
      </c>
      <c r="BN227" s="46">
        <v>0.5</v>
      </c>
      <c r="BO227" s="39">
        <f t="shared" si="212"/>
        <v>50</v>
      </c>
      <c r="BP227" s="39"/>
      <c r="BQ227" s="92">
        <f t="shared" si="200"/>
        <v>5</v>
      </c>
      <c r="BR227" s="34" t="s">
        <v>193</v>
      </c>
      <c r="BU227" s="54">
        <v>100</v>
      </c>
      <c r="BV227" s="46">
        <v>0.5</v>
      </c>
      <c r="BW227" s="39">
        <f t="shared" si="201"/>
        <v>50</v>
      </c>
      <c r="BX227" s="118">
        <f t="shared" si="202"/>
        <v>0</v>
      </c>
      <c r="CA227" s="54">
        <v>100</v>
      </c>
      <c r="CB227" s="46">
        <v>0.5</v>
      </c>
      <c r="CC227" s="39">
        <f t="shared" si="203"/>
        <v>50</v>
      </c>
      <c r="CD227" s="100">
        <v>50</v>
      </c>
      <c r="CE227" s="92">
        <f t="shared" si="204"/>
        <v>0</v>
      </c>
      <c r="CF227" s="92">
        <f t="shared" si="205"/>
        <v>0</v>
      </c>
      <c r="CI227" s="54">
        <v>100</v>
      </c>
      <c r="CJ227" s="46">
        <v>0.5</v>
      </c>
      <c r="CK227" s="39">
        <f t="shared" si="206"/>
        <v>50</v>
      </c>
      <c r="CL227" s="92">
        <f t="shared" si="207"/>
        <v>0</v>
      </c>
      <c r="CN227" s="17"/>
      <c r="CO227" s="54">
        <v>100</v>
      </c>
      <c r="CP227" s="46">
        <v>0.5</v>
      </c>
      <c r="CQ227" s="39">
        <f t="shared" si="188"/>
        <v>50</v>
      </c>
      <c r="CR227" s="92">
        <f t="shared" si="208"/>
        <v>0</v>
      </c>
      <c r="CS227" s="91"/>
      <c r="CT227" s="17"/>
      <c r="CU227" s="54">
        <v>100</v>
      </c>
      <c r="CV227" s="46">
        <v>0.5</v>
      </c>
      <c r="CW227" s="39">
        <f t="shared" si="189"/>
        <v>50</v>
      </c>
      <c r="CX227" s="54">
        <v>100</v>
      </c>
      <c r="CY227" s="46">
        <v>0</v>
      </c>
      <c r="CZ227" s="39">
        <f t="shared" si="190"/>
        <v>0</v>
      </c>
      <c r="DA227" s="168">
        <f>CZ227-CQ227</f>
        <v>-50</v>
      </c>
      <c r="DB227" s="168">
        <f>CZ227-CW227</f>
        <v>-50</v>
      </c>
      <c r="DC227" s="168">
        <f>CZ227-CK227</f>
        <v>-50</v>
      </c>
      <c r="DD227" s="91"/>
      <c r="DE227" s="91"/>
      <c r="DF227" s="54">
        <v>100</v>
      </c>
      <c r="DG227" s="46">
        <v>0</v>
      </c>
      <c r="DH227" s="39">
        <f t="shared" si="193"/>
        <v>0</v>
      </c>
      <c r="DI227" s="168">
        <f t="shared" si="174"/>
        <v>0</v>
      </c>
      <c r="DJ227" s="168">
        <f t="shared" si="191"/>
        <v>-50</v>
      </c>
      <c r="DK227" s="168"/>
      <c r="DL227" s="168"/>
      <c r="DM227" s="168"/>
      <c r="DN227" s="92">
        <f t="shared" si="213"/>
        <v>0</v>
      </c>
      <c r="DO227" s="151">
        <v>0</v>
      </c>
      <c r="DP227" s="151">
        <v>0</v>
      </c>
      <c r="DQ227" s="151">
        <v>0</v>
      </c>
      <c r="DR227" s="151">
        <v>0</v>
      </c>
      <c r="DS227" s="151">
        <v>0</v>
      </c>
      <c r="DT227" s="151">
        <v>0</v>
      </c>
      <c r="DU227" s="151">
        <v>0</v>
      </c>
      <c r="DV227" s="151">
        <v>0</v>
      </c>
      <c r="DW227" s="151">
        <v>0</v>
      </c>
      <c r="DX227" s="151">
        <v>0</v>
      </c>
      <c r="DY227" s="151">
        <v>0</v>
      </c>
      <c r="DZ227" s="151">
        <v>0</v>
      </c>
    </row>
    <row r="228" spans="1:130" s="50" customFormat="1" ht="16.25" hidden="1" customHeight="1" x14ac:dyDescent="0.35">
      <c r="A228" s="36" t="s">
        <v>657</v>
      </c>
      <c r="B228" s="36" t="s">
        <v>660</v>
      </c>
      <c r="C228" s="36" t="s">
        <v>28</v>
      </c>
      <c r="D228" s="15" t="s">
        <v>932</v>
      </c>
      <c r="E228" s="38" t="s">
        <v>933</v>
      </c>
      <c r="F228" s="38" t="s">
        <v>110</v>
      </c>
      <c r="G228" s="32" t="s">
        <v>101</v>
      </c>
      <c r="H228" s="32"/>
      <c r="I228" s="36"/>
      <c r="J228" s="34"/>
      <c r="K228" s="36"/>
      <c r="L228" s="36"/>
      <c r="M228" s="36" t="s">
        <v>927</v>
      </c>
      <c r="N228" s="36"/>
      <c r="O228" s="33" t="s">
        <v>934</v>
      </c>
      <c r="P228" s="36" t="s">
        <v>193</v>
      </c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6"/>
      <c r="AD228" s="37"/>
      <c r="AE228" s="37"/>
      <c r="AF228" s="37"/>
      <c r="AG228" s="37"/>
      <c r="AH228" s="34"/>
      <c r="AI228" s="45"/>
      <c r="AJ228" s="37">
        <v>0</v>
      </c>
      <c r="AK228" s="46">
        <v>0</v>
      </c>
      <c r="AL228" s="47">
        <f>AJ228*AK228</f>
        <v>0</v>
      </c>
      <c r="AM228" s="47"/>
      <c r="AN228" s="45"/>
      <c r="AO228" s="45"/>
      <c r="AP228" s="45"/>
      <c r="AQ228" s="45"/>
      <c r="AR228" s="45">
        <v>300</v>
      </c>
      <c r="AS228" s="46">
        <v>0.5</v>
      </c>
      <c r="AT228" s="45">
        <f t="shared" si="214"/>
        <v>150</v>
      </c>
      <c r="AU228" s="48"/>
      <c r="AV228" s="49">
        <f>AU228*AS228</f>
        <v>0</v>
      </c>
      <c r="AW228" s="48"/>
      <c r="AY228" s="45">
        <v>300</v>
      </c>
      <c r="AZ228" s="46">
        <v>0.5</v>
      </c>
      <c r="BA228" s="45">
        <f t="shared" si="210"/>
        <v>150</v>
      </c>
      <c r="BB228" s="39">
        <f>BA228-AT228</f>
        <v>0</v>
      </c>
      <c r="BE228" s="45">
        <v>300</v>
      </c>
      <c r="BF228" s="46">
        <v>0.5</v>
      </c>
      <c r="BG228" s="45">
        <f t="shared" si="211"/>
        <v>150</v>
      </c>
      <c r="BH228" s="45"/>
      <c r="BI228" s="39">
        <f t="shared" si="198"/>
        <v>0</v>
      </c>
      <c r="BJ228" s="39"/>
      <c r="BM228" s="45">
        <v>300</v>
      </c>
      <c r="BN228" s="46">
        <v>0.5</v>
      </c>
      <c r="BO228" s="45">
        <f t="shared" si="212"/>
        <v>150</v>
      </c>
      <c r="BP228" s="45"/>
      <c r="BQ228" s="92">
        <f t="shared" si="200"/>
        <v>0</v>
      </c>
      <c r="BR228" s="59"/>
      <c r="BU228" s="45">
        <v>300</v>
      </c>
      <c r="BV228" s="46">
        <v>0.5</v>
      </c>
      <c r="BW228" s="39">
        <f t="shared" si="201"/>
        <v>150</v>
      </c>
      <c r="BX228" s="118">
        <f t="shared" si="202"/>
        <v>0</v>
      </c>
      <c r="CA228" s="45">
        <v>300</v>
      </c>
      <c r="CB228" s="46">
        <v>0.5</v>
      </c>
      <c r="CC228" s="39">
        <f t="shared" si="203"/>
        <v>150</v>
      </c>
      <c r="CD228" s="100">
        <v>150</v>
      </c>
      <c r="CE228" s="92">
        <f t="shared" si="204"/>
        <v>0</v>
      </c>
      <c r="CF228" s="92">
        <f t="shared" si="205"/>
        <v>0</v>
      </c>
      <c r="CI228" s="45">
        <v>300</v>
      </c>
      <c r="CJ228" s="46">
        <v>0.5</v>
      </c>
      <c r="CK228" s="39">
        <f t="shared" si="206"/>
        <v>150</v>
      </c>
      <c r="CL228" s="92">
        <f t="shared" si="207"/>
        <v>0</v>
      </c>
      <c r="CN228" s="17"/>
      <c r="CO228" s="45">
        <v>300</v>
      </c>
      <c r="CP228" s="46">
        <v>0.5</v>
      </c>
      <c r="CQ228" s="39">
        <f t="shared" si="188"/>
        <v>150</v>
      </c>
      <c r="CR228" s="92">
        <f t="shared" si="208"/>
        <v>0</v>
      </c>
      <c r="CS228" s="91"/>
      <c r="CT228" s="17"/>
      <c r="CU228" s="45">
        <v>300</v>
      </c>
      <c r="CV228" s="46">
        <v>0.5</v>
      </c>
      <c r="CW228" s="39">
        <f t="shared" si="189"/>
        <v>150</v>
      </c>
      <c r="CX228" s="45">
        <v>300</v>
      </c>
      <c r="CY228" s="46">
        <v>0</v>
      </c>
      <c r="CZ228" s="39">
        <f t="shared" si="190"/>
        <v>0</v>
      </c>
      <c r="DA228" s="168">
        <f>CZ228-CQ228</f>
        <v>-150</v>
      </c>
      <c r="DB228" s="168">
        <f>CZ228-CW228</f>
        <v>-150</v>
      </c>
      <c r="DC228" s="168">
        <f>CZ228-CK228</f>
        <v>-150</v>
      </c>
      <c r="DD228" s="91"/>
      <c r="DE228" s="91"/>
      <c r="DF228" s="45">
        <v>300</v>
      </c>
      <c r="DG228" s="46">
        <v>0</v>
      </c>
      <c r="DH228" s="39">
        <f t="shared" si="193"/>
        <v>0</v>
      </c>
      <c r="DI228" s="168">
        <f t="shared" si="174"/>
        <v>0</v>
      </c>
      <c r="DJ228" s="168">
        <f t="shared" si="191"/>
        <v>-150</v>
      </c>
      <c r="DK228" s="168"/>
      <c r="DL228" s="168"/>
      <c r="DM228" s="168"/>
      <c r="DN228" s="92">
        <f t="shared" si="213"/>
        <v>0</v>
      </c>
      <c r="DO228" s="151">
        <v>0</v>
      </c>
      <c r="DP228" s="151">
        <v>0</v>
      </c>
      <c r="DQ228" s="151">
        <v>0</v>
      </c>
      <c r="DR228" s="151">
        <v>0</v>
      </c>
      <c r="DS228" s="151">
        <v>0</v>
      </c>
      <c r="DT228" s="151">
        <v>0</v>
      </c>
      <c r="DU228" s="151">
        <v>0</v>
      </c>
      <c r="DV228" s="151">
        <v>0</v>
      </c>
      <c r="DW228" s="151">
        <v>0</v>
      </c>
      <c r="DX228" s="151">
        <v>0</v>
      </c>
      <c r="DY228" s="151">
        <v>0</v>
      </c>
      <c r="DZ228" s="151">
        <v>0</v>
      </c>
    </row>
    <row r="229" spans="1:130" s="50" customFormat="1" ht="16.25" hidden="1" customHeight="1" x14ac:dyDescent="0.35">
      <c r="A229" s="36" t="s">
        <v>657</v>
      </c>
      <c r="B229" s="36" t="s">
        <v>660</v>
      </c>
      <c r="C229" s="36" t="s">
        <v>28</v>
      </c>
      <c r="D229" s="15" t="s">
        <v>935</v>
      </c>
      <c r="E229" s="38" t="s">
        <v>936</v>
      </c>
      <c r="F229" s="38" t="s">
        <v>110</v>
      </c>
      <c r="G229" s="32" t="s">
        <v>263</v>
      </c>
      <c r="H229" s="32"/>
      <c r="I229" s="36"/>
      <c r="J229" s="34"/>
      <c r="K229" s="36"/>
      <c r="L229" s="36"/>
      <c r="M229" s="36" t="s">
        <v>927</v>
      </c>
      <c r="N229" s="36"/>
      <c r="O229" s="33" t="s">
        <v>937</v>
      </c>
      <c r="P229" s="36" t="s">
        <v>361</v>
      </c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6"/>
      <c r="AD229" s="37"/>
      <c r="AE229" s="37"/>
      <c r="AF229" s="37"/>
      <c r="AG229" s="37"/>
      <c r="AH229" s="34"/>
      <c r="AI229" s="45"/>
      <c r="AJ229" s="37">
        <v>0</v>
      </c>
      <c r="AK229" s="46">
        <v>0</v>
      </c>
      <c r="AL229" s="47">
        <f>AJ229*AK229</f>
        <v>0</v>
      </c>
      <c r="AM229" s="47"/>
      <c r="AN229" s="45"/>
      <c r="AO229" s="45"/>
      <c r="AP229" s="45"/>
      <c r="AQ229" s="45"/>
      <c r="AR229" s="45">
        <v>100</v>
      </c>
      <c r="AS229" s="46">
        <v>0.5</v>
      </c>
      <c r="AT229" s="45">
        <f t="shared" si="214"/>
        <v>50</v>
      </c>
      <c r="AU229" s="48"/>
      <c r="AV229" s="49">
        <f>AU229*AS229</f>
        <v>0</v>
      </c>
      <c r="AW229" s="48"/>
      <c r="AX229" s="34"/>
      <c r="AY229" s="45">
        <v>100</v>
      </c>
      <c r="AZ229" s="46">
        <v>1</v>
      </c>
      <c r="BA229" s="45">
        <f t="shared" si="210"/>
        <v>100</v>
      </c>
      <c r="BB229" s="37">
        <f>AT229-BA229</f>
        <v>-50</v>
      </c>
      <c r="BC229" s="80"/>
      <c r="BD229" s="34"/>
      <c r="BE229" s="45">
        <v>100</v>
      </c>
      <c r="BF229" s="46">
        <v>0.9</v>
      </c>
      <c r="BG229" s="45">
        <f t="shared" si="211"/>
        <v>90</v>
      </c>
      <c r="BH229" s="45"/>
      <c r="BI229" s="39">
        <f t="shared" si="198"/>
        <v>-10</v>
      </c>
      <c r="BJ229" s="39"/>
      <c r="BK229" s="80"/>
      <c r="BL229" s="34"/>
      <c r="BM229" s="45">
        <v>100</v>
      </c>
      <c r="BN229" s="101">
        <v>1</v>
      </c>
      <c r="BO229" s="45">
        <f t="shared" si="212"/>
        <v>100</v>
      </c>
      <c r="BP229" s="45"/>
      <c r="BQ229" s="92">
        <f t="shared" si="200"/>
        <v>0</v>
      </c>
      <c r="BR229" s="59"/>
      <c r="BT229" s="34"/>
      <c r="BU229" s="45">
        <v>100</v>
      </c>
      <c r="BV229" s="101">
        <v>1</v>
      </c>
      <c r="BW229" s="39">
        <f t="shared" si="201"/>
        <v>100</v>
      </c>
      <c r="BX229" s="118">
        <f t="shared" si="202"/>
        <v>0</v>
      </c>
      <c r="BZ229" s="34"/>
      <c r="CA229" s="45">
        <v>100</v>
      </c>
      <c r="CB229" s="101">
        <v>1</v>
      </c>
      <c r="CC229" s="39">
        <f t="shared" si="203"/>
        <v>100</v>
      </c>
      <c r="CD229" s="100">
        <v>100</v>
      </c>
      <c r="CE229" s="92">
        <f t="shared" si="204"/>
        <v>0</v>
      </c>
      <c r="CF229" s="92">
        <f t="shared" si="205"/>
        <v>0</v>
      </c>
      <c r="CH229" s="34"/>
      <c r="CI229" s="45">
        <v>100</v>
      </c>
      <c r="CJ229" s="101">
        <v>0</v>
      </c>
      <c r="CK229" s="39">
        <f t="shared" si="206"/>
        <v>0</v>
      </c>
      <c r="CL229" s="118">
        <f t="shared" si="207"/>
        <v>-100</v>
      </c>
      <c r="CM229" s="34"/>
      <c r="CN229" s="17"/>
      <c r="CO229" s="45">
        <v>100</v>
      </c>
      <c r="CP229" s="101">
        <v>0</v>
      </c>
      <c r="CQ229" s="39">
        <f t="shared" si="188"/>
        <v>0</v>
      </c>
      <c r="CR229" s="92">
        <f t="shared" si="208"/>
        <v>0</v>
      </c>
      <c r="CS229" s="91"/>
      <c r="CT229" s="17"/>
      <c r="CU229" s="45">
        <v>0</v>
      </c>
      <c r="CV229" s="101">
        <v>0</v>
      </c>
      <c r="CW229" s="39">
        <f t="shared" si="189"/>
        <v>0</v>
      </c>
      <c r="CX229" s="45">
        <v>0</v>
      </c>
      <c r="CY229" s="101">
        <v>0</v>
      </c>
      <c r="CZ229" s="39">
        <f t="shared" si="190"/>
        <v>0</v>
      </c>
      <c r="DA229" s="92">
        <f>CW229-CQ229</f>
        <v>0</v>
      </c>
      <c r="DB229" s="92"/>
      <c r="DC229" s="92"/>
      <c r="DD229" s="91"/>
      <c r="DE229" s="91"/>
      <c r="DF229" s="45">
        <v>0</v>
      </c>
      <c r="DG229" s="101">
        <v>0</v>
      </c>
      <c r="DH229" s="39">
        <f t="shared" si="193"/>
        <v>0</v>
      </c>
      <c r="DI229" s="168">
        <f t="shared" si="174"/>
        <v>0</v>
      </c>
      <c r="DJ229" s="168">
        <f t="shared" si="191"/>
        <v>0</v>
      </c>
      <c r="DK229" s="91"/>
      <c r="DL229" s="91"/>
      <c r="DM229" s="91"/>
      <c r="DN229" s="92">
        <f t="shared" si="213"/>
        <v>0</v>
      </c>
      <c r="DO229" s="152"/>
      <c r="DP229" s="152"/>
      <c r="DQ229" s="152"/>
      <c r="DR229" s="152"/>
      <c r="DS229" s="152"/>
      <c r="DT229" s="152"/>
      <c r="DU229" s="152"/>
      <c r="DV229" s="152"/>
      <c r="DW229" s="152"/>
      <c r="DX229" s="152"/>
      <c r="DY229" s="152"/>
      <c r="DZ229" s="152"/>
    </row>
    <row r="230" spans="1:130" s="50" customFormat="1" ht="16.25" hidden="1" customHeight="1" x14ac:dyDescent="0.35">
      <c r="A230" s="36" t="s">
        <v>657</v>
      </c>
      <c r="B230" s="36" t="s">
        <v>660</v>
      </c>
      <c r="C230" s="36" t="s">
        <v>28</v>
      </c>
      <c r="D230" s="15" t="s">
        <v>938</v>
      </c>
      <c r="E230" s="38" t="s">
        <v>939</v>
      </c>
      <c r="F230" s="38" t="s">
        <v>110</v>
      </c>
      <c r="G230" s="32" t="s">
        <v>101</v>
      </c>
      <c r="H230" s="32"/>
      <c r="I230" s="36"/>
      <c r="J230" s="34"/>
      <c r="K230" s="36"/>
      <c r="L230" s="36"/>
      <c r="M230" s="36" t="s">
        <v>663</v>
      </c>
      <c r="N230" s="36"/>
      <c r="O230" s="33" t="s">
        <v>940</v>
      </c>
      <c r="P230" s="36" t="s">
        <v>193</v>
      </c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6"/>
      <c r="AD230" s="37">
        <v>50</v>
      </c>
      <c r="AE230" s="37"/>
      <c r="AF230" s="37"/>
      <c r="AG230" s="37"/>
      <c r="AH230" s="34"/>
      <c r="AI230" s="45"/>
      <c r="AJ230" s="37">
        <v>0</v>
      </c>
      <c r="AK230" s="46">
        <v>0</v>
      </c>
      <c r="AL230" s="47">
        <f>AJ230*AK230</f>
        <v>0</v>
      </c>
      <c r="AM230" s="47"/>
      <c r="AN230" s="45"/>
      <c r="AO230" s="45"/>
      <c r="AP230" s="45"/>
      <c r="AQ230" s="45"/>
      <c r="AR230" s="45">
        <v>90</v>
      </c>
      <c r="AS230" s="46">
        <v>0.5</v>
      </c>
      <c r="AT230" s="45">
        <f t="shared" si="214"/>
        <v>45</v>
      </c>
      <c r="AU230" s="48"/>
      <c r="AV230" s="49">
        <f>AU230*AS230</f>
        <v>0</v>
      </c>
      <c r="AW230" s="48"/>
      <c r="AY230" s="45">
        <v>100</v>
      </c>
      <c r="AZ230" s="46">
        <v>0.5</v>
      </c>
      <c r="BA230" s="45">
        <f t="shared" si="210"/>
        <v>50</v>
      </c>
      <c r="BB230" s="39">
        <f>BA230-AT230</f>
        <v>5</v>
      </c>
      <c r="BE230" s="45">
        <v>90</v>
      </c>
      <c r="BF230" s="46">
        <v>0.5</v>
      </c>
      <c r="BG230" s="45">
        <f t="shared" si="211"/>
        <v>45</v>
      </c>
      <c r="BH230" s="45"/>
      <c r="BI230" s="39">
        <f t="shared" si="198"/>
        <v>-5</v>
      </c>
      <c r="BJ230" s="39"/>
      <c r="BM230" s="45">
        <v>100</v>
      </c>
      <c r="BN230" s="46">
        <v>0.5</v>
      </c>
      <c r="BO230" s="45">
        <f t="shared" si="212"/>
        <v>50</v>
      </c>
      <c r="BP230" s="45"/>
      <c r="BQ230" s="92">
        <f t="shared" si="200"/>
        <v>0</v>
      </c>
      <c r="BR230" s="59"/>
      <c r="BU230" s="45">
        <v>100</v>
      </c>
      <c r="BV230" s="46">
        <v>0.5</v>
      </c>
      <c r="BW230" s="39">
        <f t="shared" si="201"/>
        <v>50</v>
      </c>
      <c r="BX230" s="118">
        <f t="shared" si="202"/>
        <v>0</v>
      </c>
      <c r="CA230" s="45">
        <v>100</v>
      </c>
      <c r="CB230" s="46">
        <v>0.5</v>
      </c>
      <c r="CC230" s="39">
        <f t="shared" si="203"/>
        <v>50</v>
      </c>
      <c r="CD230" s="100">
        <v>50</v>
      </c>
      <c r="CE230" s="92">
        <f t="shared" si="204"/>
        <v>0</v>
      </c>
      <c r="CF230" s="92">
        <f t="shared" si="205"/>
        <v>0</v>
      </c>
      <c r="CI230" s="45">
        <v>100</v>
      </c>
      <c r="CJ230" s="46">
        <v>0.5</v>
      </c>
      <c r="CK230" s="39">
        <f t="shared" si="206"/>
        <v>50</v>
      </c>
      <c r="CL230" s="92">
        <f t="shared" si="207"/>
        <v>0</v>
      </c>
      <c r="CN230" s="17"/>
      <c r="CO230" s="45">
        <v>100</v>
      </c>
      <c r="CP230" s="46">
        <v>0.5</v>
      </c>
      <c r="CQ230" s="39">
        <f t="shared" si="188"/>
        <v>50</v>
      </c>
      <c r="CR230" s="92">
        <f t="shared" si="208"/>
        <v>0</v>
      </c>
      <c r="CS230" s="91"/>
      <c r="CT230" s="17"/>
      <c r="CU230" s="45">
        <v>100</v>
      </c>
      <c r="CV230" s="46">
        <v>0.5</v>
      </c>
      <c r="CW230" s="39">
        <f t="shared" si="189"/>
        <v>50</v>
      </c>
      <c r="CX230" s="45">
        <v>100</v>
      </c>
      <c r="CY230" s="46">
        <v>0</v>
      </c>
      <c r="CZ230" s="39">
        <f t="shared" si="190"/>
        <v>0</v>
      </c>
      <c r="DA230" s="168">
        <f t="shared" ref="DA230:DA245" si="215">CZ230-CQ230</f>
        <v>-50</v>
      </c>
      <c r="DB230" s="168">
        <f t="shared" ref="DB230:DB245" si="216">CZ230-CW230</f>
        <v>-50</v>
      </c>
      <c r="DC230" s="168">
        <f t="shared" ref="DC230:DC245" si="217">CZ230-CK230</f>
        <v>-50</v>
      </c>
      <c r="DD230" s="91"/>
      <c r="DE230" s="91"/>
      <c r="DF230" s="45">
        <v>100</v>
      </c>
      <c r="DG230" s="46">
        <v>0</v>
      </c>
      <c r="DH230" s="39">
        <f t="shared" si="193"/>
        <v>0</v>
      </c>
      <c r="DI230" s="168">
        <f t="shared" si="174"/>
        <v>0</v>
      </c>
      <c r="DJ230" s="168">
        <f t="shared" si="191"/>
        <v>-50</v>
      </c>
      <c r="DK230" s="168"/>
      <c r="DL230" s="168"/>
      <c r="DM230" s="168"/>
      <c r="DN230" s="92">
        <f t="shared" si="213"/>
        <v>0</v>
      </c>
      <c r="DO230" s="151">
        <v>0</v>
      </c>
      <c r="DP230" s="151">
        <v>0</v>
      </c>
      <c r="DQ230" s="151">
        <v>0</v>
      </c>
      <c r="DR230" s="151">
        <v>0</v>
      </c>
      <c r="DS230" s="151">
        <v>0</v>
      </c>
      <c r="DT230" s="151">
        <v>0</v>
      </c>
      <c r="DU230" s="151">
        <v>0</v>
      </c>
      <c r="DV230" s="151">
        <v>0</v>
      </c>
      <c r="DW230" s="151">
        <v>0</v>
      </c>
      <c r="DX230" s="151">
        <v>0</v>
      </c>
      <c r="DY230" s="151">
        <v>0</v>
      </c>
      <c r="DZ230" s="151">
        <v>0</v>
      </c>
    </row>
    <row r="231" spans="1:130" s="50" customFormat="1" ht="16.25" hidden="1" customHeight="1" x14ac:dyDescent="0.35">
      <c r="A231" s="36" t="s">
        <v>657</v>
      </c>
      <c r="B231" s="36" t="s">
        <v>660</v>
      </c>
      <c r="C231" s="36" t="s">
        <v>20</v>
      </c>
      <c r="D231" s="16" t="s">
        <v>941</v>
      </c>
      <c r="E231" s="38" t="s">
        <v>942</v>
      </c>
      <c r="F231" s="38" t="s">
        <v>114</v>
      </c>
      <c r="G231" s="32" t="s">
        <v>101</v>
      </c>
      <c r="H231" s="32"/>
      <c r="I231" s="36"/>
      <c r="J231" s="34"/>
      <c r="K231" s="36"/>
      <c r="L231" s="36"/>
      <c r="M231" s="36" t="s">
        <v>201</v>
      </c>
      <c r="N231" s="36"/>
      <c r="O231" s="33" t="s">
        <v>943</v>
      </c>
      <c r="P231" s="36" t="s">
        <v>193</v>
      </c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6"/>
      <c r="AD231" s="37"/>
      <c r="AE231" s="37"/>
      <c r="AF231" s="37"/>
      <c r="AG231" s="37"/>
      <c r="AH231" s="34"/>
      <c r="AI231" s="45"/>
      <c r="AJ231" s="37"/>
      <c r="AK231" s="46"/>
      <c r="AL231" s="47"/>
      <c r="AM231" s="47"/>
      <c r="AN231" s="39" t="e">
        <f>VLOOKUP(D231,'May FF'!B$2:E$201,2,0)</f>
        <v>#N/A</v>
      </c>
      <c r="AO231" s="45"/>
      <c r="AP231" s="45"/>
      <c r="AQ231" s="45"/>
      <c r="AR231" s="45">
        <v>165</v>
      </c>
      <c r="AS231" s="46">
        <v>0.9</v>
      </c>
      <c r="AT231" s="45">
        <f t="shared" si="214"/>
        <v>148.5</v>
      </c>
      <c r="AU231" s="48"/>
      <c r="AV231" s="49">
        <f>AU231*AS231</f>
        <v>0</v>
      </c>
      <c r="AW231" s="48"/>
      <c r="AY231" s="45">
        <v>165</v>
      </c>
      <c r="AZ231" s="46">
        <v>0.9</v>
      </c>
      <c r="BA231" s="45">
        <f t="shared" si="210"/>
        <v>148.5</v>
      </c>
      <c r="BB231" s="39">
        <f>BA231-AT231</f>
        <v>0</v>
      </c>
      <c r="BE231" s="45">
        <v>165</v>
      </c>
      <c r="BF231" s="46">
        <v>0.9</v>
      </c>
      <c r="BG231" s="45">
        <f t="shared" si="211"/>
        <v>148.5</v>
      </c>
      <c r="BH231" s="45"/>
      <c r="BI231" s="39">
        <f t="shared" si="198"/>
        <v>0</v>
      </c>
      <c r="BJ231" s="39"/>
      <c r="BM231" s="45">
        <v>0</v>
      </c>
      <c r="BN231" s="46">
        <v>0</v>
      </c>
      <c r="BO231" s="45">
        <f t="shared" si="212"/>
        <v>0</v>
      </c>
      <c r="BP231" s="45"/>
      <c r="BQ231" s="92">
        <f t="shared" si="200"/>
        <v>-148.5</v>
      </c>
      <c r="BR231" s="34" t="s">
        <v>757</v>
      </c>
      <c r="BS231" s="50" t="s">
        <v>944</v>
      </c>
      <c r="BU231" s="45">
        <v>0</v>
      </c>
      <c r="BV231" s="46">
        <v>0</v>
      </c>
      <c r="BW231" s="39">
        <f t="shared" si="201"/>
        <v>0</v>
      </c>
      <c r="BX231" s="118">
        <f t="shared" si="202"/>
        <v>0</v>
      </c>
      <c r="CA231" s="45">
        <v>0</v>
      </c>
      <c r="CB231" s="46">
        <v>0</v>
      </c>
      <c r="CC231" s="39">
        <f t="shared" si="203"/>
        <v>0</v>
      </c>
      <c r="CD231" s="100">
        <v>0</v>
      </c>
      <c r="CE231" s="92">
        <f t="shared" si="204"/>
        <v>0</v>
      </c>
      <c r="CF231" s="92">
        <f t="shared" si="205"/>
        <v>0</v>
      </c>
      <c r="CI231" s="45">
        <v>0</v>
      </c>
      <c r="CJ231" s="46">
        <v>0</v>
      </c>
      <c r="CK231" s="39">
        <f t="shared" si="206"/>
        <v>0</v>
      </c>
      <c r="CL231" s="92">
        <f t="shared" si="207"/>
        <v>0</v>
      </c>
      <c r="CN231" s="17"/>
      <c r="CO231" s="45">
        <v>0</v>
      </c>
      <c r="CP231" s="46">
        <v>0</v>
      </c>
      <c r="CQ231" s="39">
        <f t="shared" si="188"/>
        <v>0</v>
      </c>
      <c r="CR231" s="92">
        <f t="shared" si="208"/>
        <v>0</v>
      </c>
      <c r="CS231" s="91"/>
      <c r="CT231" s="17"/>
      <c r="CU231" s="45">
        <v>0</v>
      </c>
      <c r="CV231" s="46">
        <v>0</v>
      </c>
      <c r="CW231" s="39">
        <f t="shared" si="189"/>
        <v>0</v>
      </c>
      <c r="CX231" s="45">
        <v>0</v>
      </c>
      <c r="CY231" s="46">
        <v>0</v>
      </c>
      <c r="CZ231" s="39">
        <f t="shared" si="190"/>
        <v>0</v>
      </c>
      <c r="DA231" s="168">
        <f t="shared" si="215"/>
        <v>0</v>
      </c>
      <c r="DB231" s="168">
        <f t="shared" si="216"/>
        <v>0</v>
      </c>
      <c r="DC231" s="168">
        <f t="shared" si="217"/>
        <v>0</v>
      </c>
      <c r="DD231" s="91"/>
      <c r="DE231" s="91"/>
      <c r="DF231" s="45">
        <v>0</v>
      </c>
      <c r="DG231" s="46">
        <v>0</v>
      </c>
      <c r="DH231" s="39">
        <f t="shared" si="193"/>
        <v>0</v>
      </c>
      <c r="DI231" s="168">
        <f t="shared" si="174"/>
        <v>0</v>
      </c>
      <c r="DJ231" s="168">
        <f t="shared" si="191"/>
        <v>0</v>
      </c>
      <c r="DK231" s="168"/>
      <c r="DL231" s="168"/>
      <c r="DM231" s="168"/>
      <c r="DN231" s="92">
        <f t="shared" si="213"/>
        <v>0</v>
      </c>
      <c r="DO231" s="151">
        <v>0</v>
      </c>
      <c r="DP231" s="151">
        <v>0</v>
      </c>
      <c r="DQ231" s="151">
        <v>0</v>
      </c>
      <c r="DR231" s="151">
        <v>0</v>
      </c>
      <c r="DS231" s="151">
        <v>0</v>
      </c>
      <c r="DT231" s="151">
        <v>0</v>
      </c>
      <c r="DU231" s="151">
        <v>0</v>
      </c>
      <c r="DV231" s="151">
        <v>0</v>
      </c>
      <c r="DW231" s="151">
        <v>0</v>
      </c>
      <c r="DX231" s="151">
        <v>0</v>
      </c>
      <c r="DY231" s="151">
        <v>0</v>
      </c>
      <c r="DZ231" s="151">
        <v>0</v>
      </c>
    </row>
    <row r="232" spans="1:130" s="50" customFormat="1" ht="16.25" hidden="1" customHeight="1" x14ac:dyDescent="0.35">
      <c r="A232" s="36" t="s">
        <v>657</v>
      </c>
      <c r="B232" s="36" t="s">
        <v>660</v>
      </c>
      <c r="C232" s="36" t="s">
        <v>20</v>
      </c>
      <c r="D232" s="51" t="s">
        <v>941</v>
      </c>
      <c r="E232" s="38" t="s">
        <v>222</v>
      </c>
      <c r="F232" s="38" t="s">
        <v>223</v>
      </c>
      <c r="G232" s="32" t="s">
        <v>101</v>
      </c>
      <c r="H232" s="32"/>
      <c r="I232" s="16"/>
      <c r="J232" s="38"/>
      <c r="K232" s="36"/>
      <c r="L232" s="36"/>
      <c r="M232" s="36"/>
      <c r="N232" s="36"/>
      <c r="O232" s="38"/>
      <c r="P232" s="36" t="s">
        <v>193</v>
      </c>
      <c r="Q232" s="39"/>
      <c r="R232" s="39"/>
      <c r="S232" s="39"/>
      <c r="T232" s="39"/>
      <c r="U232" s="39"/>
      <c r="V232" s="39"/>
      <c r="X232" s="39">
        <f>CK232</f>
        <v>35</v>
      </c>
      <c r="Y232" s="39"/>
      <c r="Z232" s="39"/>
      <c r="AA232" s="39"/>
      <c r="AB232" s="39"/>
      <c r="AC232" s="36"/>
      <c r="AD232" s="37"/>
      <c r="AE232" s="37"/>
      <c r="AF232" s="37"/>
      <c r="AG232" s="37"/>
      <c r="AH232" s="34"/>
      <c r="AI232" s="34"/>
      <c r="AJ232" s="37"/>
      <c r="AK232" s="46"/>
      <c r="AL232" s="47"/>
      <c r="AM232" s="47"/>
      <c r="AN232" s="39"/>
      <c r="AO232" s="97"/>
      <c r="AP232" s="39"/>
      <c r="AQ232" s="45"/>
      <c r="AR232" s="45"/>
      <c r="AS232" s="46"/>
      <c r="AT232" s="37"/>
      <c r="AU232" s="48"/>
      <c r="AV232" s="49"/>
      <c r="AW232" s="48"/>
      <c r="AY232" s="45"/>
      <c r="AZ232" s="46"/>
      <c r="BA232" s="37"/>
      <c r="BB232" s="39"/>
      <c r="BE232" s="45"/>
      <c r="BF232" s="52"/>
      <c r="BG232" s="37"/>
      <c r="BH232" s="37"/>
      <c r="BI232" s="39"/>
      <c r="BJ232" s="39"/>
      <c r="BM232" s="45">
        <v>70</v>
      </c>
      <c r="BN232" s="52">
        <v>0.5</v>
      </c>
      <c r="BO232" s="37">
        <f t="shared" si="212"/>
        <v>35</v>
      </c>
      <c r="BP232" s="37"/>
      <c r="BQ232" s="92"/>
      <c r="BR232" s="34"/>
      <c r="BU232" s="45">
        <v>70</v>
      </c>
      <c r="BV232" s="52">
        <v>0.5</v>
      </c>
      <c r="BW232" s="39">
        <f t="shared" si="201"/>
        <v>35</v>
      </c>
      <c r="BX232" s="118">
        <f t="shared" si="202"/>
        <v>0</v>
      </c>
      <c r="CA232" s="45">
        <v>70</v>
      </c>
      <c r="CB232" s="52">
        <v>0.5</v>
      </c>
      <c r="CC232" s="39">
        <f t="shared" si="203"/>
        <v>35</v>
      </c>
      <c r="CD232" s="100">
        <v>35</v>
      </c>
      <c r="CE232" s="92">
        <f t="shared" si="204"/>
        <v>0</v>
      </c>
      <c r="CF232" s="92">
        <f t="shared" si="205"/>
        <v>0</v>
      </c>
      <c r="CI232" s="45">
        <v>70</v>
      </c>
      <c r="CJ232" s="52">
        <v>0.5</v>
      </c>
      <c r="CK232" s="39">
        <f t="shared" si="206"/>
        <v>35</v>
      </c>
      <c r="CL232" s="92">
        <f t="shared" si="207"/>
        <v>0</v>
      </c>
      <c r="CN232" s="17"/>
      <c r="CO232" s="45">
        <v>70</v>
      </c>
      <c r="CP232" s="52">
        <v>0.5</v>
      </c>
      <c r="CQ232" s="39">
        <f t="shared" si="188"/>
        <v>35</v>
      </c>
      <c r="CR232" s="92">
        <f t="shared" si="208"/>
        <v>0</v>
      </c>
      <c r="CS232" s="91"/>
      <c r="CT232" s="17"/>
      <c r="CU232" s="45">
        <v>70</v>
      </c>
      <c r="CV232" s="52">
        <v>0.5</v>
      </c>
      <c r="CW232" s="39">
        <f t="shared" si="189"/>
        <v>35</v>
      </c>
      <c r="CX232" s="45">
        <v>70</v>
      </c>
      <c r="CY232" s="52">
        <v>0.5</v>
      </c>
      <c r="CZ232" s="39">
        <f t="shared" si="190"/>
        <v>35</v>
      </c>
      <c r="DA232" s="168">
        <f t="shared" si="215"/>
        <v>0</v>
      </c>
      <c r="DB232" s="168">
        <f t="shared" si="216"/>
        <v>0</v>
      </c>
      <c r="DC232" s="168">
        <f t="shared" si="217"/>
        <v>0</v>
      </c>
      <c r="DD232" s="91"/>
      <c r="DE232" s="91"/>
      <c r="DF232" s="45">
        <v>0</v>
      </c>
      <c r="DG232" s="52">
        <v>0</v>
      </c>
      <c r="DH232" s="39">
        <f t="shared" si="193"/>
        <v>0</v>
      </c>
      <c r="DI232" s="168">
        <f t="shared" si="174"/>
        <v>-35</v>
      </c>
      <c r="DJ232" s="168">
        <f t="shared" si="191"/>
        <v>-35</v>
      </c>
      <c r="DK232" s="168"/>
      <c r="DL232" s="168"/>
      <c r="DM232" s="168"/>
      <c r="DN232" s="92">
        <f t="shared" si="213"/>
        <v>35</v>
      </c>
      <c r="DO232" s="152"/>
      <c r="DP232" s="152"/>
      <c r="DQ232" s="152"/>
      <c r="DR232" s="152"/>
      <c r="DS232" s="152"/>
      <c r="DT232" s="152"/>
      <c r="DU232" s="152"/>
      <c r="DV232" s="152"/>
      <c r="DW232" s="152"/>
      <c r="DX232" s="152"/>
      <c r="DY232" s="152"/>
      <c r="DZ232" s="152">
        <v>35</v>
      </c>
    </row>
    <row r="233" spans="1:130" s="50" customFormat="1" ht="16.25" hidden="1" customHeight="1" x14ac:dyDescent="0.35">
      <c r="A233" s="36" t="s">
        <v>657</v>
      </c>
      <c r="B233" s="36" t="s">
        <v>660</v>
      </c>
      <c r="C233" s="36" t="s">
        <v>20</v>
      </c>
      <c r="D233" s="16" t="s">
        <v>945</v>
      </c>
      <c r="E233" s="38" t="s">
        <v>946</v>
      </c>
      <c r="F233" s="38" t="s">
        <v>110</v>
      </c>
      <c r="G233" s="32" t="s">
        <v>101</v>
      </c>
      <c r="H233" s="32"/>
      <c r="I233" s="36" t="s">
        <v>272</v>
      </c>
      <c r="J233" s="34"/>
      <c r="K233" s="36" t="s">
        <v>282</v>
      </c>
      <c r="L233" s="36"/>
      <c r="M233" s="36" t="s">
        <v>294</v>
      </c>
      <c r="N233" s="36" t="s">
        <v>947</v>
      </c>
      <c r="O233" s="38" t="s">
        <v>948</v>
      </c>
      <c r="P233" s="36" t="s">
        <v>361</v>
      </c>
      <c r="Q233" s="39"/>
      <c r="R233" s="39"/>
      <c r="U233" s="39"/>
      <c r="V233" s="39"/>
      <c r="W233" s="39"/>
      <c r="X233" s="39"/>
      <c r="Y233" s="39">
        <f>CK233</f>
        <v>300</v>
      </c>
      <c r="Z233" s="39"/>
      <c r="AA233" s="39"/>
      <c r="AB233" s="39"/>
      <c r="AC233" s="36"/>
      <c r="AD233" s="37">
        <v>800</v>
      </c>
      <c r="AE233" s="37"/>
      <c r="AF233" s="37"/>
      <c r="AG233" s="37"/>
      <c r="AH233" s="34"/>
      <c r="AI233" s="45"/>
      <c r="AJ233" s="37">
        <v>0</v>
      </c>
      <c r="AK233" s="46">
        <v>0</v>
      </c>
      <c r="AL233" s="47">
        <f>AJ233*AK233</f>
        <v>0</v>
      </c>
      <c r="AM233" s="47"/>
      <c r="AN233" s="39" t="e">
        <f>VLOOKUP(D233,'May FF'!B$2:E$201,2,0)</f>
        <v>#N/A</v>
      </c>
      <c r="AO233" s="45"/>
      <c r="AP233" s="45"/>
      <c r="AQ233" s="45"/>
      <c r="AR233" s="45">
        <v>600</v>
      </c>
      <c r="AS233" s="46">
        <v>0.5</v>
      </c>
      <c r="AT233" s="37">
        <f>AR233*AS233</f>
        <v>300</v>
      </c>
      <c r="AU233" s="48"/>
      <c r="AV233" s="49">
        <f>AU233*AS233</f>
        <v>0</v>
      </c>
      <c r="AW233" s="48"/>
      <c r="AY233" s="45">
        <v>600</v>
      </c>
      <c r="AZ233" s="46">
        <v>0.5</v>
      </c>
      <c r="BA233" s="37">
        <f>AY233*AZ233</f>
        <v>300</v>
      </c>
      <c r="BB233" s="39">
        <f>BA233-AT233</f>
        <v>0</v>
      </c>
      <c r="BE233" s="45">
        <v>600</v>
      </c>
      <c r="BF233" s="46">
        <v>0.5</v>
      </c>
      <c r="BG233" s="37">
        <f>BE233*BF233</f>
        <v>300</v>
      </c>
      <c r="BH233" s="37"/>
      <c r="BI233" s="39">
        <f>BG233-BA233</f>
        <v>0</v>
      </c>
      <c r="BJ233" s="39"/>
      <c r="BM233" s="45">
        <v>600</v>
      </c>
      <c r="BN233" s="46">
        <v>0.5</v>
      </c>
      <c r="BO233" s="37">
        <f t="shared" si="212"/>
        <v>300</v>
      </c>
      <c r="BP233" s="37"/>
      <c r="BQ233" s="92">
        <f>BO233-BA233</f>
        <v>0</v>
      </c>
      <c r="BU233" s="45">
        <v>600</v>
      </c>
      <c r="BV233" s="46">
        <v>0.5</v>
      </c>
      <c r="BW233" s="39">
        <f t="shared" si="201"/>
        <v>300</v>
      </c>
      <c r="BX233" s="118">
        <f t="shared" si="202"/>
        <v>0</v>
      </c>
      <c r="CA233" s="45">
        <v>600</v>
      </c>
      <c r="CB233" s="46">
        <v>0.5</v>
      </c>
      <c r="CC233" s="39">
        <f t="shared" si="203"/>
        <v>300</v>
      </c>
      <c r="CD233" s="100">
        <v>300</v>
      </c>
      <c r="CE233" s="92">
        <f t="shared" si="204"/>
        <v>0</v>
      </c>
      <c r="CF233" s="92">
        <f t="shared" si="205"/>
        <v>0</v>
      </c>
      <c r="CI233" s="45">
        <v>600</v>
      </c>
      <c r="CJ233" s="46">
        <v>0.5</v>
      </c>
      <c r="CK233" s="39">
        <f t="shared" si="206"/>
        <v>300</v>
      </c>
      <c r="CL233" s="92">
        <f t="shared" si="207"/>
        <v>0</v>
      </c>
      <c r="CN233" s="17"/>
      <c r="CO233" s="45">
        <v>600</v>
      </c>
      <c r="CP233" s="46">
        <v>0.5</v>
      </c>
      <c r="CQ233" s="39">
        <f t="shared" si="188"/>
        <v>300</v>
      </c>
      <c r="CR233" s="92">
        <f t="shared" si="208"/>
        <v>0</v>
      </c>
      <c r="CS233" s="91"/>
      <c r="CT233" s="17"/>
      <c r="CU233" s="45">
        <v>600</v>
      </c>
      <c r="CV233" s="46">
        <v>0.5</v>
      </c>
      <c r="CW233" s="39">
        <f t="shared" si="189"/>
        <v>300</v>
      </c>
      <c r="CX233" s="45">
        <v>600</v>
      </c>
      <c r="CY233" s="46">
        <v>0.5</v>
      </c>
      <c r="CZ233" s="39">
        <f t="shared" si="190"/>
        <v>300</v>
      </c>
      <c r="DA233" s="168">
        <f t="shared" si="215"/>
        <v>0</v>
      </c>
      <c r="DB233" s="168">
        <f t="shared" si="216"/>
        <v>0</v>
      </c>
      <c r="DC233" s="168">
        <f t="shared" si="217"/>
        <v>0</v>
      </c>
      <c r="DD233" s="91"/>
      <c r="DE233" s="91"/>
      <c r="DF233" s="45">
        <v>600</v>
      </c>
      <c r="DG233" s="46">
        <v>0.5</v>
      </c>
      <c r="DH233" s="39">
        <f t="shared" si="193"/>
        <v>300</v>
      </c>
      <c r="DI233" s="168">
        <f t="shared" si="174"/>
        <v>0</v>
      </c>
      <c r="DJ233" s="168">
        <f t="shared" si="191"/>
        <v>0</v>
      </c>
      <c r="DK233" s="168"/>
      <c r="DL233" s="168"/>
      <c r="DM233" s="168"/>
      <c r="DN233" s="92">
        <f t="shared" si="213"/>
        <v>300</v>
      </c>
      <c r="DO233" s="152"/>
      <c r="DP233" s="152"/>
      <c r="DQ233" s="152"/>
      <c r="DR233" s="152"/>
      <c r="DS233" s="152"/>
      <c r="DT233" s="152"/>
      <c r="DU233" s="152"/>
      <c r="DV233" s="152"/>
      <c r="DW233" s="152"/>
      <c r="DX233" s="152"/>
      <c r="DY233" s="152">
        <v>300</v>
      </c>
      <c r="DZ233" s="152">
        <v>0</v>
      </c>
    </row>
    <row r="234" spans="1:130" s="50" customFormat="1" ht="16.25" hidden="1" customHeight="1" x14ac:dyDescent="0.35">
      <c r="A234" s="36" t="s">
        <v>657</v>
      </c>
      <c r="B234" s="36" t="s">
        <v>660</v>
      </c>
      <c r="C234" s="36" t="s">
        <v>172</v>
      </c>
      <c r="D234" s="16" t="s">
        <v>949</v>
      </c>
      <c r="E234" s="38" t="s">
        <v>950</v>
      </c>
      <c r="F234" s="38" t="s">
        <v>175</v>
      </c>
      <c r="G234" s="32" t="s">
        <v>101</v>
      </c>
      <c r="H234" s="32"/>
      <c r="I234" s="36"/>
      <c r="J234" s="33"/>
      <c r="K234" s="36"/>
      <c r="L234" s="36"/>
      <c r="M234" s="36"/>
      <c r="N234" s="36"/>
      <c r="O234" s="33"/>
      <c r="P234" s="36" t="s">
        <v>193</v>
      </c>
      <c r="Q234" s="39"/>
      <c r="R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6"/>
      <c r="AD234" s="39"/>
      <c r="AE234" s="39"/>
      <c r="AF234" s="37"/>
      <c r="AG234" s="37"/>
      <c r="AH234" s="34"/>
      <c r="AI234" s="45"/>
      <c r="AJ234" s="37"/>
      <c r="AK234" s="46"/>
      <c r="AL234" s="47"/>
      <c r="AM234" s="47"/>
      <c r="AN234" s="45"/>
      <c r="AO234" s="45"/>
      <c r="AP234" s="45"/>
      <c r="AQ234" s="45"/>
      <c r="AR234" s="39"/>
      <c r="AS234" s="40"/>
      <c r="AT234" s="39"/>
      <c r="AU234" s="48"/>
      <c r="AV234" s="49"/>
      <c r="AW234" s="48"/>
      <c r="AY234" s="39"/>
      <c r="AZ234" s="46"/>
      <c r="BA234" s="39"/>
      <c r="BB234" s="37"/>
      <c r="BC234" s="80"/>
      <c r="BE234" s="39"/>
      <c r="BF234" s="40"/>
      <c r="BG234" s="39"/>
      <c r="BH234" s="39"/>
      <c r="BI234" s="39"/>
      <c r="BJ234" s="39"/>
      <c r="BK234" s="80"/>
      <c r="BM234" s="39"/>
      <c r="BN234" s="40"/>
      <c r="BO234" s="39"/>
      <c r="BP234" s="39"/>
      <c r="BQ234" s="92"/>
      <c r="BR234" s="59"/>
      <c r="BU234" s="39"/>
      <c r="BV234" s="40"/>
      <c r="BW234" s="39"/>
      <c r="BX234" s="118"/>
      <c r="BY234" s="34"/>
      <c r="CA234" s="39">
        <v>1200</v>
      </c>
      <c r="CB234" s="40">
        <v>0.9</v>
      </c>
      <c r="CC234" s="39">
        <f t="shared" si="203"/>
        <v>1080</v>
      </c>
      <c r="CD234" s="100">
        <v>1080</v>
      </c>
      <c r="CE234" s="92">
        <f t="shared" si="204"/>
        <v>1080</v>
      </c>
      <c r="CF234" s="92">
        <f t="shared" si="205"/>
        <v>1080</v>
      </c>
      <c r="CG234" s="50" t="s">
        <v>951</v>
      </c>
      <c r="CI234" s="39">
        <v>1200</v>
      </c>
      <c r="CJ234" s="40">
        <v>0.9</v>
      </c>
      <c r="CK234" s="39">
        <f t="shared" si="206"/>
        <v>1080</v>
      </c>
      <c r="CL234" s="92">
        <f t="shared" si="207"/>
        <v>0</v>
      </c>
      <c r="CN234" s="17"/>
      <c r="CO234" s="39">
        <v>0</v>
      </c>
      <c r="CP234" s="40">
        <v>0.9</v>
      </c>
      <c r="CQ234" s="39">
        <f t="shared" si="188"/>
        <v>0</v>
      </c>
      <c r="CR234" s="92">
        <f t="shared" si="208"/>
        <v>-1080</v>
      </c>
      <c r="CS234" s="91"/>
      <c r="CT234" s="17"/>
      <c r="CU234" s="39">
        <v>0</v>
      </c>
      <c r="CV234" s="40">
        <v>0.9</v>
      </c>
      <c r="CW234" s="39">
        <f t="shared" si="189"/>
        <v>0</v>
      </c>
      <c r="CX234" s="39">
        <v>0</v>
      </c>
      <c r="CY234" s="40">
        <v>0.9</v>
      </c>
      <c r="CZ234" s="39">
        <f t="shared" si="190"/>
        <v>0</v>
      </c>
      <c r="DA234" s="168">
        <f t="shared" si="215"/>
        <v>0</v>
      </c>
      <c r="DB234" s="168">
        <f t="shared" si="216"/>
        <v>0</v>
      </c>
      <c r="DC234" s="168">
        <f t="shared" si="217"/>
        <v>-1080</v>
      </c>
      <c r="DD234" s="91"/>
      <c r="DE234" s="91"/>
      <c r="DF234" s="39">
        <v>0</v>
      </c>
      <c r="DG234" s="40">
        <v>0.9</v>
      </c>
      <c r="DH234" s="39">
        <f t="shared" si="193"/>
        <v>0</v>
      </c>
      <c r="DI234" s="168">
        <f t="shared" si="174"/>
        <v>0</v>
      </c>
      <c r="DJ234" s="168">
        <f t="shared" si="191"/>
        <v>0</v>
      </c>
      <c r="DK234" s="168"/>
      <c r="DL234" s="168"/>
      <c r="DM234" s="168"/>
      <c r="DN234" s="92">
        <f t="shared" si="213"/>
        <v>0</v>
      </c>
      <c r="DO234" s="151">
        <v>0</v>
      </c>
      <c r="DP234" s="151">
        <v>0</v>
      </c>
      <c r="DQ234" s="151">
        <v>0</v>
      </c>
      <c r="DR234" s="151">
        <v>0</v>
      </c>
      <c r="DS234" s="151">
        <v>0</v>
      </c>
      <c r="DT234" s="151">
        <v>0</v>
      </c>
      <c r="DU234" s="151">
        <v>0</v>
      </c>
      <c r="DV234" s="151">
        <v>0</v>
      </c>
      <c r="DW234" s="151">
        <v>0</v>
      </c>
      <c r="DX234" s="151">
        <v>0</v>
      </c>
      <c r="DY234" s="151">
        <v>0</v>
      </c>
      <c r="DZ234" s="151">
        <v>0</v>
      </c>
    </row>
    <row r="235" spans="1:130" s="50" customFormat="1" ht="16.25" hidden="1" customHeight="1" x14ac:dyDescent="0.35">
      <c r="A235" s="36" t="s">
        <v>657</v>
      </c>
      <c r="B235" s="36" t="s">
        <v>660</v>
      </c>
      <c r="C235" s="36" t="s">
        <v>172</v>
      </c>
      <c r="D235" s="16" t="s">
        <v>952</v>
      </c>
      <c r="E235" s="38" t="s">
        <v>953</v>
      </c>
      <c r="F235" s="38" t="s">
        <v>213</v>
      </c>
      <c r="G235" s="32" t="s">
        <v>101</v>
      </c>
      <c r="H235" s="32"/>
      <c r="I235" s="36" t="s">
        <v>551</v>
      </c>
      <c r="J235" s="34"/>
      <c r="K235" s="36"/>
      <c r="L235" s="36"/>
      <c r="M235" s="36"/>
      <c r="N235" s="36"/>
      <c r="O235" s="38" t="s">
        <v>954</v>
      </c>
      <c r="P235" s="36" t="s">
        <v>230</v>
      </c>
      <c r="Q235" s="39"/>
      <c r="R235" s="39"/>
      <c r="T235" s="39"/>
      <c r="W235" s="39">
        <f>CZ235</f>
        <v>279.90000000000003</v>
      </c>
      <c r="X235" s="39"/>
      <c r="Y235" s="39"/>
      <c r="Z235" s="39"/>
      <c r="AA235" s="39"/>
      <c r="AB235" s="39"/>
      <c r="AC235" s="36"/>
      <c r="AD235" s="37">
        <v>920</v>
      </c>
      <c r="AE235" s="37">
        <v>800</v>
      </c>
      <c r="AF235" s="37"/>
      <c r="AG235" s="37"/>
      <c r="AH235" s="34"/>
      <c r="AI235" s="34"/>
      <c r="AJ235" s="37">
        <v>0</v>
      </c>
      <c r="AK235" s="46">
        <v>0</v>
      </c>
      <c r="AL235" s="47">
        <f>AJ235*AK235</f>
        <v>0</v>
      </c>
      <c r="AM235" s="47"/>
      <c r="AN235" s="45"/>
      <c r="AO235" s="45"/>
      <c r="AP235" s="45"/>
      <c r="AQ235" s="45"/>
      <c r="AR235" s="45">
        <f>(240*3+200)*85%</f>
        <v>782</v>
      </c>
      <c r="AS235" s="46">
        <v>0.9</v>
      </c>
      <c r="AT235" s="37">
        <f>AR235*AS235</f>
        <v>703.80000000000007</v>
      </c>
      <c r="AU235" s="48"/>
      <c r="AV235" s="49">
        <f>AU235*AS235</f>
        <v>0</v>
      </c>
      <c r="AW235" s="48" t="s">
        <v>955</v>
      </c>
      <c r="AY235" s="45">
        <v>782</v>
      </c>
      <c r="AZ235" s="46">
        <v>0.9</v>
      </c>
      <c r="BA235" s="37">
        <f>AY235*AZ235</f>
        <v>703.80000000000007</v>
      </c>
      <c r="BB235" s="39">
        <f>BA235-AT235</f>
        <v>0</v>
      </c>
      <c r="BE235" s="45">
        <v>782</v>
      </c>
      <c r="BF235" s="46">
        <v>0.9</v>
      </c>
      <c r="BG235" s="37">
        <f>BE235*BF235</f>
        <v>703.80000000000007</v>
      </c>
      <c r="BH235" s="37"/>
      <c r="BI235" s="39">
        <f>BG235-BA235</f>
        <v>0</v>
      </c>
      <c r="BJ235" s="39"/>
      <c r="BM235" s="45">
        <f>782</f>
        <v>782</v>
      </c>
      <c r="BN235" s="46">
        <v>0.9</v>
      </c>
      <c r="BO235" s="37">
        <f>BM235*BN235</f>
        <v>703.80000000000007</v>
      </c>
      <c r="BP235" s="37"/>
      <c r="BQ235" s="92">
        <f>BO235-BA235</f>
        <v>0</v>
      </c>
      <c r="BR235" s="59"/>
      <c r="BU235" s="45">
        <f>782</f>
        <v>782</v>
      </c>
      <c r="BV235" s="46">
        <v>0.9</v>
      </c>
      <c r="BW235" s="39">
        <f>BU235*BV235</f>
        <v>703.80000000000007</v>
      </c>
      <c r="BX235" s="118">
        <f>BW235-BO235</f>
        <v>0</v>
      </c>
      <c r="CA235" s="45">
        <v>720</v>
      </c>
      <c r="CB235" s="46">
        <v>0.9</v>
      </c>
      <c r="CC235" s="39">
        <f t="shared" si="203"/>
        <v>648</v>
      </c>
      <c r="CD235" s="100">
        <v>648</v>
      </c>
      <c r="CE235" s="92">
        <f t="shared" si="204"/>
        <v>-55.800000000000068</v>
      </c>
      <c r="CF235" s="92">
        <f t="shared" si="205"/>
        <v>-55.800000000000068</v>
      </c>
      <c r="CI235" s="45">
        <v>720</v>
      </c>
      <c r="CJ235" s="46">
        <v>0.9</v>
      </c>
      <c r="CK235" s="39">
        <f t="shared" si="206"/>
        <v>648</v>
      </c>
      <c r="CL235" s="92">
        <f t="shared" si="207"/>
        <v>0</v>
      </c>
      <c r="CN235" s="17"/>
      <c r="CO235" s="45">
        <v>720</v>
      </c>
      <c r="CP235" s="46">
        <v>0.9</v>
      </c>
      <c r="CQ235" s="39">
        <f t="shared" si="188"/>
        <v>648</v>
      </c>
      <c r="CR235" s="92">
        <f t="shared" si="208"/>
        <v>0</v>
      </c>
      <c r="CS235" s="91"/>
      <c r="CT235" s="17"/>
      <c r="CU235" s="45">
        <f>240</f>
        <v>240</v>
      </c>
      <c r="CV235" s="46">
        <v>0.9</v>
      </c>
      <c r="CW235" s="39">
        <f t="shared" si="189"/>
        <v>216</v>
      </c>
      <c r="CX235" s="45">
        <v>311</v>
      </c>
      <c r="CY235" s="46">
        <v>0.9</v>
      </c>
      <c r="CZ235" s="39">
        <f t="shared" si="190"/>
        <v>279.90000000000003</v>
      </c>
      <c r="DA235" s="168">
        <f t="shared" si="215"/>
        <v>-368.09999999999997</v>
      </c>
      <c r="DB235" s="168">
        <f t="shared" si="216"/>
        <v>63.900000000000034</v>
      </c>
      <c r="DC235" s="168">
        <f t="shared" si="217"/>
        <v>-368.09999999999997</v>
      </c>
      <c r="DD235" s="91" t="s">
        <v>956</v>
      </c>
      <c r="DE235" s="91"/>
      <c r="DF235" s="45">
        <v>311</v>
      </c>
      <c r="DG235" s="46">
        <v>0.9</v>
      </c>
      <c r="DH235" s="39">
        <f t="shared" si="193"/>
        <v>279.90000000000003</v>
      </c>
      <c r="DI235" s="168">
        <f t="shared" si="174"/>
        <v>0</v>
      </c>
      <c r="DJ235" s="168">
        <f t="shared" si="191"/>
        <v>63.900000000000034</v>
      </c>
      <c r="DK235" s="168"/>
      <c r="DL235" s="168"/>
      <c r="DM235" s="168"/>
      <c r="DN235" s="92">
        <f t="shared" si="213"/>
        <v>280</v>
      </c>
      <c r="DO235" s="152"/>
      <c r="DP235" s="152"/>
      <c r="DQ235" s="152"/>
      <c r="DR235" s="152"/>
      <c r="DS235" s="152"/>
      <c r="DT235" s="152"/>
      <c r="DU235" s="152"/>
      <c r="DV235" s="152"/>
      <c r="DW235" s="152">
        <v>100</v>
      </c>
      <c r="DX235" s="152"/>
      <c r="DY235" s="152"/>
      <c r="DZ235" s="152">
        <v>180</v>
      </c>
    </row>
    <row r="236" spans="1:130" s="50" customFormat="1" ht="16.25" hidden="1" customHeight="1" x14ac:dyDescent="0.35">
      <c r="A236" s="36" t="s">
        <v>657</v>
      </c>
      <c r="B236" s="36" t="s">
        <v>660</v>
      </c>
      <c r="C236" s="36" t="s">
        <v>172</v>
      </c>
      <c r="D236" s="16" t="s">
        <v>957</v>
      </c>
      <c r="E236" s="38" t="s">
        <v>958</v>
      </c>
      <c r="F236" s="38" t="s">
        <v>213</v>
      </c>
      <c r="G236" s="32" t="s">
        <v>101</v>
      </c>
      <c r="H236" s="32"/>
      <c r="I236" s="36" t="s">
        <v>551</v>
      </c>
      <c r="J236" s="33"/>
      <c r="K236" s="36"/>
      <c r="L236" s="36"/>
      <c r="M236" s="34"/>
      <c r="N236" s="36"/>
      <c r="O236" s="33" t="s">
        <v>959</v>
      </c>
      <c r="P236" s="36" t="s">
        <v>230</v>
      </c>
      <c r="Q236" s="39"/>
      <c r="R236" s="39"/>
      <c r="S236" s="39"/>
      <c r="U236" s="39"/>
      <c r="V236" s="39"/>
      <c r="X236" s="39"/>
      <c r="Y236" s="39"/>
      <c r="Z236" s="39">
        <f>CZ236</f>
        <v>250.20000000000002</v>
      </c>
      <c r="AA236" s="39"/>
      <c r="AB236" s="39"/>
      <c r="AC236" s="36"/>
      <c r="AD236" s="135">
        <v>350</v>
      </c>
      <c r="AE236" s="37">
        <v>300</v>
      </c>
      <c r="AF236" s="37"/>
      <c r="AG236" s="37"/>
      <c r="AH236" s="34"/>
      <c r="AI236" s="34"/>
      <c r="AJ236" s="37"/>
      <c r="AK236" s="46"/>
      <c r="AL236" s="47"/>
      <c r="AM236" s="47"/>
      <c r="AN236" s="45"/>
      <c r="AO236" s="45"/>
      <c r="AP236" s="45"/>
      <c r="AQ236" s="45"/>
      <c r="AR236" s="37">
        <v>300</v>
      </c>
      <c r="AS236" s="46">
        <v>0.9</v>
      </c>
      <c r="AT236" s="37">
        <f>AR236*AS236</f>
        <v>270</v>
      </c>
      <c r="AU236" s="48"/>
      <c r="AV236" s="49"/>
      <c r="AW236" s="48"/>
      <c r="AY236" s="37">
        <v>300</v>
      </c>
      <c r="AZ236" s="46">
        <v>0.9</v>
      </c>
      <c r="BA236" s="37">
        <f>AY236*AZ236</f>
        <v>270</v>
      </c>
      <c r="BB236" s="39">
        <f>BA236-AT236</f>
        <v>0</v>
      </c>
      <c r="BE236" s="37">
        <v>300</v>
      </c>
      <c r="BF236" s="46">
        <v>0.9</v>
      </c>
      <c r="BG236" s="37">
        <f>BE236*BF236</f>
        <v>270</v>
      </c>
      <c r="BH236" s="37"/>
      <c r="BI236" s="39">
        <f>BG236-BA236</f>
        <v>0</v>
      </c>
      <c r="BJ236" s="39"/>
      <c r="BM236" s="37">
        <v>300</v>
      </c>
      <c r="BN236" s="46">
        <v>0.9</v>
      </c>
      <c r="BO236" s="37">
        <f>BM236*BN236</f>
        <v>270</v>
      </c>
      <c r="BP236" s="37"/>
      <c r="BQ236" s="92">
        <f>BO236-BA236</f>
        <v>0</v>
      </c>
      <c r="BR236" s="59"/>
      <c r="BU236" s="37">
        <v>300</v>
      </c>
      <c r="BV236" s="46">
        <v>0.9</v>
      </c>
      <c r="BW236" s="39">
        <f>BU236*BV236</f>
        <v>270</v>
      </c>
      <c r="BX236" s="118">
        <f>BW236-BO236</f>
        <v>0</v>
      </c>
      <c r="CA236" s="37">
        <v>350</v>
      </c>
      <c r="CB236" s="46">
        <v>0.9</v>
      </c>
      <c r="CC236" s="39">
        <f t="shared" si="203"/>
        <v>315</v>
      </c>
      <c r="CD236" s="100">
        <v>315</v>
      </c>
      <c r="CE236" s="92">
        <f t="shared" si="204"/>
        <v>45</v>
      </c>
      <c r="CF236" s="92">
        <f t="shared" si="205"/>
        <v>45</v>
      </c>
      <c r="CI236" s="37">
        <v>350</v>
      </c>
      <c r="CJ236" s="46">
        <v>0.9</v>
      </c>
      <c r="CK236" s="39">
        <f t="shared" si="206"/>
        <v>315</v>
      </c>
      <c r="CL236" s="92">
        <f t="shared" si="207"/>
        <v>0</v>
      </c>
      <c r="CN236" s="17"/>
      <c r="CO236" s="37">
        <v>350</v>
      </c>
      <c r="CP236" s="46">
        <v>0.9</v>
      </c>
      <c r="CQ236" s="39">
        <f t="shared" si="188"/>
        <v>315</v>
      </c>
      <c r="CR236" s="92">
        <f t="shared" si="208"/>
        <v>0</v>
      </c>
      <c r="CS236" s="91"/>
      <c r="CT236" s="17"/>
      <c r="CU236" s="37">
        <v>350</v>
      </c>
      <c r="CV236" s="46">
        <v>0.9</v>
      </c>
      <c r="CW236" s="39">
        <f t="shared" si="189"/>
        <v>315</v>
      </c>
      <c r="CX236" s="37">
        <v>278</v>
      </c>
      <c r="CY236" s="46">
        <v>0.9</v>
      </c>
      <c r="CZ236" s="39">
        <f t="shared" si="190"/>
        <v>250.20000000000002</v>
      </c>
      <c r="DA236" s="168">
        <f t="shared" si="215"/>
        <v>-64.799999999999983</v>
      </c>
      <c r="DB236" s="168">
        <f t="shared" si="216"/>
        <v>-64.799999999999983</v>
      </c>
      <c r="DC236" s="168">
        <f t="shared" si="217"/>
        <v>-64.799999999999983</v>
      </c>
      <c r="DD236" s="91" t="s">
        <v>960</v>
      </c>
      <c r="DE236" s="91"/>
      <c r="DF236" s="37">
        <v>278</v>
      </c>
      <c r="DG236" s="46">
        <v>0.9</v>
      </c>
      <c r="DH236" s="39">
        <f t="shared" si="193"/>
        <v>250.20000000000002</v>
      </c>
      <c r="DI236" s="168">
        <f t="shared" si="174"/>
        <v>0</v>
      </c>
      <c r="DJ236" s="168">
        <f t="shared" si="191"/>
        <v>-64.799999999999983</v>
      </c>
      <c r="DK236" s="139"/>
      <c r="DL236" s="139"/>
      <c r="DM236" s="139"/>
      <c r="DN236" s="92">
        <f t="shared" si="213"/>
        <v>250</v>
      </c>
      <c r="DO236" s="152"/>
      <c r="DP236" s="152"/>
      <c r="DQ236" s="152"/>
      <c r="DR236" s="152"/>
      <c r="DS236" s="152"/>
      <c r="DT236" s="152"/>
      <c r="DU236" s="152"/>
      <c r="DV236" s="152"/>
      <c r="DW236" s="152">
        <v>100</v>
      </c>
      <c r="DX236" s="152"/>
      <c r="DY236" s="152"/>
      <c r="DZ236" s="152">
        <v>150</v>
      </c>
    </row>
    <row r="237" spans="1:130" s="50" customFormat="1" ht="16.25" hidden="1" customHeight="1" x14ac:dyDescent="0.35">
      <c r="A237" s="36" t="s">
        <v>657</v>
      </c>
      <c r="B237" s="36" t="s">
        <v>660</v>
      </c>
      <c r="C237" s="36" t="s">
        <v>20</v>
      </c>
      <c r="D237" s="16" t="s">
        <v>961</v>
      </c>
      <c r="E237" s="38" t="s">
        <v>962</v>
      </c>
      <c r="F237" s="38" t="s">
        <v>114</v>
      </c>
      <c r="G237" s="32" t="s">
        <v>101</v>
      </c>
      <c r="H237" s="32"/>
      <c r="I237" s="32"/>
      <c r="J237" s="33" t="s">
        <v>963</v>
      </c>
      <c r="K237" s="36"/>
      <c r="L237" s="36"/>
      <c r="M237" s="36"/>
      <c r="N237" s="36"/>
      <c r="O237" s="33" t="s">
        <v>964</v>
      </c>
      <c r="P237" s="36" t="s">
        <v>193</v>
      </c>
      <c r="Q237" s="39"/>
      <c r="R237" s="39"/>
      <c r="T237" s="39"/>
      <c r="U237" s="39"/>
      <c r="V237" s="39">
        <f>CW237</f>
        <v>450</v>
      </c>
      <c r="W237" s="39"/>
      <c r="X237" s="39"/>
      <c r="Y237" s="39"/>
      <c r="Z237" s="39"/>
      <c r="AA237" s="39"/>
      <c r="AB237" s="39"/>
      <c r="AC237" s="36"/>
      <c r="AD237" s="39">
        <v>500</v>
      </c>
      <c r="AE237" s="37">
        <v>400</v>
      </c>
      <c r="AF237" s="37"/>
      <c r="AG237" s="37"/>
      <c r="AH237" s="34"/>
      <c r="AI237" s="45"/>
      <c r="AJ237" s="37"/>
      <c r="AK237" s="46"/>
      <c r="AL237" s="47"/>
      <c r="AM237" s="47"/>
      <c r="AN237" s="39"/>
      <c r="AO237" s="45"/>
      <c r="AP237" s="45"/>
      <c r="AQ237" s="45"/>
      <c r="AR237" s="37"/>
      <c r="AS237" s="46"/>
      <c r="AT237" s="37"/>
      <c r="AU237" s="48"/>
      <c r="AV237" s="49"/>
      <c r="AW237" s="49"/>
      <c r="AX237" s="34"/>
      <c r="AY237" s="37"/>
      <c r="AZ237" s="46"/>
      <c r="BA237" s="37"/>
      <c r="BB237" s="39"/>
      <c r="BE237" s="37"/>
      <c r="BF237" s="46"/>
      <c r="BG237" s="37"/>
      <c r="BH237" s="37"/>
      <c r="BI237" s="39"/>
      <c r="BJ237" s="39"/>
      <c r="BM237" s="75">
        <v>0</v>
      </c>
      <c r="BN237" s="77">
        <v>0</v>
      </c>
      <c r="BO237" s="70">
        <f>BM237*BN237</f>
        <v>0</v>
      </c>
      <c r="BP237" s="37"/>
      <c r="BQ237" s="92"/>
      <c r="BR237" s="59"/>
      <c r="BU237" s="39">
        <v>0</v>
      </c>
      <c r="BV237" s="46">
        <v>0</v>
      </c>
      <c r="BW237" s="39">
        <f>BU237*BV237</f>
        <v>0</v>
      </c>
      <c r="BX237" s="118">
        <f>BW237-BO237</f>
        <v>0</v>
      </c>
      <c r="CA237" s="37">
        <v>500</v>
      </c>
      <c r="CB237" s="46">
        <v>0.9</v>
      </c>
      <c r="CC237" s="39">
        <f t="shared" si="203"/>
        <v>450</v>
      </c>
      <c r="CD237" s="100">
        <v>450</v>
      </c>
      <c r="CE237" s="92">
        <f t="shared" si="204"/>
        <v>450</v>
      </c>
      <c r="CF237" s="92">
        <f t="shared" si="205"/>
        <v>450</v>
      </c>
      <c r="CI237" s="37">
        <v>500</v>
      </c>
      <c r="CJ237" s="46">
        <v>0.9</v>
      </c>
      <c r="CK237" s="39">
        <f t="shared" si="206"/>
        <v>450</v>
      </c>
      <c r="CL237" s="92">
        <f t="shared" si="207"/>
        <v>0</v>
      </c>
      <c r="CN237" s="17"/>
      <c r="CO237" s="37">
        <v>500</v>
      </c>
      <c r="CP237" s="46">
        <v>0.9</v>
      </c>
      <c r="CQ237" s="39">
        <f t="shared" si="188"/>
        <v>450</v>
      </c>
      <c r="CR237" s="92">
        <f t="shared" si="208"/>
        <v>0</v>
      </c>
      <c r="CS237" s="91" t="s">
        <v>965</v>
      </c>
      <c r="CT237" s="17"/>
      <c r="CU237" s="37">
        <v>500</v>
      </c>
      <c r="CV237" s="46">
        <v>0.9</v>
      </c>
      <c r="CW237" s="39">
        <f t="shared" si="189"/>
        <v>450</v>
      </c>
      <c r="CX237" s="37">
        <v>500</v>
      </c>
      <c r="CY237" s="46">
        <v>0.9</v>
      </c>
      <c r="CZ237" s="39">
        <f t="shared" si="190"/>
        <v>450</v>
      </c>
      <c r="DA237" s="168">
        <f t="shared" si="215"/>
        <v>0</v>
      </c>
      <c r="DB237" s="168">
        <f t="shared" si="216"/>
        <v>0</v>
      </c>
      <c r="DC237" s="168">
        <f t="shared" si="217"/>
        <v>0</v>
      </c>
      <c r="DD237" s="91"/>
      <c r="DE237" s="91"/>
      <c r="DF237" s="37">
        <v>0</v>
      </c>
      <c r="DG237" s="46">
        <v>0</v>
      </c>
      <c r="DH237" s="39">
        <f t="shared" si="193"/>
        <v>0</v>
      </c>
      <c r="DI237" s="168">
        <f t="shared" si="174"/>
        <v>-450</v>
      </c>
      <c r="DJ237" s="168">
        <f t="shared" si="191"/>
        <v>-450</v>
      </c>
      <c r="DK237" s="168" t="s">
        <v>966</v>
      </c>
      <c r="DL237" s="168"/>
      <c r="DM237" s="168"/>
      <c r="DN237" s="92">
        <f t="shared" si="213"/>
        <v>450.0009</v>
      </c>
      <c r="DO237" s="152">
        <v>0</v>
      </c>
      <c r="DP237" s="152">
        <v>0</v>
      </c>
      <c r="DQ237" s="152">
        <v>0</v>
      </c>
      <c r="DR237" s="152">
        <v>0</v>
      </c>
      <c r="DS237" s="152">
        <v>0</v>
      </c>
      <c r="DT237" s="152">
        <v>0</v>
      </c>
      <c r="DU237" s="152">
        <v>0</v>
      </c>
      <c r="DV237" s="152">
        <v>400.00049999999999</v>
      </c>
      <c r="DW237" s="152">
        <v>0</v>
      </c>
      <c r="DX237" s="152">
        <v>0</v>
      </c>
      <c r="DY237" s="152">
        <v>0</v>
      </c>
      <c r="DZ237" s="152">
        <v>50.000399999999999</v>
      </c>
    </row>
    <row r="238" spans="1:130" s="50" customFormat="1" ht="16.25" hidden="1" customHeight="1" x14ac:dyDescent="0.35">
      <c r="A238" s="36" t="s">
        <v>657</v>
      </c>
      <c r="B238" s="36" t="s">
        <v>660</v>
      </c>
      <c r="C238" s="36" t="s">
        <v>172</v>
      </c>
      <c r="D238" s="16" t="s">
        <v>1034</v>
      </c>
      <c r="E238" s="33" t="s">
        <v>827</v>
      </c>
      <c r="F238" s="38" t="s">
        <v>213</v>
      </c>
      <c r="G238" s="32" t="s">
        <v>101</v>
      </c>
      <c r="H238" s="32"/>
      <c r="I238" s="53"/>
      <c r="J238" s="38"/>
      <c r="K238" s="36"/>
      <c r="L238" s="36"/>
      <c r="M238" s="68"/>
      <c r="N238" s="36"/>
      <c r="O238" s="33" t="s">
        <v>828</v>
      </c>
      <c r="P238" s="36" t="s">
        <v>170</v>
      </c>
      <c r="Q238" s="39">
        <f>4100-638</f>
        <v>3462</v>
      </c>
      <c r="R238" s="39"/>
      <c r="S238" s="39"/>
      <c r="T238" s="39"/>
      <c r="U238" s="39"/>
      <c r="V238" s="39"/>
      <c r="W238" s="39">
        <f>CZ238-Q238</f>
        <v>7698</v>
      </c>
      <c r="X238" s="39"/>
      <c r="Y238" s="39"/>
      <c r="Z238" s="39"/>
      <c r="AB238" s="39"/>
      <c r="AC238" s="36"/>
      <c r="AD238" s="39"/>
      <c r="AE238" s="39"/>
      <c r="AF238" s="37"/>
      <c r="AG238" s="37"/>
      <c r="AH238" s="34"/>
      <c r="AI238" s="45"/>
      <c r="AJ238" s="37"/>
      <c r="AK238" s="46"/>
      <c r="AL238" s="47"/>
      <c r="AM238" s="47"/>
      <c r="AN238" s="45"/>
      <c r="AO238" s="45"/>
      <c r="AP238" s="45"/>
      <c r="AQ238" s="45"/>
      <c r="AR238" s="39"/>
      <c r="AS238" s="40"/>
      <c r="AT238" s="39"/>
      <c r="AU238" s="48"/>
      <c r="AV238" s="49"/>
      <c r="AW238" s="48"/>
      <c r="AY238" s="39"/>
      <c r="AZ238" s="40"/>
      <c r="BA238" s="39"/>
      <c r="BB238" s="39"/>
      <c r="BC238" s="80"/>
      <c r="BE238" s="39"/>
      <c r="BF238" s="40"/>
      <c r="BG238" s="39"/>
      <c r="BH238" s="39"/>
      <c r="BI238" s="39"/>
      <c r="BJ238" s="39"/>
      <c r="BK238" s="80"/>
      <c r="BM238" s="39"/>
      <c r="BN238" s="40"/>
      <c r="BO238" s="39"/>
      <c r="BP238" s="75"/>
      <c r="BQ238" s="92"/>
      <c r="BR238" s="59"/>
      <c r="BU238" s="39"/>
      <c r="BV238" s="40"/>
      <c r="BW238" s="118"/>
      <c r="BX238" s="118"/>
      <c r="BY238" s="38"/>
      <c r="CA238" s="39"/>
      <c r="CB238" s="40"/>
      <c r="CC238" s="118"/>
      <c r="CD238" s="118"/>
      <c r="CE238" s="92"/>
      <c r="CF238" s="92"/>
      <c r="CI238" s="39"/>
      <c r="CJ238" s="40"/>
      <c r="CK238" s="118"/>
      <c r="CL238" s="92"/>
      <c r="CN238" s="17"/>
      <c r="CO238" s="39"/>
      <c r="CP238" s="40"/>
      <c r="CQ238" s="118"/>
      <c r="CR238" s="92"/>
      <c r="CS238" s="91"/>
      <c r="CT238" s="17"/>
      <c r="CU238" s="39"/>
      <c r="CV238" s="40"/>
      <c r="CW238" s="118"/>
      <c r="CX238" s="39">
        <v>12400</v>
      </c>
      <c r="CY238" s="40">
        <v>0.9</v>
      </c>
      <c r="CZ238" s="118">
        <f t="shared" si="190"/>
        <v>11160</v>
      </c>
      <c r="DA238" s="168">
        <f t="shared" si="215"/>
        <v>11160</v>
      </c>
      <c r="DB238" s="168">
        <f t="shared" si="216"/>
        <v>11160</v>
      </c>
      <c r="DC238" s="168">
        <f t="shared" si="217"/>
        <v>11160</v>
      </c>
      <c r="DD238" s="91" t="s">
        <v>829</v>
      </c>
      <c r="DE238" s="91"/>
      <c r="DF238" s="39">
        <v>12400</v>
      </c>
      <c r="DG238" s="40">
        <v>0.9</v>
      </c>
      <c r="DH238" s="118">
        <f t="shared" si="193"/>
        <v>11160</v>
      </c>
      <c r="DI238" s="168">
        <f t="shared" si="174"/>
        <v>0</v>
      </c>
      <c r="DJ238" s="168">
        <f t="shared" si="191"/>
        <v>11160</v>
      </c>
      <c r="DK238" s="168"/>
      <c r="DL238" s="168"/>
      <c r="DM238" s="168"/>
      <c r="DN238" s="92">
        <f t="shared" si="213"/>
        <v>4950.0009000000009</v>
      </c>
      <c r="DO238" s="152">
        <v>0</v>
      </c>
      <c r="DP238" s="152">
        <v>0</v>
      </c>
      <c r="DQ238" s="152">
        <v>0</v>
      </c>
      <c r="DR238" s="152">
        <v>0</v>
      </c>
      <c r="DS238" s="152">
        <v>0</v>
      </c>
      <c r="DT238" s="152">
        <v>0</v>
      </c>
      <c r="DU238" s="152">
        <v>0</v>
      </c>
      <c r="DV238" s="152">
        <v>0</v>
      </c>
      <c r="DW238" s="152">
        <v>2000.0007000000001</v>
      </c>
      <c r="DX238" s="152">
        <v>0</v>
      </c>
      <c r="DY238" s="152">
        <v>0</v>
      </c>
      <c r="DZ238" s="152">
        <v>2950.0002000000004</v>
      </c>
    </row>
    <row r="239" spans="1:130" s="50" customFormat="1" ht="16.25" hidden="1" customHeight="1" x14ac:dyDescent="0.35">
      <c r="A239" s="36" t="s">
        <v>657</v>
      </c>
      <c r="B239" s="36" t="s">
        <v>660</v>
      </c>
      <c r="C239" s="36" t="s">
        <v>27</v>
      </c>
      <c r="D239" s="16" t="s">
        <v>193</v>
      </c>
      <c r="E239" s="33" t="s">
        <v>780</v>
      </c>
      <c r="F239" s="38" t="s">
        <v>110</v>
      </c>
      <c r="G239" s="32" t="s">
        <v>101</v>
      </c>
      <c r="H239" s="32"/>
      <c r="I239" s="51" t="s">
        <v>781</v>
      </c>
      <c r="J239" s="36"/>
      <c r="K239" s="36" t="s">
        <v>764</v>
      </c>
      <c r="L239" s="36" t="s">
        <v>357</v>
      </c>
      <c r="M239" s="36" t="s">
        <v>283</v>
      </c>
      <c r="N239" s="36" t="s">
        <v>782</v>
      </c>
      <c r="O239" s="33" t="s">
        <v>783</v>
      </c>
      <c r="P239" s="36" t="s">
        <v>193</v>
      </c>
      <c r="Q239" s="39"/>
      <c r="S239" s="39">
        <v>600</v>
      </c>
      <c r="T239" s="39"/>
      <c r="V239" s="39">
        <v>800</v>
      </c>
      <c r="W239" s="80">
        <f>CZ239-S239-V239</f>
        <v>1210</v>
      </c>
      <c r="X239" s="39"/>
      <c r="Y239" s="39"/>
      <c r="Z239" s="39"/>
      <c r="AB239" s="39"/>
      <c r="AC239" s="36"/>
      <c r="AD239" s="39">
        <v>4000</v>
      </c>
      <c r="AE239" s="39"/>
      <c r="AF239" s="37"/>
      <c r="AG239" s="37"/>
      <c r="AH239" s="34"/>
      <c r="AI239" s="45"/>
      <c r="AJ239" s="37"/>
      <c r="AK239" s="46"/>
      <c r="AL239" s="47"/>
      <c r="AM239" s="47"/>
      <c r="AN239" s="45"/>
      <c r="AO239" s="45"/>
      <c r="AP239" s="45"/>
      <c r="AQ239" s="45"/>
      <c r="AR239" s="39"/>
      <c r="AS239" s="40"/>
      <c r="AT239" s="39"/>
      <c r="AU239" s="48"/>
      <c r="AV239" s="49"/>
      <c r="AW239" s="48"/>
      <c r="AY239" s="39"/>
      <c r="AZ239" s="40"/>
      <c r="BA239" s="39"/>
      <c r="BB239" s="37"/>
      <c r="BC239" s="80"/>
      <c r="BE239" s="39"/>
      <c r="BF239" s="40"/>
      <c r="BG239" s="39"/>
      <c r="BH239" s="39"/>
      <c r="BI239" s="39"/>
      <c r="BJ239" s="39"/>
      <c r="BK239" s="80"/>
      <c r="BM239" s="39">
        <v>4000</v>
      </c>
      <c r="BN239" s="40">
        <v>0.5</v>
      </c>
      <c r="BO239" s="39">
        <f t="shared" ref="BO239:BO248" si="218">BM239*BN239</f>
        <v>2000</v>
      </c>
      <c r="BP239" s="39"/>
      <c r="BQ239" s="92">
        <f t="shared" ref="BQ239:BQ248" si="219">BO239-BA239</f>
        <v>2000</v>
      </c>
      <c r="BR239" s="34" t="s">
        <v>178</v>
      </c>
      <c r="BS239" s="50" t="s">
        <v>784</v>
      </c>
      <c r="BT239" s="59"/>
      <c r="BU239" s="39">
        <v>4000</v>
      </c>
      <c r="BV239" s="117">
        <v>0.75</v>
      </c>
      <c r="BW239" s="39">
        <f t="shared" ref="BW239:BW248" si="220">BU239*BV239</f>
        <v>3000</v>
      </c>
      <c r="BX239" s="118">
        <f t="shared" ref="BX239:BX248" si="221">BW239-BO239</f>
        <v>1000</v>
      </c>
      <c r="BY239" s="34" t="s">
        <v>785</v>
      </c>
      <c r="CA239" s="39">
        <v>4935</v>
      </c>
      <c r="CB239" s="117">
        <v>0.75</v>
      </c>
      <c r="CC239" s="39">
        <f t="shared" ref="CC239:CC248" si="222">CA239*CB239</f>
        <v>3701.25</v>
      </c>
      <c r="CD239" s="100">
        <v>3000</v>
      </c>
      <c r="CE239" s="92">
        <f t="shared" ref="CE239:CE248" si="223">CC239-BW239</f>
        <v>701.25</v>
      </c>
      <c r="CF239" s="92">
        <f t="shared" ref="CF239:CF248" si="224">CC239-BO239</f>
        <v>1701.25</v>
      </c>
      <c r="CG239" s="50" t="s">
        <v>786</v>
      </c>
      <c r="CI239" s="39">
        <v>4935</v>
      </c>
      <c r="CJ239" s="117">
        <v>0.75</v>
      </c>
      <c r="CK239" s="39">
        <f t="shared" ref="CK239:CK248" si="225">CI239*CJ239</f>
        <v>3701.25</v>
      </c>
      <c r="CL239" s="92">
        <f t="shared" ref="CL239:CL248" si="226">CK239-CC239</f>
        <v>0</v>
      </c>
      <c r="CN239" s="17"/>
      <c r="CO239" s="39">
        <v>2900</v>
      </c>
      <c r="CP239" s="117">
        <v>0.9</v>
      </c>
      <c r="CQ239" s="39">
        <f t="shared" ref="CQ239:CQ283" si="227">CO239*CP239</f>
        <v>2610</v>
      </c>
      <c r="CR239" s="92">
        <f t="shared" ref="CR239:CR283" si="228">CQ239-CK239</f>
        <v>-1091.25</v>
      </c>
      <c r="CS239" s="91" t="s">
        <v>787</v>
      </c>
      <c r="CT239" s="17"/>
      <c r="CU239" s="39">
        <v>2900</v>
      </c>
      <c r="CV239" s="117">
        <v>0.9</v>
      </c>
      <c r="CW239" s="39">
        <f t="shared" ref="CW239:CW251" si="229">CU239*CV239</f>
        <v>2610</v>
      </c>
      <c r="CX239" s="39">
        <v>2900</v>
      </c>
      <c r="CY239" s="117">
        <v>0.9</v>
      </c>
      <c r="CZ239" s="39">
        <f t="shared" si="190"/>
        <v>2610</v>
      </c>
      <c r="DA239" s="168">
        <f t="shared" si="215"/>
        <v>0</v>
      </c>
      <c r="DB239" s="168">
        <f t="shared" si="216"/>
        <v>0</v>
      </c>
      <c r="DC239" s="168">
        <f t="shared" si="217"/>
        <v>-1091.25</v>
      </c>
      <c r="DD239" s="91"/>
      <c r="DE239" s="91"/>
      <c r="DF239" s="39">
        <v>0</v>
      </c>
      <c r="DG239" s="117">
        <v>0.75</v>
      </c>
      <c r="DH239" s="39">
        <f t="shared" si="193"/>
        <v>0</v>
      </c>
      <c r="DI239" s="168">
        <f t="shared" si="174"/>
        <v>-2610</v>
      </c>
      <c r="DJ239" s="168">
        <f t="shared" si="191"/>
        <v>-2610</v>
      </c>
      <c r="DK239" s="168" t="s">
        <v>788</v>
      </c>
      <c r="DL239" s="168"/>
      <c r="DM239" s="168"/>
      <c r="DN239" s="92">
        <f t="shared" si="213"/>
        <v>2608.4340000000002</v>
      </c>
      <c r="DO239" s="152">
        <v>0</v>
      </c>
      <c r="DP239" s="152">
        <v>0</v>
      </c>
      <c r="DQ239" s="152">
        <v>0</v>
      </c>
      <c r="DR239" s="152">
        <v>0</v>
      </c>
      <c r="DS239" s="152">
        <v>39.296700000000001</v>
      </c>
      <c r="DT239" s="152">
        <v>58.707900000000002</v>
      </c>
      <c r="DU239" s="152">
        <v>12.7836</v>
      </c>
      <c r="DV239" s="152">
        <v>217.98270000000002</v>
      </c>
      <c r="DW239" s="152">
        <v>338.99040000000002</v>
      </c>
      <c r="DX239" s="152">
        <v>0</v>
      </c>
      <c r="DY239" s="152">
        <v>225.63720000000001</v>
      </c>
      <c r="DZ239" s="152">
        <v>1715.0355</v>
      </c>
    </row>
    <row r="240" spans="1:130" s="50" customFormat="1" ht="16.25" hidden="1" customHeight="1" x14ac:dyDescent="0.35">
      <c r="A240" s="36" t="s">
        <v>657</v>
      </c>
      <c r="B240" s="36" t="s">
        <v>660</v>
      </c>
      <c r="C240" s="36" t="s">
        <v>172</v>
      </c>
      <c r="D240" s="16" t="s">
        <v>193</v>
      </c>
      <c r="E240" s="38" t="s">
        <v>986</v>
      </c>
      <c r="F240" s="38" t="s">
        <v>213</v>
      </c>
      <c r="G240" s="32" t="s">
        <v>101</v>
      </c>
      <c r="H240" s="32"/>
      <c r="I240" s="36" t="s">
        <v>551</v>
      </c>
      <c r="J240" s="43"/>
      <c r="K240" s="36"/>
      <c r="L240" s="36"/>
      <c r="M240" s="36"/>
      <c r="N240" s="36"/>
      <c r="O240" s="33"/>
      <c r="P240" s="36" t="s">
        <v>193</v>
      </c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6"/>
      <c r="AD240" s="39"/>
      <c r="AE240" s="37"/>
      <c r="AF240" s="37"/>
      <c r="AG240" s="37"/>
      <c r="AH240" s="34"/>
      <c r="AI240" s="45"/>
      <c r="AJ240" s="37"/>
      <c r="AK240" s="46"/>
      <c r="AL240" s="47"/>
      <c r="AM240" s="47"/>
      <c r="AN240" s="45"/>
      <c r="AO240" s="45"/>
      <c r="AP240" s="45"/>
      <c r="AQ240" s="45"/>
      <c r="AR240" s="37">
        <v>0</v>
      </c>
      <c r="AS240" s="46">
        <v>0.25</v>
      </c>
      <c r="AT240" s="37">
        <f t="shared" ref="AT240:AT245" si="230">AR240*AS240</f>
        <v>0</v>
      </c>
      <c r="AU240" s="48"/>
      <c r="AV240" s="49"/>
      <c r="AW240" s="48" t="s">
        <v>987</v>
      </c>
      <c r="AY240" s="37">
        <v>0</v>
      </c>
      <c r="AZ240" s="46">
        <v>0.25</v>
      </c>
      <c r="BA240" s="37">
        <f t="shared" ref="BA240:BA245" si="231">AY240*AZ240</f>
        <v>0</v>
      </c>
      <c r="BB240" s="39">
        <f t="shared" ref="BB240:BB245" si="232">BA240-AT240</f>
        <v>0</v>
      </c>
      <c r="BE240" s="37">
        <v>0</v>
      </c>
      <c r="BF240" s="46">
        <v>0.25</v>
      </c>
      <c r="BG240" s="37">
        <f t="shared" ref="BG240:BG245" si="233">BE240*BF240</f>
        <v>0</v>
      </c>
      <c r="BH240" s="37"/>
      <c r="BI240" s="39">
        <f t="shared" ref="BI240:BI245" si="234">BG240-BA240</f>
        <v>0</v>
      </c>
      <c r="BJ240" s="39"/>
      <c r="BM240" s="37">
        <v>0</v>
      </c>
      <c r="BN240" s="46">
        <v>0.25</v>
      </c>
      <c r="BO240" s="37">
        <f t="shared" si="218"/>
        <v>0</v>
      </c>
      <c r="BP240" s="37"/>
      <c r="BQ240" s="92">
        <f t="shared" si="219"/>
        <v>0</v>
      </c>
      <c r="BR240" s="59"/>
      <c r="BU240" s="37">
        <v>0</v>
      </c>
      <c r="BV240" s="46">
        <v>0.25</v>
      </c>
      <c r="BW240" s="39">
        <f t="shared" si="220"/>
        <v>0</v>
      </c>
      <c r="BX240" s="118">
        <f t="shared" si="221"/>
        <v>0</v>
      </c>
      <c r="CA240" s="37">
        <v>0</v>
      </c>
      <c r="CB240" s="46">
        <v>0.25</v>
      </c>
      <c r="CC240" s="39">
        <f t="shared" si="222"/>
        <v>0</v>
      </c>
      <c r="CD240" s="100">
        <v>0</v>
      </c>
      <c r="CE240" s="92">
        <f t="shared" si="223"/>
        <v>0</v>
      </c>
      <c r="CF240" s="92">
        <f t="shared" si="224"/>
        <v>0</v>
      </c>
      <c r="CI240" s="37">
        <v>0</v>
      </c>
      <c r="CJ240" s="46">
        <v>0.25</v>
      </c>
      <c r="CK240" s="39">
        <f t="shared" si="225"/>
        <v>0</v>
      </c>
      <c r="CL240" s="92">
        <f t="shared" si="226"/>
        <v>0</v>
      </c>
      <c r="CN240" s="17"/>
      <c r="CO240" s="37">
        <v>0</v>
      </c>
      <c r="CP240" s="46">
        <v>0.25</v>
      </c>
      <c r="CQ240" s="39">
        <f t="shared" si="227"/>
        <v>0</v>
      </c>
      <c r="CR240" s="92">
        <f t="shared" si="228"/>
        <v>0</v>
      </c>
      <c r="CS240" s="91"/>
      <c r="CT240" s="17"/>
      <c r="CU240" s="37">
        <v>0</v>
      </c>
      <c r="CV240" s="46">
        <v>0.25</v>
      </c>
      <c r="CW240" s="39">
        <f t="shared" si="229"/>
        <v>0</v>
      </c>
      <c r="CX240" s="37">
        <v>0</v>
      </c>
      <c r="CY240" s="46">
        <v>0.25</v>
      </c>
      <c r="CZ240" s="39">
        <f t="shared" si="190"/>
        <v>0</v>
      </c>
      <c r="DA240" s="168">
        <f t="shared" si="215"/>
        <v>0</v>
      </c>
      <c r="DB240" s="168">
        <f t="shared" si="216"/>
        <v>0</v>
      </c>
      <c r="DC240" s="168">
        <f t="shared" si="217"/>
        <v>0</v>
      </c>
      <c r="DD240" s="91"/>
      <c r="DE240" s="91"/>
      <c r="DF240" s="37">
        <v>0</v>
      </c>
      <c r="DG240" s="46">
        <v>0.25</v>
      </c>
      <c r="DH240" s="39">
        <f t="shared" si="193"/>
        <v>0</v>
      </c>
      <c r="DI240" s="168">
        <f t="shared" si="174"/>
        <v>0</v>
      </c>
      <c r="DJ240" s="168">
        <f t="shared" si="191"/>
        <v>0</v>
      </c>
      <c r="DK240" s="168"/>
      <c r="DL240" s="168"/>
      <c r="DM240" s="168"/>
      <c r="DN240" s="92">
        <f t="shared" si="213"/>
        <v>0</v>
      </c>
      <c r="DO240" s="151">
        <v>0</v>
      </c>
      <c r="DP240" s="151">
        <v>0</v>
      </c>
      <c r="DQ240" s="151">
        <v>0</v>
      </c>
      <c r="DR240" s="151">
        <v>0</v>
      </c>
      <c r="DS240" s="151">
        <v>0</v>
      </c>
      <c r="DT240" s="151">
        <v>0</v>
      </c>
      <c r="DU240" s="151">
        <v>0</v>
      </c>
      <c r="DV240" s="151">
        <v>0</v>
      </c>
      <c r="DW240" s="151">
        <v>0</v>
      </c>
      <c r="DX240" s="151">
        <v>0</v>
      </c>
      <c r="DY240" s="151">
        <v>0</v>
      </c>
      <c r="DZ240" s="151">
        <v>0</v>
      </c>
    </row>
    <row r="241" spans="1:131" s="50" customFormat="1" ht="16.25" hidden="1" customHeight="1" x14ac:dyDescent="0.35">
      <c r="A241" s="36" t="s">
        <v>657</v>
      </c>
      <c r="B241" s="36" t="s">
        <v>660</v>
      </c>
      <c r="C241" s="36" t="s">
        <v>20</v>
      </c>
      <c r="D241" s="16" t="s">
        <v>193</v>
      </c>
      <c r="E241" s="38" t="s">
        <v>983</v>
      </c>
      <c r="F241" s="38" t="s">
        <v>110</v>
      </c>
      <c r="G241" s="32" t="s">
        <v>101</v>
      </c>
      <c r="H241" s="32"/>
      <c r="I241" s="32" t="s">
        <v>280</v>
      </c>
      <c r="J241" s="33" t="s">
        <v>984</v>
      </c>
      <c r="K241" s="36" t="s">
        <v>282</v>
      </c>
      <c r="L241" s="36"/>
      <c r="M241" s="36"/>
      <c r="N241" s="36" t="s">
        <v>947</v>
      </c>
      <c r="O241" s="33" t="s">
        <v>985</v>
      </c>
      <c r="P241" s="36" t="s">
        <v>193</v>
      </c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6"/>
      <c r="AD241" s="39">
        <v>3000</v>
      </c>
      <c r="AE241" s="37"/>
      <c r="AF241" s="37"/>
      <c r="AG241" s="37"/>
      <c r="AH241" s="34"/>
      <c r="AI241" s="45"/>
      <c r="AJ241" s="37">
        <v>0</v>
      </c>
      <c r="AK241" s="46">
        <v>0</v>
      </c>
      <c r="AL241" s="47">
        <f>AJ241*AK241</f>
        <v>0</v>
      </c>
      <c r="AM241" s="47"/>
      <c r="AN241" s="39" t="e">
        <f>VLOOKUP(D241,'May FF'!B$2:E$201,2,0)</f>
        <v>#N/A</v>
      </c>
      <c r="AO241" s="45"/>
      <c r="AP241" s="45"/>
      <c r="AQ241" s="45"/>
      <c r="AR241" s="37">
        <v>0</v>
      </c>
      <c r="AS241" s="46">
        <v>0</v>
      </c>
      <c r="AT241" s="37">
        <f t="shared" si="230"/>
        <v>0</v>
      </c>
      <c r="AU241" s="48"/>
      <c r="AV241" s="49">
        <f>AU241*AS241</f>
        <v>0</v>
      </c>
      <c r="AW241" s="48"/>
      <c r="AY241" s="37">
        <v>0</v>
      </c>
      <c r="AZ241" s="46">
        <v>0</v>
      </c>
      <c r="BA241" s="37">
        <f t="shared" si="231"/>
        <v>0</v>
      </c>
      <c r="BB241" s="39">
        <f t="shared" si="232"/>
        <v>0</v>
      </c>
      <c r="BE241" s="37">
        <v>0</v>
      </c>
      <c r="BF241" s="46">
        <v>0</v>
      </c>
      <c r="BG241" s="37">
        <f t="shared" si="233"/>
        <v>0</v>
      </c>
      <c r="BH241" s="37"/>
      <c r="BI241" s="39">
        <f t="shared" si="234"/>
        <v>0</v>
      </c>
      <c r="BJ241" s="39"/>
      <c r="BM241" s="37">
        <v>0</v>
      </c>
      <c r="BN241" s="46">
        <v>0</v>
      </c>
      <c r="BO241" s="37">
        <f t="shared" si="218"/>
        <v>0</v>
      </c>
      <c r="BP241" s="37"/>
      <c r="BQ241" s="92">
        <f t="shared" si="219"/>
        <v>0</v>
      </c>
      <c r="BU241" s="37">
        <v>0</v>
      </c>
      <c r="BV241" s="46">
        <v>0</v>
      </c>
      <c r="BW241" s="39">
        <f t="shared" si="220"/>
        <v>0</v>
      </c>
      <c r="BX241" s="118">
        <f t="shared" si="221"/>
        <v>0</v>
      </c>
      <c r="CA241" s="37">
        <v>0</v>
      </c>
      <c r="CB241" s="46">
        <v>0</v>
      </c>
      <c r="CC241" s="39">
        <f t="shared" si="222"/>
        <v>0</v>
      </c>
      <c r="CD241" s="100">
        <v>0</v>
      </c>
      <c r="CE241" s="92">
        <f t="shared" si="223"/>
        <v>0</v>
      </c>
      <c r="CF241" s="92">
        <f t="shared" si="224"/>
        <v>0</v>
      </c>
      <c r="CI241" s="37">
        <v>0</v>
      </c>
      <c r="CJ241" s="46">
        <v>0</v>
      </c>
      <c r="CK241" s="39">
        <f t="shared" si="225"/>
        <v>0</v>
      </c>
      <c r="CL241" s="92">
        <f t="shared" si="226"/>
        <v>0</v>
      </c>
      <c r="CN241" s="17"/>
      <c r="CO241" s="37">
        <v>0</v>
      </c>
      <c r="CP241" s="46">
        <v>0</v>
      </c>
      <c r="CQ241" s="39">
        <f t="shared" si="227"/>
        <v>0</v>
      </c>
      <c r="CR241" s="92">
        <f t="shared" si="228"/>
        <v>0</v>
      </c>
      <c r="CS241" s="91"/>
      <c r="CT241" s="17"/>
      <c r="CU241" s="37">
        <v>0</v>
      </c>
      <c r="CV241" s="46">
        <v>0</v>
      </c>
      <c r="CW241" s="39">
        <f t="shared" si="229"/>
        <v>0</v>
      </c>
      <c r="CX241" s="37">
        <v>0</v>
      </c>
      <c r="CY241" s="46">
        <v>0</v>
      </c>
      <c r="CZ241" s="39">
        <f t="shared" ref="CZ241:CZ272" si="235">CX241*CY241</f>
        <v>0</v>
      </c>
      <c r="DA241" s="168">
        <f t="shared" si="215"/>
        <v>0</v>
      </c>
      <c r="DB241" s="168">
        <f t="shared" si="216"/>
        <v>0</v>
      </c>
      <c r="DC241" s="168">
        <f t="shared" si="217"/>
        <v>0</v>
      </c>
      <c r="DD241" s="91"/>
      <c r="DE241" s="91"/>
      <c r="DF241" s="37">
        <v>0</v>
      </c>
      <c r="DG241" s="46">
        <v>0</v>
      </c>
      <c r="DH241" s="39">
        <f t="shared" si="193"/>
        <v>0</v>
      </c>
      <c r="DI241" s="168">
        <f t="shared" si="174"/>
        <v>0</v>
      </c>
      <c r="DJ241" s="168">
        <f t="shared" ref="DJ241:DJ272" si="236">DH241-CW241</f>
        <v>0</v>
      </c>
      <c r="DK241" s="168"/>
      <c r="DL241" s="168"/>
      <c r="DM241" s="168"/>
      <c r="DN241" s="92">
        <f t="shared" si="213"/>
        <v>0</v>
      </c>
      <c r="DO241" s="151">
        <v>0</v>
      </c>
      <c r="DP241" s="151">
        <v>0</v>
      </c>
      <c r="DQ241" s="151">
        <v>0</v>
      </c>
      <c r="DR241" s="151">
        <v>0</v>
      </c>
      <c r="DS241" s="151">
        <v>0</v>
      </c>
      <c r="DT241" s="151">
        <v>0</v>
      </c>
      <c r="DU241" s="151">
        <v>0</v>
      </c>
      <c r="DV241" s="151">
        <v>0</v>
      </c>
      <c r="DW241" s="151">
        <v>0</v>
      </c>
      <c r="DX241" s="151">
        <v>0</v>
      </c>
      <c r="DY241" s="151">
        <v>0</v>
      </c>
      <c r="DZ241" s="151">
        <v>0</v>
      </c>
    </row>
    <row r="242" spans="1:131" s="50" customFormat="1" ht="16.25" hidden="1" customHeight="1" x14ac:dyDescent="0.35">
      <c r="A242" s="36" t="s">
        <v>657</v>
      </c>
      <c r="B242" s="36" t="s">
        <v>660</v>
      </c>
      <c r="C242" s="36" t="s">
        <v>27</v>
      </c>
      <c r="D242" s="16" t="s">
        <v>193</v>
      </c>
      <c r="E242" s="33" t="s">
        <v>992</v>
      </c>
      <c r="F242" s="38" t="s">
        <v>110</v>
      </c>
      <c r="G242" s="36" t="s">
        <v>101</v>
      </c>
      <c r="H242" s="36"/>
      <c r="I242" s="36" t="s">
        <v>727</v>
      </c>
      <c r="J242" s="36" t="s">
        <v>727</v>
      </c>
      <c r="K242" s="36" t="s">
        <v>727</v>
      </c>
      <c r="L242" s="36" t="s">
        <v>727</v>
      </c>
      <c r="M242" s="36" t="s">
        <v>131</v>
      </c>
      <c r="N242" s="36"/>
      <c r="O242" s="33" t="s">
        <v>993</v>
      </c>
      <c r="P242" s="36" t="s">
        <v>193</v>
      </c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6"/>
      <c r="AD242" s="39">
        <v>0</v>
      </c>
      <c r="AE242" s="39">
        <v>0</v>
      </c>
      <c r="AF242" s="37"/>
      <c r="AG242" s="37"/>
      <c r="AH242" s="34"/>
      <c r="AI242" s="45"/>
      <c r="AJ242" s="37">
        <v>0</v>
      </c>
      <c r="AK242" s="46">
        <v>0</v>
      </c>
      <c r="AL242" s="47">
        <f>AJ242*AK242</f>
        <v>0</v>
      </c>
      <c r="AM242" s="47"/>
      <c r="AN242" s="45"/>
      <c r="AO242" s="45"/>
      <c r="AP242" s="45"/>
      <c r="AQ242" s="45"/>
      <c r="AR242" s="39">
        <v>0</v>
      </c>
      <c r="AS242" s="40">
        <v>0</v>
      </c>
      <c r="AT242" s="39">
        <f t="shared" si="230"/>
        <v>0</v>
      </c>
      <c r="AU242" s="48"/>
      <c r="AV242" s="49">
        <f>AU242*AS242</f>
        <v>0</v>
      </c>
      <c r="AW242" s="48"/>
      <c r="AY242" s="39">
        <v>0</v>
      </c>
      <c r="AZ242" s="40">
        <v>0</v>
      </c>
      <c r="BA242" s="39">
        <f t="shared" si="231"/>
        <v>0</v>
      </c>
      <c r="BB242" s="39">
        <f t="shared" si="232"/>
        <v>0</v>
      </c>
      <c r="BE242" s="39">
        <v>0</v>
      </c>
      <c r="BF242" s="40">
        <v>0</v>
      </c>
      <c r="BG242" s="39">
        <f t="shared" si="233"/>
        <v>0</v>
      </c>
      <c r="BH242" s="39"/>
      <c r="BI242" s="39">
        <f t="shared" si="234"/>
        <v>0</v>
      </c>
      <c r="BJ242" s="39"/>
      <c r="BM242" s="39">
        <v>0</v>
      </c>
      <c r="BN242" s="40">
        <v>0</v>
      </c>
      <c r="BO242" s="39">
        <f t="shared" si="218"/>
        <v>0</v>
      </c>
      <c r="BP242" s="39"/>
      <c r="BQ242" s="92">
        <f t="shared" si="219"/>
        <v>0</v>
      </c>
      <c r="BU242" s="39">
        <v>0</v>
      </c>
      <c r="BV242" s="40">
        <v>0</v>
      </c>
      <c r="BW242" s="39">
        <f t="shared" si="220"/>
        <v>0</v>
      </c>
      <c r="BX242" s="118">
        <f t="shared" si="221"/>
        <v>0</v>
      </c>
      <c r="BY242" s="34"/>
      <c r="CA242" s="39">
        <v>0</v>
      </c>
      <c r="CB242" s="40">
        <v>0</v>
      </c>
      <c r="CC242" s="39">
        <f t="shared" si="222"/>
        <v>0</v>
      </c>
      <c r="CD242" s="100">
        <v>0</v>
      </c>
      <c r="CE242" s="92">
        <f t="shared" si="223"/>
        <v>0</v>
      </c>
      <c r="CF242" s="92">
        <f t="shared" si="224"/>
        <v>0</v>
      </c>
      <c r="CI242" s="39">
        <v>0</v>
      </c>
      <c r="CJ242" s="40">
        <v>0</v>
      </c>
      <c r="CK242" s="39">
        <f t="shared" si="225"/>
        <v>0</v>
      </c>
      <c r="CL242" s="92">
        <f t="shared" si="226"/>
        <v>0</v>
      </c>
      <c r="CN242" s="17"/>
      <c r="CO242" s="39">
        <v>0</v>
      </c>
      <c r="CP242" s="40">
        <v>0</v>
      </c>
      <c r="CQ242" s="39">
        <f t="shared" si="227"/>
        <v>0</v>
      </c>
      <c r="CR242" s="92">
        <f t="shared" si="228"/>
        <v>0</v>
      </c>
      <c r="CS242" s="91"/>
      <c r="CT242" s="17"/>
      <c r="CU242" s="39">
        <v>0</v>
      </c>
      <c r="CV242" s="40">
        <v>0</v>
      </c>
      <c r="CW242" s="39">
        <f t="shared" si="229"/>
        <v>0</v>
      </c>
      <c r="CX242" s="39">
        <v>0</v>
      </c>
      <c r="CY242" s="40">
        <v>0</v>
      </c>
      <c r="CZ242" s="39">
        <f t="shared" si="235"/>
        <v>0</v>
      </c>
      <c r="DA242" s="168">
        <f t="shared" si="215"/>
        <v>0</v>
      </c>
      <c r="DB242" s="168">
        <f t="shared" si="216"/>
        <v>0</v>
      </c>
      <c r="DC242" s="168">
        <f t="shared" si="217"/>
        <v>0</v>
      </c>
      <c r="DD242" s="91"/>
      <c r="DE242" s="91"/>
      <c r="DF242" s="39">
        <v>0</v>
      </c>
      <c r="DG242" s="40">
        <v>0</v>
      </c>
      <c r="DH242" s="39">
        <f t="shared" si="193"/>
        <v>0</v>
      </c>
      <c r="DI242" s="168">
        <f t="shared" si="174"/>
        <v>0</v>
      </c>
      <c r="DJ242" s="168">
        <f t="shared" si="236"/>
        <v>0</v>
      </c>
      <c r="DK242" s="168"/>
      <c r="DL242" s="168"/>
      <c r="DM242" s="168"/>
      <c r="DN242" s="92">
        <f t="shared" si="213"/>
        <v>0</v>
      </c>
      <c r="DO242" s="151">
        <v>0</v>
      </c>
      <c r="DP242" s="151">
        <v>0</v>
      </c>
      <c r="DQ242" s="151">
        <v>0</v>
      </c>
      <c r="DR242" s="151">
        <v>0</v>
      </c>
      <c r="DS242" s="151">
        <v>0</v>
      </c>
      <c r="DT242" s="151">
        <v>0</v>
      </c>
      <c r="DU242" s="151">
        <v>0</v>
      </c>
      <c r="DV242" s="151">
        <v>0</v>
      </c>
      <c r="DW242" s="151">
        <v>0</v>
      </c>
      <c r="DX242" s="151">
        <v>0</v>
      </c>
      <c r="DY242" s="151">
        <v>0</v>
      </c>
      <c r="DZ242" s="151">
        <v>0</v>
      </c>
    </row>
    <row r="243" spans="1:131" s="50" customFormat="1" ht="16.25" hidden="1" customHeight="1" x14ac:dyDescent="0.35">
      <c r="A243" s="36" t="s">
        <v>657</v>
      </c>
      <c r="B243" s="36" t="s">
        <v>660</v>
      </c>
      <c r="C243" s="36" t="s">
        <v>28</v>
      </c>
      <c r="D243" s="16" t="s">
        <v>193</v>
      </c>
      <c r="E243" s="38" t="s">
        <v>994</v>
      </c>
      <c r="F243" s="38" t="s">
        <v>110</v>
      </c>
      <c r="G243" s="32" t="s">
        <v>101</v>
      </c>
      <c r="H243" s="32"/>
      <c r="I243" s="38"/>
      <c r="J243" s="38"/>
      <c r="K243" s="36"/>
      <c r="L243" s="36"/>
      <c r="M243" s="36" t="s">
        <v>203</v>
      </c>
      <c r="N243" s="36"/>
      <c r="O243" s="38"/>
      <c r="P243" s="36" t="s">
        <v>193</v>
      </c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6"/>
      <c r="AD243" s="37"/>
      <c r="AE243" s="46"/>
      <c r="AF243" s="37"/>
      <c r="AG243" s="37"/>
      <c r="AH243" s="34"/>
      <c r="AI243" s="45"/>
      <c r="AJ243" s="37"/>
      <c r="AK243" s="46"/>
      <c r="AL243" s="47"/>
      <c r="AM243" s="47"/>
      <c r="AN243" s="37"/>
      <c r="AO243" s="37"/>
      <c r="AP243" s="37"/>
      <c r="AQ243" s="37"/>
      <c r="AR243" s="37">
        <v>0</v>
      </c>
      <c r="AS243" s="46">
        <v>0</v>
      </c>
      <c r="AT243" s="47">
        <f t="shared" si="230"/>
        <v>0</v>
      </c>
      <c r="AU243" s="48"/>
      <c r="AV243" s="49"/>
      <c r="AW243" s="48"/>
      <c r="AY243" s="37">
        <v>0</v>
      </c>
      <c r="AZ243" s="46">
        <v>0</v>
      </c>
      <c r="BA243" s="39">
        <f t="shared" si="231"/>
        <v>0</v>
      </c>
      <c r="BB243" s="39">
        <f t="shared" si="232"/>
        <v>0</v>
      </c>
      <c r="BE243" s="37">
        <v>0</v>
      </c>
      <c r="BF243" s="46">
        <v>0</v>
      </c>
      <c r="BG243" s="39">
        <f t="shared" si="233"/>
        <v>0</v>
      </c>
      <c r="BH243" s="39"/>
      <c r="BI243" s="39">
        <f t="shared" si="234"/>
        <v>0</v>
      </c>
      <c r="BJ243" s="39"/>
      <c r="BM243" s="37">
        <v>0</v>
      </c>
      <c r="BN243" s="46">
        <v>0</v>
      </c>
      <c r="BO243" s="39">
        <f t="shared" si="218"/>
        <v>0</v>
      </c>
      <c r="BP243" s="39"/>
      <c r="BQ243" s="92">
        <f t="shared" si="219"/>
        <v>0</v>
      </c>
      <c r="BU243" s="37">
        <v>0</v>
      </c>
      <c r="BV243" s="46">
        <v>0</v>
      </c>
      <c r="BW243" s="39">
        <f t="shared" si="220"/>
        <v>0</v>
      </c>
      <c r="BX243" s="118">
        <f t="shared" si="221"/>
        <v>0</v>
      </c>
      <c r="CA243" s="37">
        <v>0</v>
      </c>
      <c r="CB243" s="46">
        <v>0</v>
      </c>
      <c r="CC243" s="39">
        <f t="shared" si="222"/>
        <v>0</v>
      </c>
      <c r="CD243" s="100">
        <v>0</v>
      </c>
      <c r="CE243" s="92">
        <f t="shared" si="223"/>
        <v>0</v>
      </c>
      <c r="CF243" s="92">
        <f t="shared" si="224"/>
        <v>0</v>
      </c>
      <c r="CI243" s="37">
        <v>0</v>
      </c>
      <c r="CJ243" s="46">
        <v>0</v>
      </c>
      <c r="CK243" s="39">
        <f t="shared" si="225"/>
        <v>0</v>
      </c>
      <c r="CL243" s="92">
        <f t="shared" si="226"/>
        <v>0</v>
      </c>
      <c r="CN243" s="17"/>
      <c r="CO243" s="37">
        <v>0</v>
      </c>
      <c r="CP243" s="46">
        <v>0</v>
      </c>
      <c r="CQ243" s="39">
        <f t="shared" si="227"/>
        <v>0</v>
      </c>
      <c r="CR243" s="92">
        <f t="shared" si="228"/>
        <v>0</v>
      </c>
      <c r="CS243" s="91"/>
      <c r="CT243" s="17"/>
      <c r="CU243" s="37">
        <v>0</v>
      </c>
      <c r="CV243" s="46">
        <v>0</v>
      </c>
      <c r="CW243" s="39">
        <f t="shared" si="229"/>
        <v>0</v>
      </c>
      <c r="CX243" s="37">
        <v>0</v>
      </c>
      <c r="CY243" s="46">
        <v>0</v>
      </c>
      <c r="CZ243" s="39">
        <f t="shared" si="235"/>
        <v>0</v>
      </c>
      <c r="DA243" s="168">
        <f t="shared" si="215"/>
        <v>0</v>
      </c>
      <c r="DB243" s="168">
        <f t="shared" si="216"/>
        <v>0</v>
      </c>
      <c r="DC243" s="168">
        <f t="shared" si="217"/>
        <v>0</v>
      </c>
      <c r="DD243" s="91"/>
      <c r="DE243" s="91"/>
      <c r="DF243" s="37">
        <v>0</v>
      </c>
      <c r="DG243" s="46">
        <v>0</v>
      </c>
      <c r="DH243" s="39">
        <f t="shared" si="193"/>
        <v>0</v>
      </c>
      <c r="DI243" s="168">
        <f t="shared" si="174"/>
        <v>0</v>
      </c>
      <c r="DJ243" s="168">
        <f t="shared" si="236"/>
        <v>0</v>
      </c>
      <c r="DK243" s="168"/>
      <c r="DL243" s="168"/>
      <c r="DM243" s="168"/>
      <c r="DN243" s="92">
        <f t="shared" si="213"/>
        <v>0</v>
      </c>
      <c r="DO243" s="151">
        <v>0</v>
      </c>
      <c r="DP243" s="151">
        <v>0</v>
      </c>
      <c r="DQ243" s="151">
        <v>0</v>
      </c>
      <c r="DR243" s="151">
        <v>0</v>
      </c>
      <c r="DS243" s="151">
        <v>0</v>
      </c>
      <c r="DT243" s="151">
        <v>0</v>
      </c>
      <c r="DU243" s="151">
        <v>0</v>
      </c>
      <c r="DV243" s="151">
        <v>0</v>
      </c>
      <c r="DW243" s="151">
        <v>0</v>
      </c>
      <c r="DX243" s="151">
        <v>0</v>
      </c>
      <c r="DY243" s="151">
        <v>0</v>
      </c>
      <c r="DZ243" s="151">
        <v>0</v>
      </c>
    </row>
    <row r="244" spans="1:131" s="50" customFormat="1" ht="16.25" hidden="1" customHeight="1" x14ac:dyDescent="0.35">
      <c r="A244" s="36" t="s">
        <v>657</v>
      </c>
      <c r="B244" s="36" t="s">
        <v>660</v>
      </c>
      <c r="C244" s="36" t="s">
        <v>20</v>
      </c>
      <c r="D244" s="16" t="s">
        <v>193</v>
      </c>
      <c r="E244" s="38" t="s">
        <v>988</v>
      </c>
      <c r="F244" s="38" t="s">
        <v>114</v>
      </c>
      <c r="G244" s="32" t="s">
        <v>101</v>
      </c>
      <c r="H244" s="32"/>
      <c r="I244" s="36"/>
      <c r="J244" s="33" t="s">
        <v>989</v>
      </c>
      <c r="K244" s="36"/>
      <c r="L244" s="36"/>
      <c r="M244" s="36" t="s">
        <v>249</v>
      </c>
      <c r="N244" s="36"/>
      <c r="O244" s="33" t="s">
        <v>990</v>
      </c>
      <c r="P244" s="36" t="s">
        <v>193</v>
      </c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6"/>
      <c r="AD244" s="39">
        <v>200</v>
      </c>
      <c r="AE244" s="37"/>
      <c r="AF244" s="37"/>
      <c r="AG244" s="37"/>
      <c r="AH244" s="56"/>
      <c r="AI244" s="45"/>
      <c r="AJ244" s="37">
        <v>0</v>
      </c>
      <c r="AK244" s="46">
        <v>0</v>
      </c>
      <c r="AL244" s="47">
        <f>AJ244*AK244</f>
        <v>0</v>
      </c>
      <c r="AM244" s="47"/>
      <c r="AN244" s="39" t="e">
        <f>VLOOKUP(D244,'May FF'!B$2:E$201,2,0)</f>
        <v>#N/A</v>
      </c>
      <c r="AO244" s="45"/>
      <c r="AP244" s="45"/>
      <c r="AQ244" s="45"/>
      <c r="AR244" s="45">
        <v>0</v>
      </c>
      <c r="AS244" s="46">
        <v>0</v>
      </c>
      <c r="AT244" s="37">
        <f t="shared" si="230"/>
        <v>0</v>
      </c>
      <c r="AU244" s="48"/>
      <c r="AV244" s="49">
        <f>AU244*AS244</f>
        <v>0</v>
      </c>
      <c r="AW244" s="48" t="s">
        <v>991</v>
      </c>
      <c r="AY244" s="45">
        <v>0</v>
      </c>
      <c r="AZ244" s="46">
        <v>0</v>
      </c>
      <c r="BA244" s="37">
        <f t="shared" si="231"/>
        <v>0</v>
      </c>
      <c r="BB244" s="39">
        <f t="shared" si="232"/>
        <v>0</v>
      </c>
      <c r="BE244" s="45">
        <v>0</v>
      </c>
      <c r="BF244" s="46">
        <v>0</v>
      </c>
      <c r="BG244" s="37">
        <f t="shared" si="233"/>
        <v>0</v>
      </c>
      <c r="BH244" s="37"/>
      <c r="BI244" s="39">
        <f t="shared" si="234"/>
        <v>0</v>
      </c>
      <c r="BJ244" s="39"/>
      <c r="BM244" s="45">
        <v>0</v>
      </c>
      <c r="BN244" s="46">
        <v>0</v>
      </c>
      <c r="BO244" s="37">
        <f t="shared" si="218"/>
        <v>0</v>
      </c>
      <c r="BP244" s="37"/>
      <c r="BQ244" s="92">
        <f t="shared" si="219"/>
        <v>0</v>
      </c>
      <c r="BU244" s="45">
        <v>0</v>
      </c>
      <c r="BV244" s="46">
        <v>0</v>
      </c>
      <c r="BW244" s="39">
        <f t="shared" si="220"/>
        <v>0</v>
      </c>
      <c r="BX244" s="118">
        <f t="shared" si="221"/>
        <v>0</v>
      </c>
      <c r="CA244" s="45">
        <v>0</v>
      </c>
      <c r="CB244" s="46">
        <v>0</v>
      </c>
      <c r="CC244" s="39">
        <f t="shared" si="222"/>
        <v>0</v>
      </c>
      <c r="CD244" s="100">
        <v>0</v>
      </c>
      <c r="CE244" s="92">
        <f t="shared" si="223"/>
        <v>0</v>
      </c>
      <c r="CF244" s="92">
        <f t="shared" si="224"/>
        <v>0</v>
      </c>
      <c r="CI244" s="45">
        <v>0</v>
      </c>
      <c r="CJ244" s="46">
        <v>0</v>
      </c>
      <c r="CK244" s="39">
        <f t="shared" si="225"/>
        <v>0</v>
      </c>
      <c r="CL244" s="92">
        <f t="shared" si="226"/>
        <v>0</v>
      </c>
      <c r="CN244" s="17"/>
      <c r="CO244" s="45">
        <v>0</v>
      </c>
      <c r="CP244" s="46">
        <v>0</v>
      </c>
      <c r="CQ244" s="39">
        <f t="shared" si="227"/>
        <v>0</v>
      </c>
      <c r="CR244" s="92">
        <f t="shared" si="228"/>
        <v>0</v>
      </c>
      <c r="CS244" s="91"/>
      <c r="CT244" s="17"/>
      <c r="CU244" s="45">
        <v>0</v>
      </c>
      <c r="CV244" s="46">
        <v>0</v>
      </c>
      <c r="CW244" s="39">
        <f t="shared" si="229"/>
        <v>0</v>
      </c>
      <c r="CX244" s="45">
        <v>0</v>
      </c>
      <c r="CY244" s="46">
        <v>0</v>
      </c>
      <c r="CZ244" s="39">
        <f t="shared" si="235"/>
        <v>0</v>
      </c>
      <c r="DA244" s="168">
        <f t="shared" si="215"/>
        <v>0</v>
      </c>
      <c r="DB244" s="168">
        <f t="shared" si="216"/>
        <v>0</v>
      </c>
      <c r="DC244" s="168">
        <f t="shared" si="217"/>
        <v>0</v>
      </c>
      <c r="DD244" s="91"/>
      <c r="DE244" s="91"/>
      <c r="DF244" s="45">
        <v>0</v>
      </c>
      <c r="DG244" s="46">
        <v>0</v>
      </c>
      <c r="DH244" s="39">
        <f t="shared" ref="DH244:DH275" si="237">DF244*DG244</f>
        <v>0</v>
      </c>
      <c r="DI244" s="168">
        <f t="shared" si="174"/>
        <v>0</v>
      </c>
      <c r="DJ244" s="168">
        <f t="shared" si="236"/>
        <v>0</v>
      </c>
      <c r="DK244" s="168"/>
      <c r="DL244" s="168"/>
      <c r="DM244" s="168"/>
      <c r="DN244" s="92">
        <f t="shared" si="213"/>
        <v>0</v>
      </c>
      <c r="DO244" s="151">
        <v>0</v>
      </c>
      <c r="DP244" s="151">
        <v>0</v>
      </c>
      <c r="DQ244" s="151">
        <v>0</v>
      </c>
      <c r="DR244" s="151">
        <v>0</v>
      </c>
      <c r="DS244" s="151">
        <v>0</v>
      </c>
      <c r="DT244" s="151">
        <v>0</v>
      </c>
      <c r="DU244" s="151">
        <v>0</v>
      </c>
      <c r="DV244" s="151">
        <v>0</v>
      </c>
      <c r="DW244" s="151">
        <v>0</v>
      </c>
      <c r="DX244" s="151">
        <v>0</v>
      </c>
      <c r="DY244" s="151">
        <v>0</v>
      </c>
      <c r="DZ244" s="151">
        <v>0</v>
      </c>
    </row>
    <row r="245" spans="1:131" s="50" customFormat="1" ht="16.25" hidden="1" customHeight="1" x14ac:dyDescent="0.35">
      <c r="A245" s="36" t="s">
        <v>657</v>
      </c>
      <c r="B245" s="36" t="s">
        <v>660</v>
      </c>
      <c r="C245" s="36" t="s">
        <v>20</v>
      </c>
      <c r="D245" s="16" t="s">
        <v>193</v>
      </c>
      <c r="E245" s="38" t="s">
        <v>995</v>
      </c>
      <c r="F245" s="38" t="s">
        <v>114</v>
      </c>
      <c r="G245" s="32" t="s">
        <v>101</v>
      </c>
      <c r="H245" s="32"/>
      <c r="I245" s="36"/>
      <c r="J245" s="33" t="s">
        <v>996</v>
      </c>
      <c r="K245" s="36"/>
      <c r="L245" s="36"/>
      <c r="M245" s="36" t="s">
        <v>249</v>
      </c>
      <c r="N245" s="36"/>
      <c r="O245" s="33"/>
      <c r="P245" s="36" t="s">
        <v>193</v>
      </c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6"/>
      <c r="AD245" s="39">
        <v>200</v>
      </c>
      <c r="AE245" s="37"/>
      <c r="AF245" s="37"/>
      <c r="AG245" s="37"/>
      <c r="AH245" s="34"/>
      <c r="AI245" s="45"/>
      <c r="AJ245" s="37">
        <v>0</v>
      </c>
      <c r="AK245" s="46">
        <v>0</v>
      </c>
      <c r="AL245" s="47">
        <f>AJ245*AK245</f>
        <v>0</v>
      </c>
      <c r="AM245" s="47"/>
      <c r="AN245" s="39" t="e">
        <f>VLOOKUP(D245,'May FF'!B$2:E$201,2,0)</f>
        <v>#N/A</v>
      </c>
      <c r="AO245" s="45"/>
      <c r="AP245" s="45"/>
      <c r="AQ245" s="45"/>
      <c r="AR245" s="45">
        <v>0</v>
      </c>
      <c r="AS245" s="46">
        <v>0</v>
      </c>
      <c r="AT245" s="37">
        <f t="shared" si="230"/>
        <v>0</v>
      </c>
      <c r="AU245" s="48"/>
      <c r="AV245" s="49">
        <f>AU245*AS245</f>
        <v>0</v>
      </c>
      <c r="AW245" s="48" t="s">
        <v>991</v>
      </c>
      <c r="AY245" s="45">
        <v>0</v>
      </c>
      <c r="AZ245" s="46">
        <v>0</v>
      </c>
      <c r="BA245" s="37">
        <f t="shared" si="231"/>
        <v>0</v>
      </c>
      <c r="BB245" s="39">
        <f t="shared" si="232"/>
        <v>0</v>
      </c>
      <c r="BE245" s="45">
        <v>0</v>
      </c>
      <c r="BF245" s="46">
        <v>0</v>
      </c>
      <c r="BG245" s="37">
        <f t="shared" si="233"/>
        <v>0</v>
      </c>
      <c r="BH245" s="37"/>
      <c r="BI245" s="39">
        <f t="shared" si="234"/>
        <v>0</v>
      </c>
      <c r="BJ245" s="39"/>
      <c r="BM245" s="45">
        <v>0</v>
      </c>
      <c r="BN245" s="46">
        <v>0</v>
      </c>
      <c r="BO245" s="37">
        <f t="shared" si="218"/>
        <v>0</v>
      </c>
      <c r="BP245" s="37"/>
      <c r="BQ245" s="92">
        <f t="shared" si="219"/>
        <v>0</v>
      </c>
      <c r="BU245" s="45">
        <v>0</v>
      </c>
      <c r="BV245" s="46">
        <v>0</v>
      </c>
      <c r="BW245" s="39">
        <f t="shared" si="220"/>
        <v>0</v>
      </c>
      <c r="BX245" s="118">
        <f t="shared" si="221"/>
        <v>0</v>
      </c>
      <c r="CA245" s="45">
        <v>0</v>
      </c>
      <c r="CB245" s="46">
        <v>0</v>
      </c>
      <c r="CC245" s="39">
        <f t="shared" si="222"/>
        <v>0</v>
      </c>
      <c r="CD245" s="100">
        <v>0</v>
      </c>
      <c r="CE245" s="92">
        <f t="shared" si="223"/>
        <v>0</v>
      </c>
      <c r="CF245" s="92">
        <f t="shared" si="224"/>
        <v>0</v>
      </c>
      <c r="CI245" s="45">
        <v>0</v>
      </c>
      <c r="CJ245" s="46">
        <v>0</v>
      </c>
      <c r="CK245" s="39">
        <f t="shared" si="225"/>
        <v>0</v>
      </c>
      <c r="CL245" s="92">
        <f t="shared" si="226"/>
        <v>0</v>
      </c>
      <c r="CN245" s="17"/>
      <c r="CO245" s="45">
        <v>0</v>
      </c>
      <c r="CP245" s="46">
        <v>0</v>
      </c>
      <c r="CQ245" s="39">
        <f t="shared" si="227"/>
        <v>0</v>
      </c>
      <c r="CR245" s="92">
        <f t="shared" si="228"/>
        <v>0</v>
      </c>
      <c r="CS245" s="91"/>
      <c r="CT245" s="17"/>
      <c r="CU245" s="45">
        <v>0</v>
      </c>
      <c r="CV245" s="46">
        <v>0</v>
      </c>
      <c r="CW245" s="39">
        <f t="shared" si="229"/>
        <v>0</v>
      </c>
      <c r="CX245" s="45">
        <v>0</v>
      </c>
      <c r="CY245" s="46">
        <v>0</v>
      </c>
      <c r="CZ245" s="39">
        <f t="shared" si="235"/>
        <v>0</v>
      </c>
      <c r="DA245" s="168">
        <f t="shared" si="215"/>
        <v>0</v>
      </c>
      <c r="DB245" s="168">
        <f t="shared" si="216"/>
        <v>0</v>
      </c>
      <c r="DC245" s="168">
        <f t="shared" si="217"/>
        <v>0</v>
      </c>
      <c r="DD245" s="91"/>
      <c r="DE245" s="91"/>
      <c r="DF245" s="45">
        <v>0</v>
      </c>
      <c r="DG245" s="46">
        <v>0</v>
      </c>
      <c r="DH245" s="39">
        <f t="shared" si="237"/>
        <v>0</v>
      </c>
      <c r="DI245" s="168">
        <f t="shared" si="174"/>
        <v>0</v>
      </c>
      <c r="DJ245" s="168">
        <f t="shared" si="236"/>
        <v>0</v>
      </c>
      <c r="DK245" s="168"/>
      <c r="DL245" s="168"/>
      <c r="DM245" s="168"/>
      <c r="DN245" s="92">
        <f t="shared" si="213"/>
        <v>0</v>
      </c>
      <c r="DO245" s="151">
        <v>0</v>
      </c>
      <c r="DP245" s="151">
        <v>0</v>
      </c>
      <c r="DQ245" s="151">
        <v>0</v>
      </c>
      <c r="DR245" s="151">
        <v>0</v>
      </c>
      <c r="DS245" s="151">
        <v>0</v>
      </c>
      <c r="DT245" s="151">
        <v>0</v>
      </c>
      <c r="DU245" s="151">
        <v>0</v>
      </c>
      <c r="DV245" s="151">
        <v>0</v>
      </c>
      <c r="DW245" s="151">
        <v>0</v>
      </c>
      <c r="DX245" s="151">
        <v>0</v>
      </c>
      <c r="DY245" s="151">
        <v>0</v>
      </c>
      <c r="DZ245" s="151">
        <v>0</v>
      </c>
    </row>
    <row r="246" spans="1:131" s="50" customFormat="1" ht="16.25" hidden="1" customHeight="1" x14ac:dyDescent="0.35">
      <c r="A246" s="36" t="s">
        <v>657</v>
      </c>
      <c r="B246" s="36" t="s">
        <v>660</v>
      </c>
      <c r="C246" s="36" t="s">
        <v>671</v>
      </c>
      <c r="D246" s="36" t="s">
        <v>193</v>
      </c>
      <c r="E246" s="38" t="s">
        <v>997</v>
      </c>
      <c r="F246" s="38" t="s">
        <v>100</v>
      </c>
      <c r="G246" s="32" t="s">
        <v>263</v>
      </c>
      <c r="H246" s="32"/>
      <c r="I246" s="38"/>
      <c r="J246" s="38"/>
      <c r="K246" s="36"/>
      <c r="L246" s="36"/>
      <c r="M246" s="36"/>
      <c r="N246" s="36"/>
      <c r="O246" s="38"/>
      <c r="P246" s="36" t="s">
        <v>361</v>
      </c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6"/>
      <c r="AD246" s="37"/>
      <c r="AE246" s="46"/>
      <c r="AF246" s="37"/>
      <c r="AG246" s="37"/>
      <c r="AH246" s="34"/>
      <c r="AI246" s="45"/>
      <c r="AJ246" s="37"/>
      <c r="AK246" s="46"/>
      <c r="AL246" s="47"/>
      <c r="AM246" s="47"/>
      <c r="AN246" s="37"/>
      <c r="AO246" s="37"/>
      <c r="AP246" s="37"/>
      <c r="AQ246" s="37"/>
      <c r="AR246" s="37"/>
      <c r="AS246" s="46"/>
      <c r="AT246" s="47"/>
      <c r="AU246" s="48"/>
      <c r="AV246" s="49"/>
      <c r="AW246" s="48"/>
      <c r="AX246" s="34"/>
      <c r="AY246" s="37"/>
      <c r="AZ246" s="46">
        <v>0</v>
      </c>
      <c r="BA246" s="47"/>
      <c r="BB246" s="39"/>
      <c r="BD246" s="34"/>
      <c r="BE246" s="37"/>
      <c r="BF246" s="46"/>
      <c r="BG246" s="47"/>
      <c r="BH246" s="47"/>
      <c r="BI246" s="39"/>
      <c r="BJ246" s="39"/>
      <c r="BL246" s="34"/>
      <c r="BM246" s="37">
        <v>5000</v>
      </c>
      <c r="BN246" s="101">
        <v>1</v>
      </c>
      <c r="BO246" s="37">
        <f t="shared" si="218"/>
        <v>5000</v>
      </c>
      <c r="BP246" s="47"/>
      <c r="BQ246" s="92">
        <f t="shared" si="219"/>
        <v>5000</v>
      </c>
      <c r="BR246" s="59"/>
      <c r="BT246" s="34"/>
      <c r="BU246" s="37">
        <v>5000</v>
      </c>
      <c r="BV246" s="101">
        <v>1</v>
      </c>
      <c r="BW246" s="39">
        <f t="shared" si="220"/>
        <v>5000</v>
      </c>
      <c r="BX246" s="118">
        <f t="shared" si="221"/>
        <v>0</v>
      </c>
      <c r="BZ246" s="34"/>
      <c r="CA246" s="37">
        <v>5000</v>
      </c>
      <c r="CB246" s="101">
        <v>1</v>
      </c>
      <c r="CC246" s="39">
        <f t="shared" si="222"/>
        <v>5000</v>
      </c>
      <c r="CD246" s="100">
        <v>5000</v>
      </c>
      <c r="CE246" s="92">
        <f t="shared" si="223"/>
        <v>0</v>
      </c>
      <c r="CF246" s="92">
        <f t="shared" si="224"/>
        <v>0</v>
      </c>
      <c r="CH246" s="34"/>
      <c r="CI246" s="37">
        <v>5000</v>
      </c>
      <c r="CJ246" s="101">
        <v>1</v>
      </c>
      <c r="CK246" s="39">
        <f t="shared" si="225"/>
        <v>5000</v>
      </c>
      <c r="CL246" s="118">
        <f t="shared" si="226"/>
        <v>0</v>
      </c>
      <c r="CM246" s="34"/>
      <c r="CN246" s="17"/>
      <c r="CO246" s="37">
        <v>5000</v>
      </c>
      <c r="CP246" s="101">
        <v>1</v>
      </c>
      <c r="CQ246" s="39">
        <f t="shared" si="227"/>
        <v>5000</v>
      </c>
      <c r="CR246" s="92">
        <f t="shared" si="228"/>
        <v>0</v>
      </c>
      <c r="CS246" s="91"/>
      <c r="CT246" s="17"/>
      <c r="CU246" s="37">
        <v>5000</v>
      </c>
      <c r="CV246" s="101">
        <v>1</v>
      </c>
      <c r="CW246" s="39">
        <f t="shared" si="229"/>
        <v>5000</v>
      </c>
      <c r="CX246" s="37">
        <v>5000</v>
      </c>
      <c r="CY246" s="101">
        <v>1</v>
      </c>
      <c r="CZ246" s="39">
        <f t="shared" si="235"/>
        <v>5000</v>
      </c>
      <c r="DA246" s="92">
        <f>CW246-CQ246</f>
        <v>0</v>
      </c>
      <c r="DB246" s="92"/>
      <c r="DC246" s="92"/>
      <c r="DD246" s="91"/>
      <c r="DE246" s="91"/>
      <c r="DF246" s="37">
        <v>2500</v>
      </c>
      <c r="DG246" s="101">
        <v>1</v>
      </c>
      <c r="DH246" s="39">
        <f t="shared" si="237"/>
        <v>2500</v>
      </c>
      <c r="DI246" s="168">
        <f t="shared" si="174"/>
        <v>-2500</v>
      </c>
      <c r="DJ246" s="168">
        <f t="shared" si="236"/>
        <v>-2500</v>
      </c>
      <c r="DK246" s="91"/>
      <c r="DL246" s="91"/>
      <c r="DM246" s="91"/>
      <c r="DN246" s="92">
        <f t="shared" si="213"/>
        <v>0</v>
      </c>
    </row>
    <row r="247" spans="1:131" s="50" customFormat="1" ht="16.25" hidden="1" customHeight="1" x14ac:dyDescent="0.35">
      <c r="A247" s="36" t="s">
        <v>657</v>
      </c>
      <c r="B247" s="36" t="s">
        <v>660</v>
      </c>
      <c r="C247" s="36" t="s">
        <v>27</v>
      </c>
      <c r="D247" s="16" t="s">
        <v>193</v>
      </c>
      <c r="E247" s="33" t="s">
        <v>970</v>
      </c>
      <c r="F247" s="38" t="s">
        <v>114</v>
      </c>
      <c r="G247" s="32" t="s">
        <v>263</v>
      </c>
      <c r="H247" s="32"/>
      <c r="I247" s="36"/>
      <c r="J247" s="38"/>
      <c r="K247" s="38"/>
      <c r="L247" s="38"/>
      <c r="M247" s="68" t="s">
        <v>971</v>
      </c>
      <c r="N247" s="36"/>
      <c r="O247" s="33" t="s">
        <v>972</v>
      </c>
      <c r="P247" s="36" t="s">
        <v>193</v>
      </c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6"/>
      <c r="AD247" s="39">
        <v>40000</v>
      </c>
      <c r="AE247" s="39"/>
      <c r="AF247" s="37"/>
      <c r="AG247" s="37"/>
      <c r="AH247" s="34"/>
      <c r="AI247" s="45"/>
      <c r="AJ247" s="37">
        <v>0</v>
      </c>
      <c r="AK247" s="46">
        <v>0</v>
      </c>
      <c r="AL247" s="47">
        <f>AJ247*AK247</f>
        <v>0</v>
      </c>
      <c r="AM247" s="47"/>
      <c r="AN247" s="45"/>
      <c r="AO247" s="45"/>
      <c r="AP247" s="45"/>
      <c r="AQ247" s="45"/>
      <c r="AR247" s="39">
        <v>0</v>
      </c>
      <c r="AS247" s="40">
        <v>0</v>
      </c>
      <c r="AT247" s="39">
        <f>AR247*AS247</f>
        <v>0</v>
      </c>
      <c r="AU247" s="48"/>
      <c r="AV247" s="49">
        <f>AU247*AS247</f>
        <v>0</v>
      </c>
      <c r="AW247" s="48"/>
      <c r="AY247" s="39">
        <v>0</v>
      </c>
      <c r="AZ247" s="46">
        <v>0</v>
      </c>
      <c r="BA247" s="39">
        <f>AY247*AZ247</f>
        <v>0</v>
      </c>
      <c r="BB247" s="39"/>
      <c r="BE247" s="39">
        <v>0</v>
      </c>
      <c r="BF247" s="40">
        <v>0</v>
      </c>
      <c r="BG247" s="39">
        <f>BE247*BF247</f>
        <v>0</v>
      </c>
      <c r="BH247" s="39"/>
      <c r="BI247" s="39">
        <f>BG247-BA247</f>
        <v>0</v>
      </c>
      <c r="BJ247" s="39"/>
      <c r="BM247" s="39">
        <v>0</v>
      </c>
      <c r="BN247" s="40">
        <v>1</v>
      </c>
      <c r="BO247" s="39">
        <f t="shared" si="218"/>
        <v>0</v>
      </c>
      <c r="BP247" s="39"/>
      <c r="BQ247" s="92">
        <f t="shared" si="219"/>
        <v>0</v>
      </c>
      <c r="BR247" s="59"/>
      <c r="BU247" s="39">
        <v>0</v>
      </c>
      <c r="BV247" s="40">
        <v>1</v>
      </c>
      <c r="BW247" s="39">
        <f t="shared" si="220"/>
        <v>0</v>
      </c>
      <c r="BX247" s="118">
        <f t="shared" si="221"/>
        <v>0</v>
      </c>
      <c r="BY247" s="34"/>
      <c r="CA247" s="39">
        <v>0</v>
      </c>
      <c r="CB247" s="40">
        <v>1</v>
      </c>
      <c r="CC247" s="39">
        <f t="shared" si="222"/>
        <v>0</v>
      </c>
      <c r="CD247" s="100">
        <v>0</v>
      </c>
      <c r="CE247" s="92">
        <f t="shared" si="223"/>
        <v>0</v>
      </c>
      <c r="CF247" s="92">
        <f t="shared" si="224"/>
        <v>0</v>
      </c>
      <c r="CI247" s="39">
        <v>0</v>
      </c>
      <c r="CJ247" s="40">
        <v>1</v>
      </c>
      <c r="CK247" s="39">
        <f t="shared" si="225"/>
        <v>0</v>
      </c>
      <c r="CL247" s="92">
        <f t="shared" si="226"/>
        <v>0</v>
      </c>
      <c r="CN247" s="17"/>
      <c r="CO247" s="39">
        <v>0</v>
      </c>
      <c r="CP247" s="40">
        <v>1</v>
      </c>
      <c r="CQ247" s="39">
        <f t="shared" si="227"/>
        <v>0</v>
      </c>
      <c r="CR247" s="92">
        <f t="shared" si="228"/>
        <v>0</v>
      </c>
      <c r="CS247" s="91"/>
      <c r="CT247" s="17"/>
      <c r="CU247" s="39">
        <v>0</v>
      </c>
      <c r="CV247" s="40">
        <v>1</v>
      </c>
      <c r="CW247" s="39">
        <f t="shared" si="229"/>
        <v>0</v>
      </c>
      <c r="CX247" s="39">
        <v>0</v>
      </c>
      <c r="CY247" s="40">
        <v>1</v>
      </c>
      <c r="CZ247" s="39">
        <f t="shared" si="235"/>
        <v>0</v>
      </c>
      <c r="DA247" s="92">
        <f>CW247-CQ247</f>
        <v>0</v>
      </c>
      <c r="DB247" s="92"/>
      <c r="DC247" s="92"/>
      <c r="DD247" s="91"/>
      <c r="DE247" s="91"/>
      <c r="DF247" s="39">
        <v>0</v>
      </c>
      <c r="DG247" s="40">
        <v>1</v>
      </c>
      <c r="DH247" s="39">
        <f t="shared" si="237"/>
        <v>0</v>
      </c>
      <c r="DI247" s="168">
        <f t="shared" si="174"/>
        <v>0</v>
      </c>
      <c r="DJ247" s="168">
        <f t="shared" si="236"/>
        <v>0</v>
      </c>
      <c r="DK247" s="91"/>
      <c r="DL247" s="91"/>
      <c r="DM247" s="91"/>
      <c r="DN247" s="92">
        <f t="shared" si="213"/>
        <v>0</v>
      </c>
    </row>
    <row r="248" spans="1:131" s="50" customFormat="1" ht="16.25" hidden="1" customHeight="1" x14ac:dyDescent="0.35">
      <c r="A248" s="36" t="s">
        <v>657</v>
      </c>
      <c r="B248" s="36" t="s">
        <v>660</v>
      </c>
      <c r="C248" s="36" t="s">
        <v>20</v>
      </c>
      <c r="D248" s="36" t="s">
        <v>193</v>
      </c>
      <c r="E248" s="38" t="s">
        <v>973</v>
      </c>
      <c r="F248" s="38" t="s">
        <v>114</v>
      </c>
      <c r="G248" s="32" t="s">
        <v>263</v>
      </c>
      <c r="H248" s="32"/>
      <c r="I248" s="36"/>
      <c r="J248" s="43" t="s">
        <v>974</v>
      </c>
      <c r="K248" s="36"/>
      <c r="L248" s="36"/>
      <c r="M248" s="36"/>
      <c r="N248" s="36"/>
      <c r="O248" s="33" t="s">
        <v>975</v>
      </c>
      <c r="P248" s="36" t="s">
        <v>193</v>
      </c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6"/>
      <c r="AD248" s="39">
        <v>11000</v>
      </c>
      <c r="AE248" s="37"/>
      <c r="AF248" s="37"/>
      <c r="AG248" s="37"/>
      <c r="AH248" s="34"/>
      <c r="AI248" s="45"/>
      <c r="AJ248" s="37">
        <v>0</v>
      </c>
      <c r="AK248" s="46">
        <v>0</v>
      </c>
      <c r="AL248" s="47">
        <f>AJ248*AK248</f>
        <v>0</v>
      </c>
      <c r="AM248" s="47"/>
      <c r="AN248" s="39" t="e">
        <f>VLOOKUP(D248,'May FF'!B$2:E$201,2,0)</f>
        <v>#N/A</v>
      </c>
      <c r="AO248" s="45"/>
      <c r="AP248" s="45"/>
      <c r="AQ248" s="45"/>
      <c r="AR248" s="45">
        <v>0</v>
      </c>
      <c r="AS248" s="46">
        <v>0</v>
      </c>
      <c r="AT248" s="37">
        <f>AR248*AS248</f>
        <v>0</v>
      </c>
      <c r="AU248" s="48"/>
      <c r="AV248" s="49">
        <f>AU248*AS248</f>
        <v>0</v>
      </c>
      <c r="AW248" s="48" t="s">
        <v>976</v>
      </c>
      <c r="AY248" s="45">
        <v>0</v>
      </c>
      <c r="AZ248" s="46">
        <v>0</v>
      </c>
      <c r="BA248" s="37">
        <f>AY248*AZ248</f>
        <v>0</v>
      </c>
      <c r="BB248" s="37"/>
      <c r="BE248" s="45">
        <v>0</v>
      </c>
      <c r="BF248" s="46">
        <v>0</v>
      </c>
      <c r="BG248" s="37">
        <f>BE248*BF248</f>
        <v>0</v>
      </c>
      <c r="BH248" s="37"/>
      <c r="BI248" s="39">
        <f>BG248-BA248</f>
        <v>0</v>
      </c>
      <c r="BJ248" s="39"/>
      <c r="BM248" s="45">
        <v>0</v>
      </c>
      <c r="BN248" s="101">
        <v>1</v>
      </c>
      <c r="BO248" s="37">
        <f t="shared" si="218"/>
        <v>0</v>
      </c>
      <c r="BP248" s="37"/>
      <c r="BQ248" s="92">
        <f t="shared" si="219"/>
        <v>0</v>
      </c>
      <c r="BR248" s="59"/>
      <c r="BU248" s="45">
        <v>0</v>
      </c>
      <c r="BV248" s="101">
        <v>1</v>
      </c>
      <c r="BW248" s="39">
        <f t="shared" si="220"/>
        <v>0</v>
      </c>
      <c r="BX248" s="118">
        <f t="shared" si="221"/>
        <v>0</v>
      </c>
      <c r="CA248" s="45">
        <v>0</v>
      </c>
      <c r="CB248" s="101">
        <v>1</v>
      </c>
      <c r="CC248" s="39">
        <f t="shared" si="222"/>
        <v>0</v>
      </c>
      <c r="CD248" s="100">
        <v>0</v>
      </c>
      <c r="CE248" s="92">
        <f t="shared" si="223"/>
        <v>0</v>
      </c>
      <c r="CF248" s="92">
        <f t="shared" si="224"/>
        <v>0</v>
      </c>
      <c r="CI248" s="45">
        <v>0</v>
      </c>
      <c r="CJ248" s="101">
        <v>1</v>
      </c>
      <c r="CK248" s="39">
        <f t="shared" si="225"/>
        <v>0</v>
      </c>
      <c r="CL248" s="92">
        <f t="shared" si="226"/>
        <v>0</v>
      </c>
      <c r="CN248" s="17"/>
      <c r="CO248" s="45">
        <v>0</v>
      </c>
      <c r="CP248" s="101">
        <v>1</v>
      </c>
      <c r="CQ248" s="39">
        <f t="shared" si="227"/>
        <v>0</v>
      </c>
      <c r="CR248" s="92">
        <f t="shared" si="228"/>
        <v>0</v>
      </c>
      <c r="CS248" s="91"/>
      <c r="CT248" s="17"/>
      <c r="CU248" s="45">
        <v>0</v>
      </c>
      <c r="CV248" s="101">
        <v>1</v>
      </c>
      <c r="CW248" s="39">
        <f t="shared" si="229"/>
        <v>0</v>
      </c>
      <c r="CX248" s="45">
        <v>0</v>
      </c>
      <c r="CY248" s="101">
        <v>1</v>
      </c>
      <c r="CZ248" s="39">
        <f t="shared" si="235"/>
        <v>0</v>
      </c>
      <c r="DA248" s="92">
        <f>CW248-CQ248</f>
        <v>0</v>
      </c>
      <c r="DB248" s="92"/>
      <c r="DC248" s="92"/>
      <c r="DD248" s="91"/>
      <c r="DE248" s="91"/>
      <c r="DF248" s="45">
        <v>0</v>
      </c>
      <c r="DG248" s="101">
        <v>1</v>
      </c>
      <c r="DH248" s="39">
        <f t="shared" si="237"/>
        <v>0</v>
      </c>
      <c r="DI248" s="168">
        <f t="shared" si="174"/>
        <v>0</v>
      </c>
      <c r="DJ248" s="168">
        <f t="shared" si="236"/>
        <v>0</v>
      </c>
      <c r="DK248" s="91"/>
      <c r="DL248" s="91"/>
      <c r="DM248" s="91"/>
      <c r="DN248" s="92">
        <f t="shared" si="213"/>
        <v>0</v>
      </c>
    </row>
    <row r="249" spans="1:131" s="50" customFormat="1" ht="16.25" hidden="1" customHeight="1" x14ac:dyDescent="0.35">
      <c r="A249" s="36" t="s">
        <v>657</v>
      </c>
      <c r="B249" s="36" t="s">
        <v>660</v>
      </c>
      <c r="C249" s="36" t="s">
        <v>671</v>
      </c>
      <c r="D249" s="36" t="s">
        <v>193</v>
      </c>
      <c r="E249" s="38" t="s">
        <v>977</v>
      </c>
      <c r="F249" s="38" t="s">
        <v>100</v>
      </c>
      <c r="G249" s="32" t="s">
        <v>263</v>
      </c>
      <c r="H249" s="32"/>
      <c r="I249" s="36"/>
      <c r="J249" s="43"/>
      <c r="K249" s="36"/>
      <c r="L249" s="36"/>
      <c r="M249" s="36"/>
      <c r="N249" s="36"/>
      <c r="O249" s="33"/>
      <c r="P249" s="36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6"/>
      <c r="AD249" s="39"/>
      <c r="AE249" s="37"/>
      <c r="AF249" s="37"/>
      <c r="AG249" s="37"/>
      <c r="AH249" s="34"/>
      <c r="AI249" s="45"/>
      <c r="AJ249" s="37"/>
      <c r="AK249" s="46"/>
      <c r="AL249" s="47"/>
      <c r="AM249" s="47"/>
      <c r="AN249" s="39"/>
      <c r="AO249" s="45"/>
      <c r="AP249" s="45"/>
      <c r="AQ249" s="45"/>
      <c r="AR249" s="45"/>
      <c r="AS249" s="46"/>
      <c r="AT249" s="37"/>
      <c r="AU249" s="48"/>
      <c r="AV249" s="49"/>
      <c r="AW249" s="48"/>
      <c r="AY249" s="45"/>
      <c r="AZ249" s="46"/>
      <c r="BA249" s="37"/>
      <c r="BB249" s="37"/>
      <c r="BE249" s="45"/>
      <c r="BF249" s="46"/>
      <c r="BG249" s="37"/>
      <c r="BH249" s="37"/>
      <c r="BI249" s="39"/>
      <c r="BJ249" s="39"/>
      <c r="BM249" s="45"/>
      <c r="BN249" s="101"/>
      <c r="BO249" s="37"/>
      <c r="BP249" s="37"/>
      <c r="BQ249" s="92"/>
      <c r="BR249" s="59"/>
      <c r="BU249" s="45"/>
      <c r="BV249" s="101"/>
      <c r="BW249" s="39"/>
      <c r="BX249" s="118"/>
      <c r="CA249" s="45"/>
      <c r="CB249" s="101"/>
      <c r="CC249" s="39"/>
      <c r="CD249" s="100"/>
      <c r="CE249" s="92"/>
      <c r="CF249" s="92"/>
      <c r="CI249" s="45"/>
      <c r="CJ249" s="101"/>
      <c r="CK249" s="39"/>
      <c r="CL249" s="92"/>
      <c r="CN249" s="17"/>
      <c r="CO249" s="45">
        <v>1000</v>
      </c>
      <c r="CP249" s="101">
        <v>1</v>
      </c>
      <c r="CQ249" s="39">
        <f t="shared" si="227"/>
        <v>1000</v>
      </c>
      <c r="CR249" s="92">
        <f t="shared" si="228"/>
        <v>1000</v>
      </c>
      <c r="CS249" s="91"/>
      <c r="CT249" s="17"/>
      <c r="CU249" s="39">
        <v>0</v>
      </c>
      <c r="CV249" s="40">
        <v>1</v>
      </c>
      <c r="CW249" s="39">
        <f t="shared" si="229"/>
        <v>0</v>
      </c>
      <c r="CX249" s="75">
        <v>800</v>
      </c>
      <c r="CY249" s="145">
        <v>1</v>
      </c>
      <c r="CZ249" s="75">
        <f t="shared" si="235"/>
        <v>800</v>
      </c>
      <c r="DA249" s="92">
        <f>CW249-CQ249</f>
        <v>-1000</v>
      </c>
      <c r="DB249" s="92"/>
      <c r="DC249" s="92"/>
      <c r="DD249" s="91"/>
      <c r="DE249" s="91"/>
      <c r="DF249" s="39">
        <v>0</v>
      </c>
      <c r="DG249" s="40">
        <v>1</v>
      </c>
      <c r="DH249" s="39">
        <f t="shared" si="237"/>
        <v>0</v>
      </c>
      <c r="DI249" s="168">
        <f t="shared" si="174"/>
        <v>-800</v>
      </c>
      <c r="DJ249" s="168">
        <f t="shared" si="236"/>
        <v>0</v>
      </c>
      <c r="DK249" s="91"/>
      <c r="DL249" s="91"/>
      <c r="DM249" s="91"/>
      <c r="DN249" s="92"/>
    </row>
    <row r="250" spans="1:131" s="50" customFormat="1" ht="16.25" hidden="1" customHeight="1" x14ac:dyDescent="0.35">
      <c r="A250" s="36" t="s">
        <v>657</v>
      </c>
      <c r="B250" s="36" t="s">
        <v>660</v>
      </c>
      <c r="C250" s="36" t="s">
        <v>20</v>
      </c>
      <c r="D250" s="32" t="s">
        <v>193</v>
      </c>
      <c r="E250" s="38" t="s">
        <v>978</v>
      </c>
      <c r="F250" s="87" t="s">
        <v>110</v>
      </c>
      <c r="G250" s="32" t="s">
        <v>101</v>
      </c>
      <c r="H250" s="32"/>
      <c r="I250" s="36"/>
      <c r="J250" s="43"/>
      <c r="K250" s="36"/>
      <c r="L250" s="36"/>
      <c r="M250" s="36"/>
      <c r="N250" s="36"/>
      <c r="O250" s="33"/>
      <c r="P250" s="36" t="s">
        <v>193</v>
      </c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6"/>
      <c r="AD250" s="39"/>
      <c r="AE250" s="37"/>
      <c r="AF250" s="37"/>
      <c r="AG250" s="37"/>
      <c r="AH250" s="34"/>
      <c r="AI250" s="45"/>
      <c r="AJ250" s="37"/>
      <c r="AK250" s="46"/>
      <c r="AL250" s="47"/>
      <c r="AM250" s="47"/>
      <c r="AN250" s="39"/>
      <c r="AO250" s="45"/>
      <c r="AP250" s="45"/>
      <c r="AQ250" s="45"/>
      <c r="AR250" s="45"/>
      <c r="AS250" s="46"/>
      <c r="AT250" s="37"/>
      <c r="AU250" s="48"/>
      <c r="AV250" s="49"/>
      <c r="AW250" s="48"/>
      <c r="AY250" s="45"/>
      <c r="AZ250" s="46"/>
      <c r="BA250" s="37"/>
      <c r="BB250" s="37"/>
      <c r="BE250" s="45"/>
      <c r="BF250" s="46"/>
      <c r="BG250" s="37"/>
      <c r="BH250" s="37"/>
      <c r="BI250" s="39"/>
      <c r="BJ250" s="39"/>
      <c r="BM250" s="45"/>
      <c r="BN250" s="101"/>
      <c r="BO250" s="37"/>
      <c r="BP250" s="37"/>
      <c r="BQ250" s="92"/>
      <c r="BR250" s="59"/>
      <c r="BU250" s="45"/>
      <c r="BV250" s="101"/>
      <c r="BW250" s="39"/>
      <c r="BX250" s="118"/>
      <c r="CA250" s="45"/>
      <c r="CB250" s="101"/>
      <c r="CC250" s="39"/>
      <c r="CD250" s="100"/>
      <c r="CE250" s="92"/>
      <c r="CF250" s="92"/>
      <c r="CI250" s="45"/>
      <c r="CJ250" s="101"/>
      <c r="CK250" s="39"/>
      <c r="CL250" s="92"/>
      <c r="CN250" s="17"/>
      <c r="CO250" s="39">
        <v>2250</v>
      </c>
      <c r="CP250" s="40">
        <v>0.9</v>
      </c>
      <c r="CQ250" s="39">
        <f t="shared" si="227"/>
        <v>2025</v>
      </c>
      <c r="CR250" s="92">
        <f t="shared" si="228"/>
        <v>2025</v>
      </c>
      <c r="CS250" s="91"/>
      <c r="CT250" s="17"/>
      <c r="CU250" s="39">
        <v>0</v>
      </c>
      <c r="CV250" s="40">
        <v>0</v>
      </c>
      <c r="CW250" s="39">
        <f t="shared" si="229"/>
        <v>0</v>
      </c>
      <c r="CX250" s="39">
        <v>0</v>
      </c>
      <c r="CY250" s="40">
        <v>0</v>
      </c>
      <c r="CZ250" s="39">
        <f t="shared" si="235"/>
        <v>0</v>
      </c>
      <c r="DA250" s="168">
        <f>CZ250-CQ250</f>
        <v>-2025</v>
      </c>
      <c r="DB250" s="168">
        <f>CZ250-CW250</f>
        <v>0</v>
      </c>
      <c r="DC250" s="168">
        <f>CZ250-CK250</f>
        <v>0</v>
      </c>
      <c r="DD250" s="91"/>
      <c r="DE250" s="91"/>
      <c r="DF250" s="39">
        <v>0</v>
      </c>
      <c r="DG250" s="40">
        <v>0</v>
      </c>
      <c r="DH250" s="39">
        <f t="shared" si="237"/>
        <v>0</v>
      </c>
      <c r="DI250" s="168">
        <f t="shared" si="174"/>
        <v>0</v>
      </c>
      <c r="DJ250" s="168">
        <f t="shared" si="236"/>
        <v>0</v>
      </c>
      <c r="DK250" s="168"/>
      <c r="DL250" s="168"/>
      <c r="DM250" s="168"/>
      <c r="DN250" s="92">
        <f t="shared" ref="DN250:DN283" si="238">SUM(DO250:DZ250)</f>
        <v>0</v>
      </c>
      <c r="DO250" s="151">
        <v>0</v>
      </c>
      <c r="DP250" s="151">
        <v>0</v>
      </c>
      <c r="DQ250" s="151">
        <v>0</v>
      </c>
      <c r="DR250" s="151">
        <v>0</v>
      </c>
      <c r="DS250" s="151">
        <v>0</v>
      </c>
      <c r="DT250" s="151">
        <v>0</v>
      </c>
      <c r="DU250" s="151">
        <v>0</v>
      </c>
      <c r="DV250" s="151">
        <v>0</v>
      </c>
      <c r="DW250" s="151">
        <v>0</v>
      </c>
      <c r="DX250" s="151">
        <v>0</v>
      </c>
      <c r="DY250" s="151">
        <v>0</v>
      </c>
      <c r="DZ250" s="151">
        <v>0</v>
      </c>
    </row>
    <row r="251" spans="1:131" s="50" customFormat="1" ht="16.25" hidden="1" customHeight="1" x14ac:dyDescent="0.35">
      <c r="A251" s="36" t="s">
        <v>657</v>
      </c>
      <c r="B251" s="36" t="s">
        <v>660</v>
      </c>
      <c r="C251" s="36" t="s">
        <v>20</v>
      </c>
      <c r="D251" s="32" t="s">
        <v>193</v>
      </c>
      <c r="E251" s="38" t="s">
        <v>978</v>
      </c>
      <c r="F251" s="87" t="s">
        <v>110</v>
      </c>
      <c r="G251" s="36" t="s">
        <v>263</v>
      </c>
      <c r="H251" s="36"/>
      <c r="I251" s="36"/>
      <c r="J251" s="38"/>
      <c r="K251" s="38"/>
      <c r="L251" s="38"/>
      <c r="M251" s="68"/>
      <c r="N251" s="36" t="s">
        <v>266</v>
      </c>
      <c r="O251" s="33" t="s">
        <v>979</v>
      </c>
      <c r="P251" s="36" t="s">
        <v>361</v>
      </c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36"/>
      <c r="AD251" s="39">
        <v>4000</v>
      </c>
      <c r="AE251" s="39"/>
      <c r="AF251" s="37"/>
      <c r="AG251" s="37"/>
      <c r="AH251" s="34"/>
      <c r="AI251" s="45"/>
      <c r="AJ251" s="37"/>
      <c r="AK251" s="46"/>
      <c r="AL251" s="47"/>
      <c r="AM251" s="47"/>
      <c r="AN251" s="39" t="e">
        <f>VLOOKUP(D251,'May FF'!B$2:E$201,2,0)</f>
        <v>#N/A</v>
      </c>
      <c r="AO251" s="45"/>
      <c r="AP251" s="45"/>
      <c r="AQ251" s="45"/>
      <c r="AR251" s="39"/>
      <c r="AS251" s="40"/>
      <c r="AT251" s="39"/>
      <c r="AU251" s="48"/>
      <c r="AV251" s="49"/>
      <c r="AW251" s="48"/>
      <c r="AX251" s="34"/>
      <c r="AY251" s="45">
        <v>0</v>
      </c>
      <c r="AZ251" s="46">
        <v>0</v>
      </c>
      <c r="BA251" s="37">
        <f>AY251*AZ251</f>
        <v>0</v>
      </c>
      <c r="BB251" s="39"/>
      <c r="BD251" s="34"/>
      <c r="BE251" s="82">
        <v>4000</v>
      </c>
      <c r="BF251" s="85">
        <v>0.5</v>
      </c>
      <c r="BG251" s="82">
        <f>BE251*BF251</f>
        <v>2000</v>
      </c>
      <c r="BH251" s="82"/>
      <c r="BI251" s="39">
        <f>BG251-BA251</f>
        <v>2000</v>
      </c>
      <c r="BJ251" s="39" t="s">
        <v>650</v>
      </c>
      <c r="BL251" s="34"/>
      <c r="BM251" s="82">
        <v>3500</v>
      </c>
      <c r="BN251" s="101">
        <v>1</v>
      </c>
      <c r="BO251" s="82">
        <f>BM251*BN251</f>
        <v>3500</v>
      </c>
      <c r="BP251" s="82"/>
      <c r="BQ251" s="92">
        <f>BO251-BA251</f>
        <v>3500</v>
      </c>
      <c r="BR251" s="59"/>
      <c r="BT251" s="34"/>
      <c r="BU251" s="82">
        <v>3500</v>
      </c>
      <c r="BV251" s="101">
        <v>1</v>
      </c>
      <c r="BW251" s="39">
        <f>BU251*BV251</f>
        <v>3500</v>
      </c>
      <c r="BX251" s="118">
        <f>BW251-BO251</f>
        <v>0</v>
      </c>
      <c r="BZ251" s="34"/>
      <c r="CA251" s="39">
        <v>3500</v>
      </c>
      <c r="CB251" s="101">
        <v>1</v>
      </c>
      <c r="CC251" s="39">
        <f>CA251*CB251</f>
        <v>3500</v>
      </c>
      <c r="CD251" s="100">
        <v>3500</v>
      </c>
      <c r="CE251" s="92">
        <f>CC251-BW251</f>
        <v>0</v>
      </c>
      <c r="CF251" s="92">
        <f>CC251-BO251</f>
        <v>0</v>
      </c>
      <c r="CG251" s="50" t="s">
        <v>980</v>
      </c>
      <c r="CH251" s="34"/>
      <c r="CI251" s="39">
        <v>2000</v>
      </c>
      <c r="CJ251" s="40">
        <v>1</v>
      </c>
      <c r="CK251" s="39">
        <f>CI251*CJ251</f>
        <v>2000</v>
      </c>
      <c r="CL251" s="118">
        <f>CK251-CC251</f>
        <v>-1500</v>
      </c>
      <c r="CM251" s="34" t="s">
        <v>981</v>
      </c>
      <c r="CN251" s="17"/>
      <c r="CO251" s="39">
        <v>0</v>
      </c>
      <c r="CP251" s="40">
        <v>1</v>
      </c>
      <c r="CQ251" s="39">
        <f t="shared" si="227"/>
        <v>0</v>
      </c>
      <c r="CR251" s="92">
        <f t="shared" si="228"/>
        <v>-2000</v>
      </c>
      <c r="CS251" s="91" t="s">
        <v>982</v>
      </c>
      <c r="CT251" s="17"/>
      <c r="CU251" s="39">
        <v>2000</v>
      </c>
      <c r="CV251" s="40">
        <v>1</v>
      </c>
      <c r="CW251" s="39">
        <f t="shared" si="229"/>
        <v>2000</v>
      </c>
      <c r="CX251" s="39">
        <v>2000</v>
      </c>
      <c r="CY251" s="40">
        <v>1</v>
      </c>
      <c r="CZ251" s="39">
        <f t="shared" si="235"/>
        <v>2000</v>
      </c>
      <c r="DA251" s="92">
        <f>CW251-CQ251</f>
        <v>2000</v>
      </c>
      <c r="DB251" s="92"/>
      <c r="DC251" s="92"/>
      <c r="DD251" s="91"/>
      <c r="DE251" s="91"/>
      <c r="DF251" s="39">
        <v>2000</v>
      </c>
      <c r="DG251" s="40">
        <v>1</v>
      </c>
      <c r="DH251" s="39">
        <f t="shared" si="237"/>
        <v>2000</v>
      </c>
      <c r="DI251" s="168">
        <f t="shared" si="174"/>
        <v>0</v>
      </c>
      <c r="DJ251" s="168">
        <f t="shared" si="236"/>
        <v>0</v>
      </c>
      <c r="DK251" s="91"/>
      <c r="DL251" s="91"/>
      <c r="DM251" s="91"/>
      <c r="DN251" s="92">
        <f t="shared" si="238"/>
        <v>0</v>
      </c>
    </row>
    <row r="252" spans="1:131" s="50" customFormat="1" ht="15.6" customHeight="1" x14ac:dyDescent="0.35">
      <c r="A252" s="36" t="s">
        <v>19</v>
      </c>
      <c r="B252" s="36" t="s">
        <v>1035</v>
      </c>
      <c r="C252" s="36" t="s">
        <v>172</v>
      </c>
      <c r="D252" s="16" t="s">
        <v>1036</v>
      </c>
      <c r="E252" s="38" t="s">
        <v>1037</v>
      </c>
      <c r="F252" s="38" t="s">
        <v>175</v>
      </c>
      <c r="G252" s="32" t="s">
        <v>101</v>
      </c>
      <c r="H252" s="38"/>
      <c r="I252" s="38"/>
      <c r="J252" s="36" t="s">
        <v>189</v>
      </c>
      <c r="K252" s="36"/>
      <c r="L252" s="36"/>
      <c r="M252" s="46"/>
      <c r="N252" s="36"/>
      <c r="O252" s="33"/>
      <c r="P252" s="36" t="s">
        <v>189</v>
      </c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36"/>
      <c r="AD252" s="37"/>
      <c r="AE252" s="46"/>
      <c r="AF252" s="37"/>
      <c r="AG252" s="37"/>
      <c r="AH252" s="34"/>
      <c r="AI252" s="45"/>
      <c r="AJ252" s="37"/>
      <c r="AK252" s="46"/>
      <c r="AL252" s="47"/>
      <c r="AM252" s="47"/>
      <c r="AN252" s="37"/>
      <c r="AO252" s="37"/>
      <c r="AP252" s="37"/>
      <c r="AQ252" s="37"/>
      <c r="AR252" s="54"/>
      <c r="AS252" s="46"/>
      <c r="AT252" s="45"/>
      <c r="AU252" s="48"/>
      <c r="AV252" s="49"/>
      <c r="AW252" s="48"/>
      <c r="AY252" s="54"/>
      <c r="AZ252" s="46"/>
      <c r="BA252" s="45"/>
      <c r="BB252" s="39"/>
      <c r="BE252" s="54"/>
      <c r="BF252" s="46"/>
      <c r="BG252" s="45"/>
      <c r="BH252" s="45"/>
      <c r="BI252" s="39"/>
      <c r="BJ252" s="39"/>
      <c r="BM252" s="54"/>
      <c r="BN252" s="46"/>
      <c r="BO252" s="45"/>
      <c r="BP252" s="45"/>
      <c r="BQ252" s="92"/>
      <c r="BR252" s="59"/>
      <c r="BU252" s="54"/>
      <c r="BV252" s="46"/>
      <c r="BW252" s="39"/>
      <c r="BX252" s="118"/>
      <c r="CA252" s="54"/>
      <c r="CB252" s="46"/>
      <c r="CC252" s="39"/>
      <c r="CD252" s="100"/>
      <c r="CE252" s="92"/>
      <c r="CF252" s="92"/>
      <c r="CI252" s="54">
        <v>0</v>
      </c>
      <c r="CJ252" s="46">
        <v>0</v>
      </c>
      <c r="CK252" s="39">
        <v>0</v>
      </c>
      <c r="CL252" s="92"/>
      <c r="CN252" s="17"/>
      <c r="CO252" s="54">
        <v>84</v>
      </c>
      <c r="CP252" s="46">
        <v>1</v>
      </c>
      <c r="CQ252" s="39">
        <f t="shared" si="227"/>
        <v>84</v>
      </c>
      <c r="CR252" s="92">
        <f t="shared" si="228"/>
        <v>84</v>
      </c>
      <c r="CS252" s="17"/>
      <c r="CT252" s="17"/>
      <c r="CW252" s="100"/>
      <c r="CX252" s="54">
        <v>91.575999999999993</v>
      </c>
      <c r="CY252" s="46">
        <v>1</v>
      </c>
      <c r="CZ252" s="39">
        <f t="shared" si="235"/>
        <v>91.575999999999993</v>
      </c>
      <c r="DA252" s="168">
        <f t="shared" ref="DA252:DA283" si="239">CZ252-CQ252</f>
        <v>7.5759999999999934</v>
      </c>
      <c r="DB252" s="168"/>
      <c r="DC252" s="168"/>
      <c r="DD252" s="17"/>
      <c r="DE252" s="17"/>
      <c r="DF252" s="54">
        <v>91.575999999999993</v>
      </c>
      <c r="DG252" s="46">
        <v>1</v>
      </c>
      <c r="DH252" s="39">
        <f t="shared" si="237"/>
        <v>91.575999999999993</v>
      </c>
      <c r="DI252" s="168">
        <f t="shared" si="174"/>
        <v>0</v>
      </c>
      <c r="DJ252" s="168">
        <f t="shared" si="236"/>
        <v>91.575999999999993</v>
      </c>
      <c r="DK252" s="168"/>
      <c r="DL252" s="168"/>
      <c r="DM252" s="168"/>
      <c r="DN252" s="92">
        <f t="shared" si="238"/>
        <v>91.575999999999993</v>
      </c>
      <c r="DO252" s="118">
        <v>2.2749999999999999</v>
      </c>
      <c r="DP252" s="118">
        <v>5.8810000000000002</v>
      </c>
      <c r="DQ252" s="118">
        <v>7.5999999999999998E-2</v>
      </c>
      <c r="DR252" s="118">
        <v>1.61</v>
      </c>
      <c r="DS252" s="118">
        <v>0</v>
      </c>
      <c r="DT252" s="118">
        <v>81.733999999999995</v>
      </c>
      <c r="DU252" s="118">
        <v>0</v>
      </c>
      <c r="DV252" s="118">
        <v>0</v>
      </c>
      <c r="DW252" s="118">
        <v>0</v>
      </c>
      <c r="DX252" s="118">
        <v>0</v>
      </c>
      <c r="DY252" s="118">
        <v>0</v>
      </c>
      <c r="DZ252" s="118">
        <v>0</v>
      </c>
    </row>
    <row r="253" spans="1:131" s="50" customFormat="1" ht="14" customHeight="1" x14ac:dyDescent="0.35">
      <c r="A253" s="36" t="s">
        <v>19</v>
      </c>
      <c r="B253" s="36" t="s">
        <v>1035</v>
      </c>
      <c r="C253" s="36" t="s">
        <v>172</v>
      </c>
      <c r="D253" s="16" t="s">
        <v>1038</v>
      </c>
      <c r="E253" s="38" t="s">
        <v>1039</v>
      </c>
      <c r="F253" s="38" t="s">
        <v>175</v>
      </c>
      <c r="G253" s="32" t="s">
        <v>101</v>
      </c>
      <c r="H253" s="32"/>
      <c r="I253" s="38"/>
      <c r="J253" s="38"/>
      <c r="K253" s="36"/>
      <c r="L253" s="36"/>
      <c r="M253" s="36"/>
      <c r="N253" s="36"/>
      <c r="O253" s="38"/>
      <c r="P253" s="36" t="s">
        <v>189</v>
      </c>
      <c r="Q253" s="100"/>
      <c r="R253" s="100"/>
      <c r="S253" s="100">
        <f>CK253*30%</f>
        <v>202.5</v>
      </c>
      <c r="T253" s="100"/>
      <c r="U253" s="100"/>
      <c r="V253" s="100">
        <f>CK253*30%</f>
        <v>202.5</v>
      </c>
      <c r="W253" s="100"/>
      <c r="X253" s="100"/>
      <c r="Y253" s="100">
        <f>CK253*20%</f>
        <v>135</v>
      </c>
      <c r="Z253" s="100"/>
      <c r="AA253" s="100">
        <f>CK253*20%</f>
        <v>135</v>
      </c>
      <c r="AB253" s="100"/>
      <c r="AC253" s="36"/>
      <c r="AD253" s="37"/>
      <c r="AE253" s="37"/>
      <c r="AF253" s="37"/>
      <c r="AG253" s="37"/>
      <c r="AH253" s="34"/>
      <c r="AI253" s="45"/>
      <c r="AJ253" s="37">
        <v>0</v>
      </c>
      <c r="AK253" s="46">
        <v>0</v>
      </c>
      <c r="AL253" s="47">
        <f>AJ253*AK253</f>
        <v>0</v>
      </c>
      <c r="AM253" s="47"/>
      <c r="AN253" s="45"/>
      <c r="AO253" s="45"/>
      <c r="AP253" s="45"/>
      <c r="AQ253" s="45"/>
      <c r="AR253" s="54">
        <v>803</v>
      </c>
      <c r="AS253" s="46">
        <v>1</v>
      </c>
      <c r="AT253" s="45">
        <f>AR253*AS253</f>
        <v>803</v>
      </c>
      <c r="AU253" s="48"/>
      <c r="AV253" s="49">
        <f>AU253*AS253</f>
        <v>0</v>
      </c>
      <c r="AW253" s="48"/>
      <c r="AY253" s="54">
        <v>803</v>
      </c>
      <c r="AZ253" s="46">
        <v>1</v>
      </c>
      <c r="BA253" s="45">
        <f>AY253*AZ253</f>
        <v>803</v>
      </c>
      <c r="BB253" s="39">
        <f>BA253-AT253</f>
        <v>0</v>
      </c>
      <c r="BE253" s="54">
        <v>803</v>
      </c>
      <c r="BF253" s="46">
        <v>1</v>
      </c>
      <c r="BG253" s="45">
        <f>BE253*BF253</f>
        <v>803</v>
      </c>
      <c r="BH253" s="45"/>
      <c r="BI253" s="39">
        <f>BG253-BA253</f>
        <v>0</v>
      </c>
      <c r="BJ253" s="39"/>
      <c r="BM253" s="54">
        <v>803</v>
      </c>
      <c r="BN253" s="46">
        <v>1</v>
      </c>
      <c r="BO253" s="45">
        <f>BM253*BN253</f>
        <v>803</v>
      </c>
      <c r="BP253" s="45"/>
      <c r="BQ253" s="92">
        <f>BO253-BA253</f>
        <v>0</v>
      </c>
      <c r="BR253" s="59"/>
      <c r="BU253" s="54">
        <v>803</v>
      </c>
      <c r="BV253" s="46">
        <v>1</v>
      </c>
      <c r="BW253" s="39">
        <f>BU253*BV253</f>
        <v>803</v>
      </c>
      <c r="BX253" s="118">
        <f>BW253-BO253</f>
        <v>0</v>
      </c>
      <c r="CA253" s="54">
        <v>616</v>
      </c>
      <c r="CB253" s="46">
        <v>1</v>
      </c>
      <c r="CC253" s="39">
        <f t="shared" ref="CC253:CC283" si="240">CA253*CB253</f>
        <v>616</v>
      </c>
      <c r="CD253" s="100"/>
      <c r="CE253" s="92">
        <f t="shared" ref="CE253:CE279" si="241">CC253-BW253</f>
        <v>-187</v>
      </c>
      <c r="CF253" s="92">
        <f t="shared" ref="CF253:CF278" si="242">CC253-BW253</f>
        <v>-187</v>
      </c>
      <c r="CI253" s="54">
        <v>675</v>
      </c>
      <c r="CJ253" s="46">
        <v>1</v>
      </c>
      <c r="CK253" s="39">
        <f t="shared" ref="CK253:CK283" si="243">CI253*CJ253</f>
        <v>675</v>
      </c>
      <c r="CL253" s="92">
        <f t="shared" ref="CL253:CL283" si="244">CK253-CC253</f>
        <v>59</v>
      </c>
      <c r="CN253" s="17"/>
      <c r="CO253" s="54">
        <v>605</v>
      </c>
      <c r="CP253" s="46">
        <v>0.9</v>
      </c>
      <c r="CQ253" s="39">
        <f t="shared" si="227"/>
        <v>544.5</v>
      </c>
      <c r="CR253" s="92">
        <f t="shared" si="228"/>
        <v>-130.5</v>
      </c>
      <c r="CS253" s="17"/>
      <c r="CT253" s="17"/>
      <c r="CW253" s="100"/>
      <c r="CX253" s="54">
        <v>431.80200000000002</v>
      </c>
      <c r="CY253" s="46">
        <v>1</v>
      </c>
      <c r="CZ253" s="39">
        <f t="shared" si="235"/>
        <v>431.80200000000002</v>
      </c>
      <c r="DA253" s="168">
        <f t="shared" si="239"/>
        <v>-112.69799999999998</v>
      </c>
      <c r="DB253" s="168"/>
      <c r="DC253" s="168"/>
      <c r="DD253" s="17"/>
      <c r="DE253" s="17"/>
      <c r="DF253" s="54">
        <v>431.80200000000002</v>
      </c>
      <c r="DG253" s="46">
        <v>1</v>
      </c>
      <c r="DH253" s="39">
        <f t="shared" si="237"/>
        <v>431.80200000000002</v>
      </c>
      <c r="DI253" s="168">
        <f t="shared" si="174"/>
        <v>0</v>
      </c>
      <c r="DJ253" s="168">
        <f t="shared" si="236"/>
        <v>431.80200000000002</v>
      </c>
      <c r="DK253" s="168"/>
      <c r="DL253" s="168"/>
      <c r="DM253" s="168"/>
      <c r="DN253" s="92">
        <f t="shared" si="238"/>
        <v>431.80200000000002</v>
      </c>
      <c r="DO253" s="118">
        <v>0</v>
      </c>
      <c r="DP253" s="118">
        <v>10.59</v>
      </c>
      <c r="DQ253" s="118">
        <v>0</v>
      </c>
      <c r="DR253" s="118">
        <v>0.82199999999999995</v>
      </c>
      <c r="DS253" s="118">
        <v>0</v>
      </c>
      <c r="DT253" s="118">
        <v>84.733999999999995</v>
      </c>
      <c r="DU253" s="118">
        <v>335.65600000000001</v>
      </c>
      <c r="DV253" s="118">
        <v>0</v>
      </c>
      <c r="DW253" s="118">
        <v>0</v>
      </c>
      <c r="DX253" s="118">
        <v>0</v>
      </c>
      <c r="DY253" s="118">
        <v>0</v>
      </c>
      <c r="DZ253" s="118">
        <v>0</v>
      </c>
      <c r="EA253" s="50">
        <v>511</v>
      </c>
    </row>
    <row r="254" spans="1:131" s="50" customFormat="1" ht="16.25" customHeight="1" x14ac:dyDescent="0.35">
      <c r="A254" s="36" t="s">
        <v>19</v>
      </c>
      <c r="B254" s="36" t="s">
        <v>1035</v>
      </c>
      <c r="C254" s="36" t="s">
        <v>172</v>
      </c>
      <c r="D254" s="16" t="s">
        <v>1040</v>
      </c>
      <c r="E254" s="38" t="s">
        <v>212</v>
      </c>
      <c r="F254" s="38" t="s">
        <v>213</v>
      </c>
      <c r="G254" s="32" t="s">
        <v>101</v>
      </c>
      <c r="H254" s="32"/>
      <c r="I254" s="38"/>
      <c r="J254" s="38"/>
      <c r="K254" s="36"/>
      <c r="L254" s="36"/>
      <c r="M254" s="36"/>
      <c r="N254" s="36"/>
      <c r="O254" s="38"/>
      <c r="P254" s="36" t="s">
        <v>189</v>
      </c>
      <c r="Q254" s="100"/>
      <c r="R254" s="100"/>
      <c r="S254" s="100">
        <f>CK254*30%</f>
        <v>51</v>
      </c>
      <c r="T254" s="100"/>
      <c r="U254" s="100"/>
      <c r="V254" s="100">
        <f>CK254*30%</f>
        <v>51</v>
      </c>
      <c r="W254" s="100"/>
      <c r="X254" s="100"/>
      <c r="Y254" s="100">
        <f>CK254*20%</f>
        <v>34</v>
      </c>
      <c r="Z254" s="100"/>
      <c r="AA254" s="100">
        <f>CK254*20%</f>
        <v>34</v>
      </c>
      <c r="AB254" s="100"/>
      <c r="AC254" s="36"/>
      <c r="AD254" s="37"/>
      <c r="AE254" s="37"/>
      <c r="AF254" s="37"/>
      <c r="AG254" s="37"/>
      <c r="AH254" s="34"/>
      <c r="AI254" s="45"/>
      <c r="AJ254" s="37">
        <v>0</v>
      </c>
      <c r="AK254" s="46">
        <v>0</v>
      </c>
      <c r="AL254" s="47">
        <f>AJ254*AK254</f>
        <v>0</v>
      </c>
      <c r="AM254" s="47"/>
      <c r="AN254" s="37"/>
      <c r="AO254" s="37"/>
      <c r="AP254" s="37"/>
      <c r="AQ254" s="37"/>
      <c r="AR254" s="54">
        <v>134</v>
      </c>
      <c r="AS254" s="46">
        <v>1</v>
      </c>
      <c r="AT254" s="45">
        <f>AR254*AS254</f>
        <v>134</v>
      </c>
      <c r="AU254" s="48"/>
      <c r="AV254" s="49">
        <f>AU254*AS254</f>
        <v>0</v>
      </c>
      <c r="AW254" s="48"/>
      <c r="AY254" s="54">
        <v>134</v>
      </c>
      <c r="AZ254" s="46">
        <v>1</v>
      </c>
      <c r="BA254" s="45">
        <f>AY254*AZ254</f>
        <v>134</v>
      </c>
      <c r="BB254" s="39">
        <f>BA254-AT254</f>
        <v>0</v>
      </c>
      <c r="BE254" s="54">
        <v>134</v>
      </c>
      <c r="BF254" s="46">
        <v>1</v>
      </c>
      <c r="BG254" s="45">
        <f>BE254*BF254</f>
        <v>134</v>
      </c>
      <c r="BH254" s="45"/>
      <c r="BI254" s="39">
        <f>BG254-BA254</f>
        <v>0</v>
      </c>
      <c r="BJ254" s="39"/>
      <c r="BM254" s="54">
        <v>134</v>
      </c>
      <c r="BN254" s="46">
        <v>1</v>
      </c>
      <c r="BO254" s="45">
        <f>BM254*BN254</f>
        <v>134</v>
      </c>
      <c r="BP254" s="45"/>
      <c r="BQ254" s="92">
        <f>BO254-BA254</f>
        <v>0</v>
      </c>
      <c r="BR254" s="59"/>
      <c r="BU254" s="54">
        <v>89</v>
      </c>
      <c r="BV254" s="46">
        <v>1</v>
      </c>
      <c r="BW254" s="39">
        <f>BU254*BV254</f>
        <v>89</v>
      </c>
      <c r="BX254" s="118">
        <f>BW254-BO254</f>
        <v>-45</v>
      </c>
      <c r="CA254" s="54">
        <f>89-30+41+45+71-50</f>
        <v>166</v>
      </c>
      <c r="CB254" s="46">
        <v>1</v>
      </c>
      <c r="CC254" s="39">
        <f t="shared" si="240"/>
        <v>166</v>
      </c>
      <c r="CD254" s="100"/>
      <c r="CE254" s="92">
        <f t="shared" si="241"/>
        <v>77</v>
      </c>
      <c r="CF254" s="92">
        <f t="shared" si="242"/>
        <v>77</v>
      </c>
      <c r="CI254" s="54">
        <v>170</v>
      </c>
      <c r="CJ254" s="46">
        <v>1</v>
      </c>
      <c r="CK254" s="39">
        <f t="shared" si="243"/>
        <v>170</v>
      </c>
      <c r="CL254" s="92">
        <f t="shared" si="244"/>
        <v>4</v>
      </c>
      <c r="CN254" s="17"/>
      <c r="CO254" s="54">
        <v>170</v>
      </c>
      <c r="CP254" s="46">
        <v>1</v>
      </c>
      <c r="CQ254" s="39">
        <f t="shared" si="227"/>
        <v>170</v>
      </c>
      <c r="CR254" s="92">
        <f t="shared" si="228"/>
        <v>0</v>
      </c>
      <c r="CS254" s="17"/>
      <c r="CT254" s="17"/>
      <c r="CW254" s="100"/>
      <c r="CX254" s="54">
        <v>222.399</v>
      </c>
      <c r="CY254" s="46">
        <v>1</v>
      </c>
      <c r="CZ254" s="39">
        <f t="shared" si="235"/>
        <v>222.399</v>
      </c>
      <c r="DA254" s="168">
        <f t="shared" si="239"/>
        <v>52.399000000000001</v>
      </c>
      <c r="DB254" s="168"/>
      <c r="DC254" s="168"/>
      <c r="DD254" s="17"/>
      <c r="DE254" s="17"/>
      <c r="DF254" s="54">
        <v>222.399</v>
      </c>
      <c r="DG254" s="46">
        <v>1</v>
      </c>
      <c r="DH254" s="39">
        <f t="shared" si="237"/>
        <v>222.399</v>
      </c>
      <c r="DI254" s="168">
        <f t="shared" si="174"/>
        <v>0</v>
      </c>
      <c r="DJ254" s="168">
        <f t="shared" si="236"/>
        <v>222.399</v>
      </c>
      <c r="DK254" s="168"/>
      <c r="DL254" s="168"/>
      <c r="DM254" s="168"/>
      <c r="DN254" s="92">
        <f t="shared" si="238"/>
        <v>222.399</v>
      </c>
      <c r="DO254" s="118">
        <v>0</v>
      </c>
      <c r="DP254" s="118">
        <v>0</v>
      </c>
      <c r="DQ254" s="118">
        <v>4.0389999999999997</v>
      </c>
      <c r="DR254" s="118">
        <v>6.0960000000000001</v>
      </c>
      <c r="DS254" s="118">
        <v>0.25800000000000001</v>
      </c>
      <c r="DT254" s="118">
        <v>22.494</v>
      </c>
      <c r="DU254" s="118">
        <v>189.512</v>
      </c>
      <c r="DV254" s="118">
        <v>0</v>
      </c>
      <c r="DW254" s="118">
        <v>0</v>
      </c>
      <c r="DX254" s="118">
        <v>0</v>
      </c>
      <c r="DY254" s="118">
        <v>0</v>
      </c>
      <c r="DZ254" s="118">
        <v>0</v>
      </c>
      <c r="EA254" s="50">
        <v>217</v>
      </c>
    </row>
    <row r="255" spans="1:131" s="50" customFormat="1" ht="16.25" customHeight="1" x14ac:dyDescent="0.35">
      <c r="A255" s="36" t="s">
        <v>19</v>
      </c>
      <c r="B255" s="36" t="s">
        <v>1035</v>
      </c>
      <c r="C255" s="36" t="s">
        <v>15</v>
      </c>
      <c r="D255" s="16" t="s">
        <v>1041</v>
      </c>
      <c r="E255" s="38" t="s">
        <v>507</v>
      </c>
      <c r="F255" s="38" t="s">
        <v>100</v>
      </c>
      <c r="G255" s="32" t="s">
        <v>101</v>
      </c>
      <c r="H255" s="32"/>
      <c r="I255" s="38"/>
      <c r="J255" s="38"/>
      <c r="K255" s="36"/>
      <c r="L255" s="36"/>
      <c r="M255" s="36"/>
      <c r="N255" s="36"/>
      <c r="O255" s="38" t="s">
        <v>1042</v>
      </c>
      <c r="P255" s="36" t="s">
        <v>230</v>
      </c>
      <c r="S255" s="100">
        <v>40</v>
      </c>
      <c r="T255" s="100"/>
      <c r="U255" s="100"/>
      <c r="V255" s="100">
        <f>CK255-S255</f>
        <v>120</v>
      </c>
      <c r="W255" s="36"/>
      <c r="X255" s="36"/>
      <c r="Y255" s="36"/>
      <c r="Z255" s="36"/>
      <c r="AA255" s="36"/>
      <c r="AB255" s="36"/>
      <c r="AC255" s="36"/>
      <c r="AD255" s="37"/>
      <c r="AE255" s="37"/>
      <c r="AF255" s="37"/>
      <c r="AG255" s="37"/>
      <c r="AH255" s="34"/>
      <c r="AI255" s="45"/>
      <c r="AJ255" s="37">
        <v>0</v>
      </c>
      <c r="AK255" s="46">
        <v>0</v>
      </c>
      <c r="AL255" s="47">
        <f>AJ255*AK255</f>
        <v>0</v>
      </c>
      <c r="AM255" s="47"/>
      <c r="AN255" s="45"/>
      <c r="AO255" s="45"/>
      <c r="AP255" s="45"/>
      <c r="AQ255" s="45"/>
      <c r="AR255" s="54">
        <v>400</v>
      </c>
      <c r="AS255" s="46">
        <v>0.5</v>
      </c>
      <c r="AT255" s="45">
        <f>AR255*AS255</f>
        <v>200</v>
      </c>
      <c r="AU255" s="48"/>
      <c r="AV255" s="49">
        <f>AU255*AS255</f>
        <v>0</v>
      </c>
      <c r="AW255" s="48"/>
      <c r="AY255" s="54">
        <v>400</v>
      </c>
      <c r="AZ255" s="46">
        <v>0.5</v>
      </c>
      <c r="BA255" s="45">
        <f>AY255*AZ255</f>
        <v>200</v>
      </c>
      <c r="BB255" s="39">
        <f>BA255-AT255</f>
        <v>0</v>
      </c>
      <c r="BE255" s="54">
        <v>400</v>
      </c>
      <c r="BF255" s="46">
        <v>0.5</v>
      </c>
      <c r="BG255" s="45">
        <f>BE255*BF255</f>
        <v>200</v>
      </c>
      <c r="BH255" s="45"/>
      <c r="BI255" s="39">
        <f>BG255-BA255</f>
        <v>0</v>
      </c>
      <c r="BJ255" s="39"/>
      <c r="BM255" s="54">
        <v>400</v>
      </c>
      <c r="BN255" s="46">
        <v>0.5</v>
      </c>
      <c r="BO255" s="45">
        <f>BM255*BN255</f>
        <v>200</v>
      </c>
      <c r="BP255" s="45"/>
      <c r="BQ255" s="92">
        <f>BO255-BA255</f>
        <v>0</v>
      </c>
      <c r="BR255" s="59"/>
      <c r="BU255" s="54">
        <v>400</v>
      </c>
      <c r="BV255" s="46">
        <v>0.5</v>
      </c>
      <c r="BW255" s="39">
        <f>BU255*BV255</f>
        <v>200</v>
      </c>
      <c r="BX255" s="118">
        <f>BW255-BO255</f>
        <v>0</v>
      </c>
      <c r="CA255" s="54">
        <v>320</v>
      </c>
      <c r="CB255" s="46">
        <v>0.5</v>
      </c>
      <c r="CC255" s="39">
        <f t="shared" si="240"/>
        <v>160</v>
      </c>
      <c r="CD255" s="100"/>
      <c r="CE255" s="92">
        <f t="shared" si="241"/>
        <v>-40</v>
      </c>
      <c r="CF255" s="92">
        <f t="shared" si="242"/>
        <v>-40</v>
      </c>
      <c r="CI255" s="54">
        <v>320</v>
      </c>
      <c r="CJ255" s="46">
        <v>0.5</v>
      </c>
      <c r="CK255" s="39">
        <f t="shared" si="243"/>
        <v>160</v>
      </c>
      <c r="CL255" s="92">
        <f t="shared" si="244"/>
        <v>0</v>
      </c>
      <c r="CN255" s="17"/>
      <c r="CO255" s="54">
        <v>320</v>
      </c>
      <c r="CP255" s="46">
        <v>0.5</v>
      </c>
      <c r="CQ255" s="191">
        <f t="shared" si="227"/>
        <v>160</v>
      </c>
      <c r="CR255" s="92">
        <f t="shared" si="228"/>
        <v>0</v>
      </c>
      <c r="CS255" s="91"/>
      <c r="CT255" s="17"/>
      <c r="CW255" s="100"/>
      <c r="CX255" s="54">
        <v>330</v>
      </c>
      <c r="CY255" s="46">
        <v>0.5</v>
      </c>
      <c r="CZ255" s="39">
        <f t="shared" si="235"/>
        <v>165</v>
      </c>
      <c r="DA255" s="168">
        <f t="shared" si="239"/>
        <v>5</v>
      </c>
      <c r="DB255" s="168"/>
      <c r="DC255" s="168"/>
      <c r="DD255" s="192"/>
      <c r="DE255" s="192"/>
      <c r="DF255" s="54">
        <v>330</v>
      </c>
      <c r="DG255" s="46">
        <v>0.5</v>
      </c>
      <c r="DH255" s="39">
        <f t="shared" si="237"/>
        <v>165</v>
      </c>
      <c r="DI255" s="168">
        <f t="shared" si="174"/>
        <v>0</v>
      </c>
      <c r="DJ255" s="168">
        <f t="shared" si="236"/>
        <v>165</v>
      </c>
      <c r="DK255" s="168"/>
      <c r="DL255" s="168"/>
      <c r="DM255" s="168"/>
      <c r="DN255" s="92">
        <f t="shared" si="238"/>
        <v>166.00450000000001</v>
      </c>
      <c r="DO255" s="118">
        <v>0</v>
      </c>
      <c r="DP255" s="118">
        <v>0</v>
      </c>
      <c r="DQ255" s="118">
        <v>0</v>
      </c>
      <c r="DR255" s="118">
        <v>0</v>
      </c>
      <c r="DS255" s="118">
        <v>0</v>
      </c>
      <c r="DT255" s="118">
        <v>0</v>
      </c>
      <c r="DU255" s="118">
        <v>0</v>
      </c>
      <c r="DV255" s="118">
        <v>0</v>
      </c>
      <c r="DW255" s="118">
        <v>0</v>
      </c>
      <c r="DX255" s="118">
        <v>0</v>
      </c>
      <c r="DY255" s="118">
        <v>0</v>
      </c>
      <c r="DZ255" s="118">
        <v>166.00450000000001</v>
      </c>
    </row>
    <row r="256" spans="1:131" s="50" customFormat="1" ht="16.25" customHeight="1" x14ac:dyDescent="0.35">
      <c r="A256" s="36" t="s">
        <v>19</v>
      </c>
      <c r="B256" s="36" t="s">
        <v>1035</v>
      </c>
      <c r="C256" s="36" t="s">
        <v>15</v>
      </c>
      <c r="D256" s="16" t="s">
        <v>1043</v>
      </c>
      <c r="E256" s="38" t="s">
        <v>1044</v>
      </c>
      <c r="F256" s="38" t="s">
        <v>110</v>
      </c>
      <c r="G256" s="32" t="s">
        <v>101</v>
      </c>
      <c r="H256" s="32"/>
      <c r="I256" s="38"/>
      <c r="J256" s="38"/>
      <c r="K256" s="36"/>
      <c r="L256" s="36"/>
      <c r="M256" s="36"/>
      <c r="N256" s="36"/>
      <c r="O256" s="38"/>
      <c r="P256" s="36" t="s">
        <v>230</v>
      </c>
      <c r="Q256" s="100"/>
      <c r="R256" s="100"/>
      <c r="S256" s="100"/>
      <c r="T256" s="100"/>
      <c r="U256" s="100"/>
      <c r="V256" s="100">
        <v>100</v>
      </c>
      <c r="W256" s="100"/>
      <c r="X256" s="100"/>
      <c r="Y256" s="100"/>
      <c r="Z256" s="100"/>
      <c r="AA256" s="100"/>
      <c r="AB256" s="100"/>
      <c r="AC256" s="36"/>
      <c r="AD256" s="37"/>
      <c r="AE256" s="37"/>
      <c r="AF256" s="37"/>
      <c r="AG256" s="37"/>
      <c r="AH256" s="34"/>
      <c r="AI256" s="45"/>
      <c r="AJ256" s="37">
        <v>0</v>
      </c>
      <c r="AK256" s="46">
        <v>0</v>
      </c>
      <c r="AL256" s="47">
        <f>AJ256*AK256</f>
        <v>0</v>
      </c>
      <c r="AM256" s="47"/>
      <c r="AN256" s="45"/>
      <c r="AO256" s="45"/>
      <c r="AP256" s="45"/>
      <c r="AQ256" s="45"/>
      <c r="AR256" s="54">
        <v>200</v>
      </c>
      <c r="AS256" s="46">
        <v>0.5</v>
      </c>
      <c r="AT256" s="45">
        <f>AR256*AS256</f>
        <v>100</v>
      </c>
      <c r="AU256" s="48"/>
      <c r="AV256" s="49">
        <f>AU256*AS256</f>
        <v>0</v>
      </c>
      <c r="AW256" s="48"/>
      <c r="AY256" s="54">
        <v>200</v>
      </c>
      <c r="AZ256" s="46">
        <v>0.5</v>
      </c>
      <c r="BA256" s="45">
        <f>AY256*AZ256</f>
        <v>100</v>
      </c>
      <c r="BB256" s="39">
        <f>BA256-AT256</f>
        <v>0</v>
      </c>
      <c r="BE256" s="54">
        <v>200</v>
      </c>
      <c r="BF256" s="46">
        <v>0.5</v>
      </c>
      <c r="BG256" s="45">
        <f>BE256*BF256</f>
        <v>100</v>
      </c>
      <c r="BH256" s="45"/>
      <c r="BI256" s="39">
        <f>BG256-BA256</f>
        <v>0</v>
      </c>
      <c r="BJ256" s="39"/>
      <c r="BM256" s="54">
        <v>200</v>
      </c>
      <c r="BN256" s="46">
        <v>0.5</v>
      </c>
      <c r="BO256" s="45">
        <f>BM256*BN256</f>
        <v>100</v>
      </c>
      <c r="BP256" s="45"/>
      <c r="BQ256" s="92">
        <f>BO256-BA256</f>
        <v>0</v>
      </c>
      <c r="BR256" s="59"/>
      <c r="BU256" s="54">
        <v>200</v>
      </c>
      <c r="BV256" s="46">
        <v>0.5</v>
      </c>
      <c r="BW256" s="39">
        <f>BU256*BV256</f>
        <v>100</v>
      </c>
      <c r="BX256" s="118">
        <f>BW256-BO256</f>
        <v>0</v>
      </c>
      <c r="CA256" s="54">
        <v>200</v>
      </c>
      <c r="CB256" s="46">
        <v>0.5</v>
      </c>
      <c r="CC256" s="39">
        <f t="shared" si="240"/>
        <v>100</v>
      </c>
      <c r="CD256" s="100"/>
      <c r="CE256" s="92">
        <f t="shared" si="241"/>
        <v>0</v>
      </c>
      <c r="CF256" s="92">
        <f t="shared" si="242"/>
        <v>0</v>
      </c>
      <c r="CI256" s="54">
        <v>200</v>
      </c>
      <c r="CJ256" s="46">
        <v>0.5</v>
      </c>
      <c r="CK256" s="39">
        <f t="shared" si="243"/>
        <v>100</v>
      </c>
      <c r="CL256" s="92">
        <f t="shared" si="244"/>
        <v>0</v>
      </c>
      <c r="CN256" s="17"/>
      <c r="CO256" s="54">
        <v>200</v>
      </c>
      <c r="CP256" s="46">
        <v>0.5</v>
      </c>
      <c r="CQ256" s="191">
        <f t="shared" si="227"/>
        <v>100</v>
      </c>
      <c r="CR256" s="92">
        <f t="shared" si="228"/>
        <v>0</v>
      </c>
      <c r="CS256" s="17"/>
      <c r="CT256" s="17"/>
      <c r="CW256" s="100"/>
      <c r="CX256" s="54">
        <v>206</v>
      </c>
      <c r="CY256" s="46">
        <v>0.5</v>
      </c>
      <c r="CZ256" s="39">
        <f t="shared" si="235"/>
        <v>103</v>
      </c>
      <c r="DA256" s="168">
        <f t="shared" si="239"/>
        <v>3</v>
      </c>
      <c r="DB256" s="168"/>
      <c r="DC256" s="168"/>
      <c r="DD256" s="192" t="s">
        <v>1045</v>
      </c>
      <c r="DE256" s="192"/>
      <c r="DF256" s="54">
        <v>206</v>
      </c>
      <c r="DG256" s="46">
        <v>0.5</v>
      </c>
      <c r="DH256" s="39">
        <f t="shared" si="237"/>
        <v>103</v>
      </c>
      <c r="DI256" s="168">
        <f t="shared" si="174"/>
        <v>0</v>
      </c>
      <c r="DJ256" s="168">
        <f t="shared" si="236"/>
        <v>103</v>
      </c>
      <c r="DK256" s="168"/>
      <c r="DL256" s="168"/>
      <c r="DM256" s="168"/>
      <c r="DN256" s="92">
        <f t="shared" si="238"/>
        <v>103.753</v>
      </c>
      <c r="DO256" s="118">
        <v>0</v>
      </c>
      <c r="DP256" s="118">
        <v>0</v>
      </c>
      <c r="DQ256" s="118">
        <v>0</v>
      </c>
      <c r="DR256" s="118">
        <v>0</v>
      </c>
      <c r="DS256" s="118">
        <v>0</v>
      </c>
      <c r="DT256" s="118">
        <v>0</v>
      </c>
      <c r="DU256" s="118">
        <v>0</v>
      </c>
      <c r="DV256" s="118">
        <v>0</v>
      </c>
      <c r="DW256" s="118">
        <v>0</v>
      </c>
      <c r="DX256" s="118">
        <v>0</v>
      </c>
      <c r="DY256" s="118">
        <v>0</v>
      </c>
      <c r="DZ256" s="118">
        <v>103.753</v>
      </c>
    </row>
    <row r="257" spans="1:130" s="50" customFormat="1" ht="16.25" customHeight="1" x14ac:dyDescent="0.35">
      <c r="A257" s="36" t="s">
        <v>19</v>
      </c>
      <c r="B257" s="36" t="s">
        <v>1035</v>
      </c>
      <c r="C257" s="36" t="s">
        <v>15</v>
      </c>
      <c r="D257" s="16" t="s">
        <v>1046</v>
      </c>
      <c r="E257" s="38" t="s">
        <v>1047</v>
      </c>
      <c r="F257" s="38" t="s">
        <v>110</v>
      </c>
      <c r="G257" s="32" t="s">
        <v>101</v>
      </c>
      <c r="H257" s="32"/>
      <c r="I257" s="38"/>
      <c r="J257" s="33" t="s">
        <v>1048</v>
      </c>
      <c r="K257" s="36"/>
      <c r="L257" s="36"/>
      <c r="M257" s="46"/>
      <c r="N257" s="36"/>
      <c r="O257" s="33" t="s">
        <v>1049</v>
      </c>
      <c r="P257" s="36" t="s">
        <v>230</v>
      </c>
      <c r="Q257" s="100"/>
      <c r="R257" s="100"/>
      <c r="S257" s="100"/>
      <c r="T257" s="100"/>
      <c r="U257" s="100"/>
      <c r="V257" s="100">
        <v>40</v>
      </c>
      <c r="W257" s="100"/>
      <c r="X257" s="100"/>
      <c r="Y257" s="100"/>
      <c r="Z257" s="100"/>
      <c r="AA257" s="100"/>
      <c r="AB257" s="100"/>
      <c r="AC257" s="36"/>
      <c r="AD257" s="37"/>
      <c r="AE257" s="46"/>
      <c r="AF257" s="37"/>
      <c r="AG257" s="37"/>
      <c r="AH257" s="34"/>
      <c r="AI257" s="45"/>
      <c r="AJ257" s="37">
        <v>0</v>
      </c>
      <c r="AK257" s="46">
        <v>0</v>
      </c>
      <c r="AL257" s="47">
        <f>AJ257*AK257</f>
        <v>0</v>
      </c>
      <c r="AM257" s="47"/>
      <c r="AN257" s="37"/>
      <c r="AO257" s="37"/>
      <c r="AP257" s="37"/>
      <c r="AQ257" s="37"/>
      <c r="AR257" s="54">
        <v>80</v>
      </c>
      <c r="AS257" s="46">
        <v>0.5</v>
      </c>
      <c r="AT257" s="45">
        <f>AR257*AS257</f>
        <v>40</v>
      </c>
      <c r="AU257" s="48"/>
      <c r="AV257" s="49">
        <f>AU257*AS257</f>
        <v>0</v>
      </c>
      <c r="AW257" s="48"/>
      <c r="AY257" s="54">
        <v>80</v>
      </c>
      <c r="AZ257" s="46">
        <v>0.5</v>
      </c>
      <c r="BA257" s="45">
        <f>AY257*AZ257</f>
        <v>40</v>
      </c>
      <c r="BB257" s="39">
        <f>BA257-AT257</f>
        <v>0</v>
      </c>
      <c r="BE257" s="54">
        <v>80</v>
      </c>
      <c r="BF257" s="46">
        <v>0.5</v>
      </c>
      <c r="BG257" s="45">
        <f>BE257*BF257</f>
        <v>40</v>
      </c>
      <c r="BH257" s="45"/>
      <c r="BI257" s="39">
        <f>BG257-BA257</f>
        <v>0</v>
      </c>
      <c r="BJ257" s="39"/>
      <c r="BM257" s="54">
        <v>80</v>
      </c>
      <c r="BN257" s="46">
        <v>0.5</v>
      </c>
      <c r="BO257" s="45">
        <f>BM257*BN257</f>
        <v>40</v>
      </c>
      <c r="BP257" s="45"/>
      <c r="BQ257" s="92">
        <f>BO257-BA257</f>
        <v>0</v>
      </c>
      <c r="BR257" s="59"/>
      <c r="BU257" s="54">
        <v>80</v>
      </c>
      <c r="BV257" s="46">
        <v>0.5</v>
      </c>
      <c r="BW257" s="39">
        <f>BU257*BV257</f>
        <v>40</v>
      </c>
      <c r="BX257" s="118">
        <f>BW257-BO257</f>
        <v>0</v>
      </c>
      <c r="CA257" s="54">
        <v>80</v>
      </c>
      <c r="CB257" s="46">
        <v>0.5</v>
      </c>
      <c r="CC257" s="39">
        <f t="shared" si="240"/>
        <v>40</v>
      </c>
      <c r="CD257" s="100"/>
      <c r="CE257" s="92">
        <f t="shared" si="241"/>
        <v>0</v>
      </c>
      <c r="CF257" s="92">
        <f t="shared" si="242"/>
        <v>0</v>
      </c>
      <c r="CI257" s="54">
        <v>80</v>
      </c>
      <c r="CJ257" s="46">
        <v>0.5</v>
      </c>
      <c r="CK257" s="39">
        <f t="shared" si="243"/>
        <v>40</v>
      </c>
      <c r="CL257" s="92">
        <f t="shared" si="244"/>
        <v>0</v>
      </c>
      <c r="CN257" s="17"/>
      <c r="CO257" s="54">
        <v>80</v>
      </c>
      <c r="CP257" s="46">
        <v>0.5</v>
      </c>
      <c r="CQ257" s="191">
        <f t="shared" si="227"/>
        <v>40</v>
      </c>
      <c r="CR257" s="92">
        <f t="shared" si="228"/>
        <v>0</v>
      </c>
      <c r="CS257" s="17"/>
      <c r="CT257" s="17"/>
      <c r="CW257" s="100"/>
      <c r="CX257" s="54">
        <v>84</v>
      </c>
      <c r="CY257" s="46">
        <v>0.5</v>
      </c>
      <c r="CZ257" s="39">
        <f t="shared" si="235"/>
        <v>42</v>
      </c>
      <c r="DA257" s="168">
        <f t="shared" si="239"/>
        <v>2</v>
      </c>
      <c r="DB257" s="168"/>
      <c r="DC257" s="168"/>
      <c r="DD257" s="192" t="s">
        <v>1050</v>
      </c>
      <c r="DE257" s="192"/>
      <c r="DF257" s="54">
        <v>84</v>
      </c>
      <c r="DG257" s="46">
        <v>0.5</v>
      </c>
      <c r="DH257" s="39">
        <f t="shared" si="237"/>
        <v>42</v>
      </c>
      <c r="DI257" s="168">
        <f t="shared" si="174"/>
        <v>0</v>
      </c>
      <c r="DJ257" s="168">
        <f t="shared" si="236"/>
        <v>42</v>
      </c>
      <c r="DK257" s="168"/>
      <c r="DL257" s="168"/>
      <c r="DM257" s="168"/>
      <c r="DN257" s="92">
        <f t="shared" si="238"/>
        <v>41.500999999999998</v>
      </c>
      <c r="DO257" s="118">
        <v>0</v>
      </c>
      <c r="DP257" s="118">
        <v>0</v>
      </c>
      <c r="DQ257" s="118">
        <v>0</v>
      </c>
      <c r="DR257" s="118">
        <v>0</v>
      </c>
      <c r="DS257" s="118">
        <v>0</v>
      </c>
      <c r="DT257" s="118">
        <v>0</v>
      </c>
      <c r="DU257" s="118">
        <v>0</v>
      </c>
      <c r="DV257" s="118">
        <v>0</v>
      </c>
      <c r="DW257" s="118">
        <v>0</v>
      </c>
      <c r="DX257" s="118">
        <v>0</v>
      </c>
      <c r="DY257" s="118">
        <v>0</v>
      </c>
      <c r="DZ257" s="118">
        <v>41.500999999999998</v>
      </c>
    </row>
    <row r="258" spans="1:130" s="50" customFormat="1" ht="16.25" customHeight="1" x14ac:dyDescent="0.35">
      <c r="A258" s="36" t="s">
        <v>19</v>
      </c>
      <c r="B258" s="36" t="s">
        <v>1051</v>
      </c>
      <c r="C258" s="36" t="s">
        <v>1052</v>
      </c>
      <c r="D258" s="16" t="s">
        <v>1053</v>
      </c>
      <c r="E258" s="38" t="s">
        <v>1054</v>
      </c>
      <c r="F258" s="38" t="s">
        <v>110</v>
      </c>
      <c r="G258" s="32" t="s">
        <v>101</v>
      </c>
      <c r="H258" s="32"/>
      <c r="I258" s="38"/>
      <c r="J258" s="38"/>
      <c r="K258" s="36"/>
      <c r="L258" s="36"/>
      <c r="M258" s="36"/>
      <c r="N258" s="36"/>
      <c r="O258" s="38"/>
      <c r="P258" s="36" t="s">
        <v>111</v>
      </c>
      <c r="Q258" s="100">
        <f>CC258</f>
        <v>-62.625999999999998</v>
      </c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36"/>
      <c r="AD258" s="37"/>
      <c r="AE258" s="37"/>
      <c r="AF258" s="37"/>
      <c r="AG258" s="37"/>
      <c r="AH258" s="34"/>
      <c r="AI258" s="45"/>
      <c r="AJ258" s="37"/>
      <c r="AK258" s="46"/>
      <c r="AL258" s="47"/>
      <c r="AM258" s="47"/>
      <c r="AN258" s="37"/>
      <c r="AO258" s="37"/>
      <c r="AP258" s="37"/>
      <c r="AQ258" s="37"/>
      <c r="AR258" s="54"/>
      <c r="AS258" s="46"/>
      <c r="AT258" s="45"/>
      <c r="AU258" s="48"/>
      <c r="AV258" s="49"/>
      <c r="AW258" s="48"/>
      <c r="AY258" s="54"/>
      <c r="AZ258" s="46"/>
      <c r="BA258" s="45"/>
      <c r="BB258" s="39"/>
      <c r="BE258" s="54"/>
      <c r="BF258" s="46"/>
      <c r="BG258" s="45"/>
      <c r="BH258" s="45"/>
      <c r="BI258" s="39"/>
      <c r="BJ258" s="39"/>
      <c r="BM258" s="54"/>
      <c r="BN258" s="46"/>
      <c r="BO258" s="45"/>
      <c r="BP258" s="45"/>
      <c r="BQ258" s="92"/>
      <c r="BR258" s="59"/>
      <c r="BU258" s="54"/>
      <c r="BV258" s="46"/>
      <c r="BW258" s="39"/>
      <c r="BX258" s="118"/>
      <c r="CA258" s="54">
        <v>-62.625999999999998</v>
      </c>
      <c r="CB258" s="46">
        <v>1</v>
      </c>
      <c r="CC258" s="39">
        <f t="shared" si="240"/>
        <v>-62.625999999999998</v>
      </c>
      <c r="CD258" s="100"/>
      <c r="CE258" s="92">
        <f t="shared" si="241"/>
        <v>-62.625999999999998</v>
      </c>
      <c r="CF258" s="92">
        <f t="shared" si="242"/>
        <v>-62.625999999999998</v>
      </c>
      <c r="CI258" s="54">
        <v>-62.625999999999998</v>
      </c>
      <c r="CJ258" s="46">
        <v>1</v>
      </c>
      <c r="CK258" s="39">
        <f t="shared" si="243"/>
        <v>-62.625999999999998</v>
      </c>
      <c r="CL258" s="92">
        <f t="shared" si="244"/>
        <v>0</v>
      </c>
      <c r="CN258" s="17"/>
      <c r="CO258" s="54">
        <v>-62.625999999999998</v>
      </c>
      <c r="CP258" s="46">
        <v>1</v>
      </c>
      <c r="CQ258" s="39">
        <f t="shared" si="227"/>
        <v>-62.625999999999998</v>
      </c>
      <c r="CR258" s="92">
        <f t="shared" si="228"/>
        <v>0</v>
      </c>
      <c r="CS258" s="17"/>
      <c r="CT258" s="17"/>
      <c r="CW258" s="100"/>
      <c r="CX258" s="54">
        <v>-62.625999999999998</v>
      </c>
      <c r="CY258" s="46">
        <v>1</v>
      </c>
      <c r="CZ258" s="39">
        <f t="shared" si="235"/>
        <v>-62.625999999999998</v>
      </c>
      <c r="DA258" s="168">
        <f t="shared" si="239"/>
        <v>0</v>
      </c>
      <c r="DB258" s="168"/>
      <c r="DC258" s="168"/>
      <c r="DD258" s="192"/>
      <c r="DE258" s="192"/>
      <c r="DF258" s="54">
        <v>-62.625999999999998</v>
      </c>
      <c r="DG258" s="46">
        <v>1</v>
      </c>
      <c r="DH258" s="39">
        <f t="shared" si="237"/>
        <v>-62.625999999999998</v>
      </c>
      <c r="DI258" s="168">
        <f t="shared" si="174"/>
        <v>0</v>
      </c>
      <c r="DJ258" s="168">
        <f t="shared" si="236"/>
        <v>-62.625999999999998</v>
      </c>
      <c r="DK258" s="168"/>
      <c r="DL258" s="168"/>
      <c r="DM258" s="168"/>
      <c r="DN258" s="92">
        <f t="shared" si="238"/>
        <v>-63</v>
      </c>
      <c r="DO258" s="118">
        <v>-63</v>
      </c>
      <c r="DP258" s="118">
        <v>0</v>
      </c>
      <c r="DQ258" s="118">
        <v>0</v>
      </c>
      <c r="DR258" s="118">
        <v>0</v>
      </c>
      <c r="DS258" s="118">
        <v>0</v>
      </c>
      <c r="DT258" s="118">
        <v>0</v>
      </c>
      <c r="DU258" s="118">
        <v>0</v>
      </c>
      <c r="DV258" s="118">
        <v>0</v>
      </c>
      <c r="DW258" s="118">
        <v>0</v>
      </c>
      <c r="DX258" s="118">
        <v>0</v>
      </c>
      <c r="DY258" s="118">
        <v>0</v>
      </c>
      <c r="DZ258" s="118">
        <v>0</v>
      </c>
    </row>
    <row r="259" spans="1:130" s="50" customFormat="1" ht="16.25" customHeight="1" x14ac:dyDescent="0.4">
      <c r="A259" s="36" t="s">
        <v>19</v>
      </c>
      <c r="B259" s="36" t="s">
        <v>1051</v>
      </c>
      <c r="C259" s="36" t="s">
        <v>1052</v>
      </c>
      <c r="D259" s="16" t="s">
        <v>1055</v>
      </c>
      <c r="E259" s="38" t="s">
        <v>1056</v>
      </c>
      <c r="F259" s="38" t="s">
        <v>110</v>
      </c>
      <c r="G259" s="32" t="s">
        <v>101</v>
      </c>
      <c r="H259" s="32"/>
      <c r="I259" s="38"/>
      <c r="J259" s="38" t="s">
        <v>1057</v>
      </c>
      <c r="K259" s="36" t="s">
        <v>1058</v>
      </c>
      <c r="L259" s="36"/>
      <c r="M259" s="36" t="s">
        <v>184</v>
      </c>
      <c r="N259" s="36" t="s">
        <v>283</v>
      </c>
      <c r="O259" s="33" t="s">
        <v>1059</v>
      </c>
      <c r="P259" s="36" t="s">
        <v>361</v>
      </c>
      <c r="Q259" s="100"/>
      <c r="R259" s="100"/>
      <c r="T259" s="100">
        <v>320</v>
      </c>
      <c r="U259" s="100">
        <f>495-T259</f>
        <v>175</v>
      </c>
      <c r="V259" s="100"/>
      <c r="W259" s="100"/>
      <c r="X259" s="100"/>
      <c r="Y259" s="100"/>
      <c r="Z259" s="100"/>
      <c r="AA259" s="100"/>
      <c r="AB259" s="100"/>
      <c r="AC259" s="36"/>
      <c r="AD259" s="37"/>
      <c r="AE259" s="37"/>
      <c r="AF259" s="37"/>
      <c r="AG259" s="37"/>
      <c r="AH259" s="34"/>
      <c r="AI259" s="45"/>
      <c r="AJ259" s="37">
        <v>0</v>
      </c>
      <c r="AK259" s="46">
        <v>0</v>
      </c>
      <c r="AL259" s="47">
        <f t="shared" ref="AL259:AL266" si="245">AJ259*AK259</f>
        <v>0</v>
      </c>
      <c r="AM259" s="47"/>
      <c r="AN259" s="37"/>
      <c r="AO259" s="37"/>
      <c r="AP259" s="37"/>
      <c r="AQ259" s="37"/>
      <c r="AR259" s="54">
        <v>550</v>
      </c>
      <c r="AS259" s="46">
        <v>0.9</v>
      </c>
      <c r="AT259" s="45">
        <f t="shared" ref="AT259:AT266" si="246">AR259*AS259</f>
        <v>495</v>
      </c>
      <c r="AU259" s="48"/>
      <c r="AV259" s="49">
        <f>AU259*AS259</f>
        <v>0</v>
      </c>
      <c r="AW259" s="48"/>
      <c r="AY259" s="54">
        <v>550</v>
      </c>
      <c r="AZ259" s="46">
        <v>0.9</v>
      </c>
      <c r="BA259" s="45">
        <f t="shared" ref="BA259:BA266" si="247">AY259*AZ259</f>
        <v>495</v>
      </c>
      <c r="BB259" s="39">
        <f t="shared" ref="BB259:BB266" si="248">BA259-AT259</f>
        <v>0</v>
      </c>
      <c r="BE259" s="54">
        <v>550</v>
      </c>
      <c r="BF259" s="46">
        <v>0.9</v>
      </c>
      <c r="BG259" s="45">
        <f t="shared" ref="BG259:BG266" si="249">BE259*BF259</f>
        <v>495</v>
      </c>
      <c r="BH259" s="45"/>
      <c r="BI259" s="39">
        <f t="shared" ref="BI259:BI266" si="250">BG259-BA259</f>
        <v>0</v>
      </c>
      <c r="BJ259" s="39"/>
      <c r="BM259" s="54">
        <v>550</v>
      </c>
      <c r="BN259" s="46">
        <v>0.9</v>
      </c>
      <c r="BO259" s="45">
        <f t="shared" ref="BO259:BO276" si="251">BM259*BN259</f>
        <v>495</v>
      </c>
      <c r="BP259" s="45"/>
      <c r="BQ259" s="92">
        <f t="shared" ref="BQ259:BQ266" si="252">BO259-BA259</f>
        <v>0</v>
      </c>
      <c r="BR259" s="59"/>
      <c r="BU259" s="54">
        <v>550</v>
      </c>
      <c r="BV259" s="46">
        <v>0.9</v>
      </c>
      <c r="BW259" s="39">
        <f t="shared" ref="BW259:BW279" si="253">BU259*BV259</f>
        <v>495</v>
      </c>
      <c r="BX259" s="118">
        <f t="shared" ref="BX259:BX279" si="254">BW259-BO259</f>
        <v>0</v>
      </c>
      <c r="BY259" t="s">
        <v>1060</v>
      </c>
      <c r="CA259" s="54">
        <v>550</v>
      </c>
      <c r="CB259" s="46">
        <v>0.9</v>
      </c>
      <c r="CC259" s="39">
        <f t="shared" si="240"/>
        <v>495</v>
      </c>
      <c r="CD259" s="100"/>
      <c r="CE259" s="92">
        <f t="shared" si="241"/>
        <v>0</v>
      </c>
      <c r="CF259" s="92">
        <f t="shared" si="242"/>
        <v>0</v>
      </c>
      <c r="CI259" s="54">
        <v>550</v>
      </c>
      <c r="CJ259" s="46">
        <v>0.9</v>
      </c>
      <c r="CK259" s="39">
        <f t="shared" si="243"/>
        <v>495</v>
      </c>
      <c r="CL259" s="92">
        <f t="shared" si="244"/>
        <v>0</v>
      </c>
      <c r="CN259" s="17"/>
      <c r="CO259" s="54">
        <v>550</v>
      </c>
      <c r="CP259" s="46">
        <v>0.9</v>
      </c>
      <c r="CQ259" s="39">
        <f t="shared" si="227"/>
        <v>495</v>
      </c>
      <c r="CR259" s="92">
        <f t="shared" si="228"/>
        <v>0</v>
      </c>
      <c r="CS259" s="17"/>
      <c r="CT259" s="17"/>
      <c r="CW259" s="100"/>
      <c r="CX259" s="54">
        <v>600</v>
      </c>
      <c r="CY259" s="46">
        <v>0.9</v>
      </c>
      <c r="CZ259" s="39">
        <f t="shared" si="235"/>
        <v>540</v>
      </c>
      <c r="DA259" s="168">
        <f t="shared" si="239"/>
        <v>45</v>
      </c>
      <c r="DB259" s="168"/>
      <c r="DC259" s="168"/>
      <c r="DD259" s="192" t="s">
        <v>1061</v>
      </c>
      <c r="DE259" s="192"/>
      <c r="DF259" s="54">
        <v>600</v>
      </c>
      <c r="DG259" s="46">
        <v>0.9</v>
      </c>
      <c r="DH259" s="39">
        <f t="shared" si="237"/>
        <v>540</v>
      </c>
      <c r="DI259" s="168">
        <f t="shared" si="174"/>
        <v>0</v>
      </c>
      <c r="DJ259" s="168">
        <f t="shared" si="236"/>
        <v>540</v>
      </c>
      <c r="DK259" s="168"/>
      <c r="DL259" s="168"/>
      <c r="DM259" s="168"/>
      <c r="DN259" s="92">
        <f t="shared" si="238"/>
        <v>545</v>
      </c>
      <c r="DO259" s="118">
        <v>0</v>
      </c>
      <c r="DP259" s="118">
        <v>0</v>
      </c>
      <c r="DQ259" s="118">
        <v>0</v>
      </c>
      <c r="DR259" s="118">
        <v>0</v>
      </c>
      <c r="DS259" s="118">
        <v>0</v>
      </c>
      <c r="DT259" s="118">
        <v>0</v>
      </c>
      <c r="DU259" s="118">
        <v>50</v>
      </c>
      <c r="DV259" s="118">
        <v>145</v>
      </c>
      <c r="DW259" s="118">
        <v>200</v>
      </c>
      <c r="DX259" s="118">
        <v>60</v>
      </c>
      <c r="DY259" s="118">
        <v>60</v>
      </c>
      <c r="DZ259" s="118">
        <v>30</v>
      </c>
    </row>
    <row r="260" spans="1:130" s="50" customFormat="1" ht="16.25" customHeight="1" x14ac:dyDescent="0.4">
      <c r="A260" s="36" t="s">
        <v>19</v>
      </c>
      <c r="B260" s="36" t="s">
        <v>1051</v>
      </c>
      <c r="C260" s="36" t="s">
        <v>1052</v>
      </c>
      <c r="D260" s="16" t="s">
        <v>1062</v>
      </c>
      <c r="E260" s="38" t="s">
        <v>1063</v>
      </c>
      <c r="F260" s="38" t="s">
        <v>100</v>
      </c>
      <c r="G260" s="32" t="s">
        <v>101</v>
      </c>
      <c r="H260" s="32"/>
      <c r="I260" s="38"/>
      <c r="J260" s="33" t="s">
        <v>1064</v>
      </c>
      <c r="K260" s="36"/>
      <c r="L260" s="36"/>
      <c r="M260" s="36"/>
      <c r="N260" s="36"/>
      <c r="O260" s="38" t="s">
        <v>1065</v>
      </c>
      <c r="P260" s="36" t="s">
        <v>361</v>
      </c>
      <c r="Q260" s="100"/>
      <c r="R260" s="100"/>
      <c r="S260" s="100"/>
      <c r="T260" s="100"/>
      <c r="U260" s="100"/>
      <c r="V260" s="100"/>
      <c r="W260" s="100">
        <f>CC260</f>
        <v>180</v>
      </c>
      <c r="X260" s="100"/>
      <c r="Y260" s="100"/>
      <c r="Z260" s="100"/>
      <c r="AA260" s="100"/>
      <c r="AB260" s="100"/>
      <c r="AC260" s="36"/>
      <c r="AD260" s="37"/>
      <c r="AE260" s="37"/>
      <c r="AF260" s="37"/>
      <c r="AG260" s="37"/>
      <c r="AH260" s="34"/>
      <c r="AI260" s="45"/>
      <c r="AJ260" s="37">
        <v>0</v>
      </c>
      <c r="AK260" s="46">
        <v>0</v>
      </c>
      <c r="AL260" s="47">
        <f t="shared" si="245"/>
        <v>0</v>
      </c>
      <c r="AM260" s="47"/>
      <c r="AN260" s="37"/>
      <c r="AO260" s="37"/>
      <c r="AP260" s="37"/>
      <c r="AQ260" s="37"/>
      <c r="AR260" s="54">
        <v>360</v>
      </c>
      <c r="AS260" s="46">
        <v>0.9</v>
      </c>
      <c r="AT260" s="45">
        <f t="shared" si="246"/>
        <v>324</v>
      </c>
      <c r="AU260" s="48"/>
      <c r="AV260" s="49">
        <f>AU260*AS260</f>
        <v>0</v>
      </c>
      <c r="AW260" s="48"/>
      <c r="AY260" s="54">
        <v>360</v>
      </c>
      <c r="AZ260" s="46">
        <v>0.9</v>
      </c>
      <c r="BA260" s="45">
        <f t="shared" si="247"/>
        <v>324</v>
      </c>
      <c r="BB260" s="39">
        <f t="shared" si="248"/>
        <v>0</v>
      </c>
      <c r="BE260" s="54">
        <v>360</v>
      </c>
      <c r="BF260" s="46">
        <v>0.9</v>
      </c>
      <c r="BG260" s="45">
        <f t="shared" si="249"/>
        <v>324</v>
      </c>
      <c r="BH260" s="45"/>
      <c r="BI260" s="39">
        <f t="shared" si="250"/>
        <v>0</v>
      </c>
      <c r="BJ260" s="39"/>
      <c r="BM260" s="54">
        <v>360</v>
      </c>
      <c r="BN260" s="46">
        <v>0.9</v>
      </c>
      <c r="BO260" s="45">
        <f t="shared" si="251"/>
        <v>324</v>
      </c>
      <c r="BP260" s="45"/>
      <c r="BQ260" s="92">
        <f t="shared" si="252"/>
        <v>0</v>
      </c>
      <c r="BR260" s="59"/>
      <c r="BU260" s="54">
        <v>360</v>
      </c>
      <c r="BV260" s="46">
        <v>0.9</v>
      </c>
      <c r="BW260" s="39">
        <f t="shared" si="253"/>
        <v>324</v>
      </c>
      <c r="BX260" s="118">
        <f t="shared" si="254"/>
        <v>0</v>
      </c>
      <c r="BY260" t="s">
        <v>1066</v>
      </c>
      <c r="CA260" s="54">
        <v>360</v>
      </c>
      <c r="CB260" s="46">
        <v>0.5</v>
      </c>
      <c r="CC260" s="39">
        <f t="shared" si="240"/>
        <v>180</v>
      </c>
      <c r="CD260" s="100"/>
      <c r="CE260" s="92">
        <f t="shared" si="241"/>
        <v>-144</v>
      </c>
      <c r="CF260" s="92">
        <f t="shared" si="242"/>
        <v>-144</v>
      </c>
      <c r="CI260" s="54">
        <v>360</v>
      </c>
      <c r="CJ260" s="46">
        <v>0.5</v>
      </c>
      <c r="CK260" s="39">
        <f t="shared" si="243"/>
        <v>180</v>
      </c>
      <c r="CL260" s="92">
        <f t="shared" si="244"/>
        <v>0</v>
      </c>
      <c r="CM260" s="50" t="s">
        <v>1067</v>
      </c>
      <c r="CN260" s="17"/>
      <c r="CO260" s="54">
        <v>360</v>
      </c>
      <c r="CP260" s="46">
        <v>0.5</v>
      </c>
      <c r="CQ260" s="39">
        <f t="shared" si="227"/>
        <v>180</v>
      </c>
      <c r="CR260" s="92">
        <f t="shared" si="228"/>
        <v>0</v>
      </c>
      <c r="CS260" s="17"/>
      <c r="CT260" s="17"/>
      <c r="CW260" s="100"/>
      <c r="CX260" s="54">
        <v>110</v>
      </c>
      <c r="CY260" s="46">
        <v>0.5</v>
      </c>
      <c r="CZ260" s="39">
        <f t="shared" si="235"/>
        <v>55</v>
      </c>
      <c r="DA260" s="168">
        <f t="shared" si="239"/>
        <v>-125</v>
      </c>
      <c r="DB260" s="168"/>
      <c r="DC260" s="168"/>
      <c r="DD260" s="192" t="s">
        <v>1068</v>
      </c>
      <c r="DE260" s="192"/>
      <c r="DF260" s="54">
        <v>110</v>
      </c>
      <c r="DG260" s="46">
        <v>0.5</v>
      </c>
      <c r="DH260" s="39">
        <f t="shared" si="237"/>
        <v>55</v>
      </c>
      <c r="DI260" s="168">
        <f t="shared" ref="DI260:DI283" si="255">DH260-CZ260</f>
        <v>0</v>
      </c>
      <c r="DJ260" s="168">
        <f t="shared" si="236"/>
        <v>55</v>
      </c>
      <c r="DK260" s="168"/>
      <c r="DL260" s="168"/>
      <c r="DM260" s="168"/>
      <c r="DN260" s="92">
        <f t="shared" si="238"/>
        <v>55</v>
      </c>
      <c r="DO260" s="118">
        <v>0</v>
      </c>
      <c r="DP260" s="118">
        <v>0</v>
      </c>
      <c r="DQ260" s="118">
        <v>0</v>
      </c>
      <c r="DR260" s="118">
        <v>0</v>
      </c>
      <c r="DS260" s="118">
        <v>0</v>
      </c>
      <c r="DT260" s="118">
        <v>0</v>
      </c>
      <c r="DU260" s="118">
        <v>0</v>
      </c>
      <c r="DV260" s="118">
        <v>0</v>
      </c>
      <c r="DW260" s="118">
        <v>0</v>
      </c>
      <c r="DX260" s="118">
        <v>0</v>
      </c>
      <c r="DY260" s="118">
        <v>0</v>
      </c>
      <c r="DZ260" s="118">
        <v>55</v>
      </c>
    </row>
    <row r="261" spans="1:130" s="50" customFormat="1" ht="16.25" customHeight="1" x14ac:dyDescent="0.35">
      <c r="A261" s="36" t="s">
        <v>19</v>
      </c>
      <c r="B261" s="36" t="s">
        <v>1051</v>
      </c>
      <c r="C261" s="36" t="s">
        <v>1052</v>
      </c>
      <c r="D261" s="16" t="s">
        <v>1069</v>
      </c>
      <c r="E261" s="38" t="s">
        <v>1070</v>
      </c>
      <c r="F261" s="38" t="s">
        <v>110</v>
      </c>
      <c r="G261" s="32" t="s">
        <v>101</v>
      </c>
      <c r="H261" s="32"/>
      <c r="I261" s="38"/>
      <c r="J261" s="33" t="s">
        <v>1071</v>
      </c>
      <c r="K261" s="36"/>
      <c r="L261" s="36"/>
      <c r="M261" s="36"/>
      <c r="N261" s="36"/>
      <c r="O261" s="33" t="s">
        <v>1072</v>
      </c>
      <c r="P261" s="36" t="s">
        <v>361</v>
      </c>
      <c r="Q261" s="100"/>
      <c r="R261" s="100"/>
      <c r="S261" s="100"/>
      <c r="T261" s="100"/>
      <c r="U261" s="100"/>
      <c r="V261" s="100"/>
      <c r="W261" s="100">
        <v>425</v>
      </c>
      <c r="X261" s="100"/>
      <c r="Y261" s="100"/>
      <c r="Z261" s="100"/>
      <c r="AA261" s="100"/>
      <c r="AB261" s="100"/>
      <c r="AC261" s="36"/>
      <c r="AD261" s="37"/>
      <c r="AE261" s="37"/>
      <c r="AF261" s="37"/>
      <c r="AG261" s="37"/>
      <c r="AH261" s="34"/>
      <c r="AI261" s="45"/>
      <c r="AJ261" s="37">
        <v>0</v>
      </c>
      <c r="AK261" s="46">
        <v>0</v>
      </c>
      <c r="AL261" s="47">
        <f t="shared" si="245"/>
        <v>0</v>
      </c>
      <c r="AM261" s="47"/>
      <c r="AN261" s="45"/>
      <c r="AO261" s="45"/>
      <c r="AP261" s="45"/>
      <c r="AQ261" s="45"/>
      <c r="AR261" s="54">
        <v>350</v>
      </c>
      <c r="AS261" s="46">
        <v>0.5</v>
      </c>
      <c r="AT261" s="45">
        <f t="shared" si="246"/>
        <v>175</v>
      </c>
      <c r="AU261" s="48"/>
      <c r="AV261" s="49">
        <f>AU261*AS261</f>
        <v>0</v>
      </c>
      <c r="AW261" s="48"/>
      <c r="AY261" s="54">
        <v>350</v>
      </c>
      <c r="AZ261" s="46">
        <v>0.5</v>
      </c>
      <c r="BA261" s="45">
        <f t="shared" si="247"/>
        <v>175</v>
      </c>
      <c r="BB261" s="39">
        <f t="shared" si="248"/>
        <v>0</v>
      </c>
      <c r="BE261" s="54">
        <v>350</v>
      </c>
      <c r="BF261" s="46">
        <v>0.5</v>
      </c>
      <c r="BG261" s="45">
        <f t="shared" si="249"/>
        <v>175</v>
      </c>
      <c r="BH261" s="45"/>
      <c r="BI261" s="39">
        <f t="shared" si="250"/>
        <v>0</v>
      </c>
      <c r="BJ261" s="39"/>
      <c r="BM261" s="54">
        <v>350</v>
      </c>
      <c r="BN261" s="46">
        <v>0.5</v>
      </c>
      <c r="BO261" s="45">
        <f t="shared" si="251"/>
        <v>175</v>
      </c>
      <c r="BP261" s="45"/>
      <c r="BQ261" s="92">
        <f t="shared" si="252"/>
        <v>0</v>
      </c>
      <c r="BR261" s="59"/>
      <c r="BU261" s="54">
        <v>850</v>
      </c>
      <c r="BV261" s="46">
        <v>0.5</v>
      </c>
      <c r="BW261" s="39">
        <f t="shared" si="253"/>
        <v>425</v>
      </c>
      <c r="BX261" s="118">
        <f t="shared" si="254"/>
        <v>250</v>
      </c>
      <c r="BY261" s="2" t="s">
        <v>1073</v>
      </c>
      <c r="CA261" s="54">
        <v>850</v>
      </c>
      <c r="CB261" s="46">
        <v>0.5</v>
      </c>
      <c r="CC261" s="39">
        <f t="shared" si="240"/>
        <v>425</v>
      </c>
      <c r="CD261" s="100"/>
      <c r="CE261" s="92">
        <f t="shared" si="241"/>
        <v>0</v>
      </c>
      <c r="CF261" s="92">
        <f t="shared" si="242"/>
        <v>0</v>
      </c>
      <c r="CG261" s="50" t="s">
        <v>1074</v>
      </c>
      <c r="CI261" s="54">
        <v>850</v>
      </c>
      <c r="CJ261" s="46">
        <v>0.5</v>
      </c>
      <c r="CK261" s="39">
        <f t="shared" si="243"/>
        <v>425</v>
      </c>
      <c r="CL261" s="92">
        <f t="shared" si="244"/>
        <v>0</v>
      </c>
      <c r="CM261" s="50" t="s">
        <v>1075</v>
      </c>
      <c r="CN261" s="17"/>
      <c r="CO261" s="54">
        <v>850</v>
      </c>
      <c r="CP261" s="46">
        <v>0.5</v>
      </c>
      <c r="CQ261" s="39">
        <f t="shared" si="227"/>
        <v>425</v>
      </c>
      <c r="CR261" s="92">
        <f t="shared" si="228"/>
        <v>0</v>
      </c>
      <c r="CS261" s="91" t="s">
        <v>1076</v>
      </c>
      <c r="CT261" s="17"/>
      <c r="CW261" s="100"/>
      <c r="CX261" s="54">
        <v>600</v>
      </c>
      <c r="CY261" s="46">
        <v>0.5</v>
      </c>
      <c r="CZ261" s="39">
        <f t="shared" si="235"/>
        <v>300</v>
      </c>
      <c r="DA261" s="168">
        <f t="shared" si="239"/>
        <v>-125</v>
      </c>
      <c r="DB261" s="168"/>
      <c r="DC261" s="168"/>
      <c r="DD261" s="192"/>
      <c r="DE261" s="192"/>
      <c r="DF261" s="54">
        <v>600</v>
      </c>
      <c r="DG261" s="46">
        <v>0.5</v>
      </c>
      <c r="DH261" s="39">
        <f t="shared" si="237"/>
        <v>300</v>
      </c>
      <c r="DI261" s="168">
        <f t="shared" si="255"/>
        <v>0</v>
      </c>
      <c r="DJ261" s="168">
        <f t="shared" si="236"/>
        <v>300</v>
      </c>
      <c r="DK261" s="168"/>
      <c r="DL261" s="168"/>
      <c r="DM261" s="168"/>
      <c r="DN261" s="92">
        <f t="shared" si="238"/>
        <v>300</v>
      </c>
      <c r="DO261" s="118">
        <v>0</v>
      </c>
      <c r="DP261" s="118">
        <v>0</v>
      </c>
      <c r="DQ261" s="118">
        <v>0</v>
      </c>
      <c r="DR261" s="118">
        <v>0</v>
      </c>
      <c r="DS261" s="118">
        <v>0</v>
      </c>
      <c r="DT261" s="118">
        <v>0</v>
      </c>
      <c r="DU261" s="118">
        <v>0</v>
      </c>
      <c r="DV261" s="118">
        <v>0</v>
      </c>
      <c r="DW261" s="118">
        <v>0</v>
      </c>
      <c r="DX261" s="118">
        <v>0</v>
      </c>
      <c r="DY261" s="118">
        <v>100</v>
      </c>
      <c r="DZ261" s="118">
        <v>200</v>
      </c>
    </row>
    <row r="262" spans="1:130" s="50" customFormat="1" ht="16.25" customHeight="1" x14ac:dyDescent="0.4">
      <c r="A262" s="36" t="s">
        <v>19</v>
      </c>
      <c r="B262" s="36" t="s">
        <v>1051</v>
      </c>
      <c r="C262" s="36" t="s">
        <v>1052</v>
      </c>
      <c r="D262" s="16" t="s">
        <v>1077</v>
      </c>
      <c r="E262" s="38" t="s">
        <v>1078</v>
      </c>
      <c r="F262" s="38" t="s">
        <v>110</v>
      </c>
      <c r="G262" s="32" t="s">
        <v>101</v>
      </c>
      <c r="H262" s="32"/>
      <c r="I262" s="38"/>
      <c r="J262" s="38" t="s">
        <v>1079</v>
      </c>
      <c r="K262" s="36"/>
      <c r="L262" s="36"/>
      <c r="M262" s="36"/>
      <c r="N262" s="36"/>
      <c r="O262" s="38" t="s">
        <v>275</v>
      </c>
      <c r="P262" s="36" t="s">
        <v>193</v>
      </c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36"/>
      <c r="AD262" s="37"/>
      <c r="AE262" s="37"/>
      <c r="AF262" s="37"/>
      <c r="AG262" s="37"/>
      <c r="AH262" s="34"/>
      <c r="AI262" s="45"/>
      <c r="AJ262" s="37">
        <v>0</v>
      </c>
      <c r="AK262" s="46">
        <v>0</v>
      </c>
      <c r="AL262" s="47">
        <f t="shared" si="245"/>
        <v>0</v>
      </c>
      <c r="AM262" s="47"/>
      <c r="AN262" s="37"/>
      <c r="AO262" s="37"/>
      <c r="AP262" s="37"/>
      <c r="AQ262" s="37"/>
      <c r="AR262" s="54">
        <v>300</v>
      </c>
      <c r="AS262" s="46">
        <v>0.5</v>
      </c>
      <c r="AT262" s="45">
        <f t="shared" si="246"/>
        <v>150</v>
      </c>
      <c r="AU262" s="48"/>
      <c r="AV262" s="49">
        <f>AU262*AS262</f>
        <v>0</v>
      </c>
      <c r="AW262" s="48"/>
      <c r="AY262" s="54">
        <v>300</v>
      </c>
      <c r="AZ262" s="46">
        <v>0.5</v>
      </c>
      <c r="BA262" s="45">
        <f t="shared" si="247"/>
        <v>150</v>
      </c>
      <c r="BB262" s="39">
        <f t="shared" si="248"/>
        <v>0</v>
      </c>
      <c r="BE262" s="54">
        <v>300</v>
      </c>
      <c r="BF262" s="46">
        <v>0.5</v>
      </c>
      <c r="BG262" s="45">
        <f t="shared" si="249"/>
        <v>150</v>
      </c>
      <c r="BH262" s="45"/>
      <c r="BI262" s="39">
        <f t="shared" si="250"/>
        <v>0</v>
      </c>
      <c r="BJ262" s="39"/>
      <c r="BM262" s="54">
        <v>300</v>
      </c>
      <c r="BN262" s="46">
        <v>0.5</v>
      </c>
      <c r="BO262" s="45">
        <f t="shared" si="251"/>
        <v>150</v>
      </c>
      <c r="BP262" s="45"/>
      <c r="BQ262" s="92">
        <f t="shared" si="252"/>
        <v>0</v>
      </c>
      <c r="BR262" s="59"/>
      <c r="BU262" s="54">
        <v>0</v>
      </c>
      <c r="BV262" s="46">
        <v>0.5</v>
      </c>
      <c r="BW262" s="39">
        <f t="shared" si="253"/>
        <v>0</v>
      </c>
      <c r="BX262" s="118">
        <f t="shared" si="254"/>
        <v>-150</v>
      </c>
      <c r="BY262" t="s">
        <v>1080</v>
      </c>
      <c r="CA262" s="54">
        <v>0</v>
      </c>
      <c r="CB262" s="46">
        <v>0.5</v>
      </c>
      <c r="CC262" s="39">
        <f t="shared" si="240"/>
        <v>0</v>
      </c>
      <c r="CD262" s="100"/>
      <c r="CE262" s="92">
        <f t="shared" si="241"/>
        <v>0</v>
      </c>
      <c r="CF262" s="92">
        <f t="shared" si="242"/>
        <v>0</v>
      </c>
      <c r="CI262" s="54">
        <v>0</v>
      </c>
      <c r="CJ262" s="46">
        <v>0.5</v>
      </c>
      <c r="CK262" s="39">
        <f t="shared" si="243"/>
        <v>0</v>
      </c>
      <c r="CL262" s="92">
        <f t="shared" si="244"/>
        <v>0</v>
      </c>
      <c r="CN262" s="17"/>
      <c r="CO262" s="54">
        <v>0</v>
      </c>
      <c r="CP262" s="46">
        <v>0.5</v>
      </c>
      <c r="CQ262" s="39">
        <f t="shared" si="227"/>
        <v>0</v>
      </c>
      <c r="CR262" s="92">
        <f t="shared" si="228"/>
        <v>0</v>
      </c>
      <c r="CS262" s="17"/>
      <c r="CT262" s="17"/>
      <c r="CW262" s="100"/>
      <c r="CX262" s="54">
        <v>0</v>
      </c>
      <c r="CY262" s="46">
        <v>0.5</v>
      </c>
      <c r="CZ262" s="39">
        <f t="shared" si="235"/>
        <v>0</v>
      </c>
      <c r="DA262" s="168">
        <f t="shared" si="239"/>
        <v>0</v>
      </c>
      <c r="DB262" s="168"/>
      <c r="DC262" s="168"/>
      <c r="DD262" s="192"/>
      <c r="DE262" s="192"/>
      <c r="DF262" s="54">
        <v>0</v>
      </c>
      <c r="DG262" s="46">
        <v>0.5</v>
      </c>
      <c r="DH262" s="39">
        <f t="shared" si="237"/>
        <v>0</v>
      </c>
      <c r="DI262" s="168">
        <f t="shared" si="255"/>
        <v>0</v>
      </c>
      <c r="DJ262" s="168">
        <f t="shared" si="236"/>
        <v>0</v>
      </c>
      <c r="DK262" s="168"/>
      <c r="DL262" s="168"/>
      <c r="DM262" s="168"/>
      <c r="DN262" s="92">
        <f t="shared" si="238"/>
        <v>0</v>
      </c>
      <c r="DO262" s="118">
        <v>0</v>
      </c>
      <c r="DP262" s="118">
        <v>0</v>
      </c>
      <c r="DQ262" s="118">
        <v>0</v>
      </c>
      <c r="DR262" s="118">
        <v>0</v>
      </c>
      <c r="DS262" s="118">
        <v>0</v>
      </c>
      <c r="DT262" s="118">
        <v>0</v>
      </c>
      <c r="DU262" s="118">
        <v>0</v>
      </c>
      <c r="DV262" s="118">
        <v>0</v>
      </c>
      <c r="DW262" s="118">
        <v>0</v>
      </c>
      <c r="DX262" s="118">
        <v>0</v>
      </c>
      <c r="DY262" s="118">
        <v>0</v>
      </c>
      <c r="DZ262" s="118">
        <v>0</v>
      </c>
    </row>
    <row r="263" spans="1:130" s="50" customFormat="1" ht="16.25" customHeight="1" x14ac:dyDescent="0.4">
      <c r="A263" s="36" t="s">
        <v>19</v>
      </c>
      <c r="B263" s="36" t="s">
        <v>1051</v>
      </c>
      <c r="C263" s="36" t="s">
        <v>1052</v>
      </c>
      <c r="D263" s="16" t="s">
        <v>1081</v>
      </c>
      <c r="E263" s="38" t="s">
        <v>1082</v>
      </c>
      <c r="F263" s="38" t="s">
        <v>110</v>
      </c>
      <c r="G263" s="32" t="s">
        <v>101</v>
      </c>
      <c r="H263" s="32"/>
      <c r="I263" s="38"/>
      <c r="J263" s="38" t="s">
        <v>1083</v>
      </c>
      <c r="K263" s="38"/>
      <c r="L263" s="38"/>
      <c r="M263" s="38"/>
      <c r="N263" s="38"/>
      <c r="O263" s="38" t="s">
        <v>275</v>
      </c>
      <c r="P263" s="36" t="s">
        <v>193</v>
      </c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36"/>
      <c r="AD263" s="37"/>
      <c r="AE263" s="37"/>
      <c r="AF263" s="37"/>
      <c r="AG263" s="37"/>
      <c r="AH263" s="34"/>
      <c r="AI263" s="45"/>
      <c r="AJ263" s="37">
        <v>0</v>
      </c>
      <c r="AK263" s="46">
        <v>0</v>
      </c>
      <c r="AL263" s="47">
        <f t="shared" si="245"/>
        <v>0</v>
      </c>
      <c r="AM263" s="47"/>
      <c r="AN263" s="45"/>
      <c r="AO263" s="45"/>
      <c r="AP263" s="45"/>
      <c r="AQ263" s="45"/>
      <c r="AR263" s="54">
        <v>200</v>
      </c>
      <c r="AS263" s="46">
        <v>0.5</v>
      </c>
      <c r="AT263" s="45">
        <f t="shared" si="246"/>
        <v>100</v>
      </c>
      <c r="AU263" s="48"/>
      <c r="AV263" s="49">
        <f>AU263*AS263</f>
        <v>0</v>
      </c>
      <c r="AW263" s="48"/>
      <c r="AY263" s="54">
        <v>200</v>
      </c>
      <c r="AZ263" s="46">
        <v>0.5</v>
      </c>
      <c r="BA263" s="45">
        <f t="shared" si="247"/>
        <v>100</v>
      </c>
      <c r="BB263" s="39">
        <f t="shared" si="248"/>
        <v>0</v>
      </c>
      <c r="BE263" s="54">
        <v>200</v>
      </c>
      <c r="BF263" s="46">
        <v>0.5</v>
      </c>
      <c r="BG263" s="45">
        <f t="shared" si="249"/>
        <v>100</v>
      </c>
      <c r="BH263" s="45"/>
      <c r="BI263" s="39">
        <f t="shared" si="250"/>
        <v>0</v>
      </c>
      <c r="BJ263" s="39"/>
      <c r="BM263" s="54">
        <v>200</v>
      </c>
      <c r="BN263" s="46">
        <v>0.5</v>
      </c>
      <c r="BO263" s="45">
        <f t="shared" si="251"/>
        <v>100</v>
      </c>
      <c r="BP263" s="45"/>
      <c r="BQ263" s="92">
        <f t="shared" si="252"/>
        <v>0</v>
      </c>
      <c r="BR263" s="59"/>
      <c r="BU263" s="54">
        <v>0</v>
      </c>
      <c r="BV263" s="46">
        <v>0.5</v>
      </c>
      <c r="BW263" s="39">
        <f t="shared" si="253"/>
        <v>0</v>
      </c>
      <c r="BX263" s="118">
        <f t="shared" si="254"/>
        <v>-100</v>
      </c>
      <c r="BY263" t="s">
        <v>1080</v>
      </c>
      <c r="CA263" s="54">
        <v>0</v>
      </c>
      <c r="CB263" s="46">
        <v>0.5</v>
      </c>
      <c r="CC263" s="39">
        <f t="shared" si="240"/>
        <v>0</v>
      </c>
      <c r="CD263" s="100"/>
      <c r="CE263" s="92">
        <f t="shared" si="241"/>
        <v>0</v>
      </c>
      <c r="CF263" s="92">
        <f t="shared" si="242"/>
        <v>0</v>
      </c>
      <c r="CI263" s="54">
        <v>0</v>
      </c>
      <c r="CJ263" s="46">
        <v>0.5</v>
      </c>
      <c r="CK263" s="39">
        <f t="shared" si="243"/>
        <v>0</v>
      </c>
      <c r="CL263" s="92">
        <f t="shared" si="244"/>
        <v>0</v>
      </c>
      <c r="CN263" s="17"/>
      <c r="CO263" s="54">
        <v>0</v>
      </c>
      <c r="CP263" s="46">
        <v>0.5</v>
      </c>
      <c r="CQ263" s="39">
        <f t="shared" si="227"/>
        <v>0</v>
      </c>
      <c r="CR263" s="92">
        <f t="shared" si="228"/>
        <v>0</v>
      </c>
      <c r="CS263" s="17"/>
      <c r="CT263" s="17"/>
      <c r="CW263" s="100"/>
      <c r="CX263" s="54">
        <v>0</v>
      </c>
      <c r="CY263" s="46">
        <v>0.5</v>
      </c>
      <c r="CZ263" s="39">
        <f t="shared" si="235"/>
        <v>0</v>
      </c>
      <c r="DA263" s="168">
        <f t="shared" si="239"/>
        <v>0</v>
      </c>
      <c r="DB263" s="168"/>
      <c r="DC263" s="168"/>
      <c r="DD263" s="192"/>
      <c r="DE263" s="192"/>
      <c r="DF263" s="54">
        <v>0</v>
      </c>
      <c r="DG263" s="46">
        <v>0.5</v>
      </c>
      <c r="DH263" s="39">
        <f t="shared" si="237"/>
        <v>0</v>
      </c>
      <c r="DI263" s="168">
        <f t="shared" si="255"/>
        <v>0</v>
      </c>
      <c r="DJ263" s="168">
        <f t="shared" si="236"/>
        <v>0</v>
      </c>
      <c r="DK263" s="168"/>
      <c r="DL263" s="168"/>
      <c r="DM263" s="168"/>
      <c r="DN263" s="92">
        <f t="shared" si="238"/>
        <v>0</v>
      </c>
      <c r="DO263" s="118">
        <v>0</v>
      </c>
      <c r="DP263" s="118">
        <v>0</v>
      </c>
      <c r="DQ263" s="118">
        <v>0</v>
      </c>
      <c r="DR263" s="118">
        <v>0</v>
      </c>
      <c r="DS263" s="118">
        <v>0</v>
      </c>
      <c r="DT263" s="118">
        <v>0</v>
      </c>
      <c r="DU263" s="118">
        <v>0</v>
      </c>
      <c r="DV263" s="118">
        <v>0</v>
      </c>
      <c r="DW263" s="118">
        <v>0</v>
      </c>
      <c r="DX263" s="118">
        <v>0</v>
      </c>
      <c r="DY263" s="118">
        <v>0</v>
      </c>
      <c r="DZ263" s="118">
        <v>0</v>
      </c>
    </row>
    <row r="264" spans="1:130" s="50" customFormat="1" ht="16.25" customHeight="1" x14ac:dyDescent="0.35">
      <c r="A264" s="36" t="s">
        <v>19</v>
      </c>
      <c r="B264" s="36" t="s">
        <v>1051</v>
      </c>
      <c r="C264" s="36" t="s">
        <v>1052</v>
      </c>
      <c r="D264" s="16" t="s">
        <v>193</v>
      </c>
      <c r="E264" s="38" t="s">
        <v>1084</v>
      </c>
      <c r="F264" s="38" t="s">
        <v>110</v>
      </c>
      <c r="G264" s="32" t="s">
        <v>101</v>
      </c>
      <c r="H264" s="32"/>
      <c r="I264" s="38"/>
      <c r="J264" s="38"/>
      <c r="K264" s="36"/>
      <c r="L264" s="36"/>
      <c r="M264" s="36"/>
      <c r="N264" s="36"/>
      <c r="O264" s="38"/>
      <c r="P264" s="36" t="s">
        <v>193</v>
      </c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36"/>
      <c r="AD264" s="37"/>
      <c r="AE264" s="46"/>
      <c r="AF264" s="37"/>
      <c r="AG264" s="37"/>
      <c r="AH264" s="34"/>
      <c r="AI264" s="45"/>
      <c r="AJ264" s="37">
        <v>0</v>
      </c>
      <c r="AK264" s="46">
        <v>0</v>
      </c>
      <c r="AL264" s="47">
        <f t="shared" si="245"/>
        <v>0</v>
      </c>
      <c r="AM264" s="47"/>
      <c r="AN264" s="37"/>
      <c r="AO264" s="37"/>
      <c r="AP264" s="37"/>
      <c r="AQ264" s="37"/>
      <c r="AR264" s="37">
        <v>0</v>
      </c>
      <c r="AS264" s="46">
        <v>0</v>
      </c>
      <c r="AT264" s="47">
        <f t="shared" si="246"/>
        <v>0</v>
      </c>
      <c r="AU264" s="48"/>
      <c r="AV264" s="49"/>
      <c r="AW264" s="48"/>
      <c r="AY264" s="37">
        <v>0</v>
      </c>
      <c r="AZ264" s="46">
        <v>0</v>
      </c>
      <c r="BA264" s="47">
        <f t="shared" si="247"/>
        <v>0</v>
      </c>
      <c r="BB264" s="39">
        <f t="shared" si="248"/>
        <v>0</v>
      </c>
      <c r="BE264" s="37">
        <v>0</v>
      </c>
      <c r="BF264" s="46">
        <v>0</v>
      </c>
      <c r="BG264" s="47">
        <f t="shared" si="249"/>
        <v>0</v>
      </c>
      <c r="BH264" s="47"/>
      <c r="BI264" s="39">
        <f t="shared" si="250"/>
        <v>0</v>
      </c>
      <c r="BJ264" s="39"/>
      <c r="BM264" s="37">
        <v>0</v>
      </c>
      <c r="BN264" s="46">
        <v>0</v>
      </c>
      <c r="BO264" s="47">
        <f t="shared" si="251"/>
        <v>0</v>
      </c>
      <c r="BP264" s="47"/>
      <c r="BQ264" s="92">
        <f t="shared" si="252"/>
        <v>0</v>
      </c>
      <c r="BR264" s="59"/>
      <c r="BU264" s="37">
        <v>0</v>
      </c>
      <c r="BV264" s="46">
        <v>0</v>
      </c>
      <c r="BW264" s="39">
        <f t="shared" si="253"/>
        <v>0</v>
      </c>
      <c r="BX264" s="118">
        <f t="shared" si="254"/>
        <v>0</v>
      </c>
      <c r="CA264" s="37">
        <v>0</v>
      </c>
      <c r="CB264" s="46">
        <v>0</v>
      </c>
      <c r="CC264" s="39">
        <f t="shared" si="240"/>
        <v>0</v>
      </c>
      <c r="CD264" s="100"/>
      <c r="CE264" s="92">
        <f t="shared" si="241"/>
        <v>0</v>
      </c>
      <c r="CF264" s="92">
        <f t="shared" si="242"/>
        <v>0</v>
      </c>
      <c r="CI264" s="37">
        <v>0</v>
      </c>
      <c r="CJ264" s="46">
        <v>0</v>
      </c>
      <c r="CK264" s="39">
        <f t="shared" si="243"/>
        <v>0</v>
      </c>
      <c r="CL264" s="92">
        <f t="shared" si="244"/>
        <v>0</v>
      </c>
      <c r="CN264" s="17"/>
      <c r="CO264" s="37">
        <v>0</v>
      </c>
      <c r="CP264" s="46">
        <v>0</v>
      </c>
      <c r="CQ264" s="39">
        <f t="shared" si="227"/>
        <v>0</v>
      </c>
      <c r="CR264" s="92">
        <f t="shared" si="228"/>
        <v>0</v>
      </c>
      <c r="CS264" s="17"/>
      <c r="CT264" s="17"/>
      <c r="CW264" s="100"/>
      <c r="CX264" s="37">
        <v>0</v>
      </c>
      <c r="CY264" s="46">
        <v>0</v>
      </c>
      <c r="CZ264" s="39">
        <f t="shared" si="235"/>
        <v>0</v>
      </c>
      <c r="DA264" s="168">
        <f t="shared" si="239"/>
        <v>0</v>
      </c>
      <c r="DB264" s="168"/>
      <c r="DC264" s="168"/>
      <c r="DD264" s="192"/>
      <c r="DE264" s="192"/>
      <c r="DF264" s="37">
        <v>0</v>
      </c>
      <c r="DG264" s="46">
        <v>0</v>
      </c>
      <c r="DH264" s="39">
        <f t="shared" si="237"/>
        <v>0</v>
      </c>
      <c r="DI264" s="168">
        <f t="shared" si="255"/>
        <v>0</v>
      </c>
      <c r="DJ264" s="168">
        <f t="shared" si="236"/>
        <v>0</v>
      </c>
      <c r="DK264" s="168"/>
      <c r="DL264" s="168"/>
      <c r="DM264" s="168"/>
      <c r="DN264" s="92">
        <f t="shared" si="238"/>
        <v>0</v>
      </c>
      <c r="DO264" s="118">
        <v>0</v>
      </c>
      <c r="DP264" s="118">
        <v>0</v>
      </c>
      <c r="DQ264" s="118">
        <v>0</v>
      </c>
      <c r="DR264" s="118">
        <v>0</v>
      </c>
      <c r="DS264" s="118">
        <v>0</v>
      </c>
      <c r="DT264" s="118">
        <v>0</v>
      </c>
      <c r="DU264" s="118">
        <v>0</v>
      </c>
      <c r="DV264" s="118">
        <v>0</v>
      </c>
      <c r="DW264" s="118">
        <v>0</v>
      </c>
      <c r="DX264" s="118">
        <v>0</v>
      </c>
      <c r="DY264" s="118">
        <v>0</v>
      </c>
      <c r="DZ264" s="118">
        <v>0</v>
      </c>
    </row>
    <row r="265" spans="1:130" s="50" customFormat="1" ht="16.25" customHeight="1" x14ac:dyDescent="0.35">
      <c r="A265" s="36" t="s">
        <v>19</v>
      </c>
      <c r="B265" s="36" t="s">
        <v>1085</v>
      </c>
      <c r="C265" s="36" t="s">
        <v>172</v>
      </c>
      <c r="D265" s="16" t="s">
        <v>1086</v>
      </c>
      <c r="E265" s="38" t="s">
        <v>1087</v>
      </c>
      <c r="F265" s="38" t="s">
        <v>213</v>
      </c>
      <c r="G265" s="32" t="s">
        <v>101</v>
      </c>
      <c r="H265" s="32"/>
      <c r="I265" s="32" t="s">
        <v>551</v>
      </c>
      <c r="J265" s="38"/>
      <c r="K265" s="38"/>
      <c r="L265" s="38"/>
      <c r="M265" s="38"/>
      <c r="N265" s="36"/>
      <c r="O265" s="38"/>
      <c r="P265" s="36" t="s">
        <v>170</v>
      </c>
      <c r="Q265" s="100">
        <f>CK265</f>
        <v>141.25</v>
      </c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36"/>
      <c r="AD265" s="39"/>
      <c r="AE265" s="39"/>
      <c r="AF265" s="37"/>
      <c r="AG265" s="37"/>
      <c r="AH265" s="34"/>
      <c r="AI265" s="45"/>
      <c r="AJ265" s="37">
        <v>37</v>
      </c>
      <c r="AK265" s="46">
        <v>1</v>
      </c>
      <c r="AL265" s="47">
        <f t="shared" si="245"/>
        <v>37</v>
      </c>
      <c r="AM265" s="47"/>
      <c r="AN265" s="45"/>
      <c r="AO265" s="45"/>
      <c r="AP265" s="45"/>
      <c r="AQ265" s="45"/>
      <c r="AR265" s="37">
        <f>(1300*90%-40)*50%</f>
        <v>565</v>
      </c>
      <c r="AS265" s="40">
        <v>0.75</v>
      </c>
      <c r="AT265" s="44">
        <f t="shared" si="246"/>
        <v>423.75</v>
      </c>
      <c r="AU265" s="48"/>
      <c r="AV265" s="49"/>
      <c r="AW265" s="48"/>
      <c r="AY265" s="37">
        <v>565</v>
      </c>
      <c r="AZ265" s="40">
        <v>0.75</v>
      </c>
      <c r="BA265" s="44">
        <f t="shared" si="247"/>
        <v>423.75</v>
      </c>
      <c r="BB265" s="39">
        <f t="shared" si="248"/>
        <v>0</v>
      </c>
      <c r="BE265" s="37">
        <v>565</v>
      </c>
      <c r="BF265" s="40">
        <v>0.75</v>
      </c>
      <c r="BG265" s="44">
        <f t="shared" si="249"/>
        <v>423.75</v>
      </c>
      <c r="BH265" s="44"/>
      <c r="BI265" s="39">
        <f t="shared" si="250"/>
        <v>0</v>
      </c>
      <c r="BJ265" s="39"/>
      <c r="BM265" s="37">
        <v>565</v>
      </c>
      <c r="BN265" s="40">
        <v>0.25</v>
      </c>
      <c r="BO265" s="44">
        <f t="shared" si="251"/>
        <v>141.25</v>
      </c>
      <c r="BP265" s="44"/>
      <c r="BQ265" s="92">
        <f t="shared" si="252"/>
        <v>-282.5</v>
      </c>
      <c r="BR265" s="50" t="s">
        <v>1088</v>
      </c>
      <c r="BU265" s="37">
        <v>565</v>
      </c>
      <c r="BV265" s="40">
        <v>0.25</v>
      </c>
      <c r="BW265" s="39">
        <f t="shared" si="253"/>
        <v>141.25</v>
      </c>
      <c r="BX265" s="118">
        <f t="shared" si="254"/>
        <v>0</v>
      </c>
      <c r="CA265" s="37">
        <v>565</v>
      </c>
      <c r="CB265" s="40">
        <v>0.25</v>
      </c>
      <c r="CC265" s="39">
        <f t="shared" si="240"/>
        <v>141.25</v>
      </c>
      <c r="CD265" s="100"/>
      <c r="CE265" s="92">
        <f t="shared" si="241"/>
        <v>0</v>
      </c>
      <c r="CF265" s="92">
        <f t="shared" si="242"/>
        <v>0</v>
      </c>
      <c r="CI265" s="37">
        <v>565</v>
      </c>
      <c r="CJ265" s="40">
        <v>0.25</v>
      </c>
      <c r="CK265" s="39">
        <f t="shared" si="243"/>
        <v>141.25</v>
      </c>
      <c r="CL265" s="92">
        <f t="shared" si="244"/>
        <v>0</v>
      </c>
      <c r="CN265" s="17"/>
      <c r="CO265" s="37">
        <v>565</v>
      </c>
      <c r="CP265" s="40">
        <v>0.25</v>
      </c>
      <c r="CQ265" s="191">
        <f t="shared" si="227"/>
        <v>141.25</v>
      </c>
      <c r="CR265" s="92">
        <f t="shared" si="228"/>
        <v>0</v>
      </c>
      <c r="CS265" s="17"/>
      <c r="CT265" s="17"/>
      <c r="CW265" s="100"/>
      <c r="CX265" s="37">
        <v>4</v>
      </c>
      <c r="CY265" s="40">
        <v>1</v>
      </c>
      <c r="CZ265" s="39">
        <f t="shared" si="235"/>
        <v>4</v>
      </c>
      <c r="DA265" s="168">
        <f t="shared" si="239"/>
        <v>-137.25</v>
      </c>
      <c r="DB265" s="168"/>
      <c r="DC265" s="168"/>
      <c r="DD265" s="192" t="s">
        <v>1089</v>
      </c>
      <c r="DE265" s="192"/>
      <c r="DF265" s="37">
        <v>4</v>
      </c>
      <c r="DG265" s="40">
        <v>1</v>
      </c>
      <c r="DH265" s="39">
        <f t="shared" si="237"/>
        <v>4</v>
      </c>
      <c r="DI265" s="168">
        <f t="shared" si="255"/>
        <v>0</v>
      </c>
      <c r="DJ265" s="168">
        <f t="shared" si="236"/>
        <v>4</v>
      </c>
      <c r="DK265" s="168"/>
      <c r="DL265" s="168"/>
      <c r="DM265" s="168"/>
      <c r="DN265" s="92">
        <f t="shared" si="238"/>
        <v>4.4690000000000003</v>
      </c>
      <c r="DO265" s="118">
        <v>1.9390000000000001</v>
      </c>
      <c r="DP265" s="118">
        <v>0</v>
      </c>
      <c r="DQ265" s="118">
        <v>0.24</v>
      </c>
      <c r="DR265" s="118">
        <v>2.29</v>
      </c>
      <c r="DS265" s="118">
        <v>0</v>
      </c>
      <c r="DT265" s="118">
        <v>0</v>
      </c>
      <c r="DU265" s="118">
        <v>0</v>
      </c>
      <c r="DV265" s="118">
        <v>0</v>
      </c>
      <c r="DW265" s="118">
        <v>0</v>
      </c>
      <c r="DX265" s="118">
        <v>0</v>
      </c>
      <c r="DY265" s="118">
        <v>0</v>
      </c>
      <c r="DZ265" s="118">
        <v>0</v>
      </c>
    </row>
    <row r="266" spans="1:130" s="50" customFormat="1" ht="16.25" customHeight="1" x14ac:dyDescent="0.35">
      <c r="A266" s="36" t="s">
        <v>19</v>
      </c>
      <c r="B266" s="36" t="s">
        <v>1085</v>
      </c>
      <c r="C266" s="36" t="s">
        <v>27</v>
      </c>
      <c r="D266" s="16" t="s">
        <v>1090</v>
      </c>
      <c r="E266" s="38" t="s">
        <v>1091</v>
      </c>
      <c r="F266" s="38" t="s">
        <v>110</v>
      </c>
      <c r="G266" s="32" t="s">
        <v>101</v>
      </c>
      <c r="H266" s="32"/>
      <c r="I266" s="36" t="s">
        <v>103</v>
      </c>
      <c r="J266" s="38" t="s">
        <v>1092</v>
      </c>
      <c r="K266" s="36" t="s">
        <v>1093</v>
      </c>
      <c r="L266" s="36" t="s">
        <v>149</v>
      </c>
      <c r="M266" s="36" t="s">
        <v>201</v>
      </c>
      <c r="N266" s="36" t="s">
        <v>201</v>
      </c>
      <c r="O266" s="38"/>
      <c r="P266" s="36" t="s">
        <v>111</v>
      </c>
      <c r="Q266" s="100">
        <v>0</v>
      </c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36"/>
      <c r="AD266" s="39">
        <v>650</v>
      </c>
      <c r="AE266" s="39">
        <v>570</v>
      </c>
      <c r="AF266" s="37"/>
      <c r="AG266" s="37"/>
      <c r="AH266" s="34"/>
      <c r="AI266" s="45"/>
      <c r="AJ266" s="37">
        <v>82</v>
      </c>
      <c r="AK266" s="46">
        <v>1</v>
      </c>
      <c r="AL266" s="47">
        <f t="shared" si="245"/>
        <v>82</v>
      </c>
      <c r="AM266" s="47"/>
      <c r="AN266" s="45"/>
      <c r="AO266" s="45"/>
      <c r="AP266" s="45"/>
      <c r="AQ266" s="45"/>
      <c r="AR266" s="54">
        <v>450</v>
      </c>
      <c r="AS266" s="40">
        <v>0.9</v>
      </c>
      <c r="AT266" s="39">
        <f t="shared" si="246"/>
        <v>405</v>
      </c>
      <c r="AU266" s="48"/>
      <c r="AV266" s="49">
        <f>AU266*AS266</f>
        <v>0</v>
      </c>
      <c r="AW266" s="48"/>
      <c r="AY266" s="54">
        <v>450</v>
      </c>
      <c r="AZ266" s="40">
        <v>0.9</v>
      </c>
      <c r="BA266" s="39">
        <f t="shared" si="247"/>
        <v>405</v>
      </c>
      <c r="BB266" s="39">
        <f t="shared" si="248"/>
        <v>0</v>
      </c>
      <c r="BE266" s="54">
        <f>570-(28+19)</f>
        <v>523</v>
      </c>
      <c r="BF266" s="40">
        <v>1</v>
      </c>
      <c r="BG266" s="39">
        <f t="shared" si="249"/>
        <v>523</v>
      </c>
      <c r="BH266" s="39"/>
      <c r="BI266" s="39">
        <f t="shared" si="250"/>
        <v>118</v>
      </c>
      <c r="BJ266" s="39"/>
      <c r="BM266" s="54">
        <f>650-(28+19)</f>
        <v>603</v>
      </c>
      <c r="BN266" s="40">
        <v>0.75</v>
      </c>
      <c r="BO266" s="39">
        <f t="shared" si="251"/>
        <v>452.25</v>
      </c>
      <c r="BP266" s="39"/>
      <c r="BQ266" s="92">
        <f t="shared" si="252"/>
        <v>47.25</v>
      </c>
      <c r="BR266" s="50" t="s">
        <v>1094</v>
      </c>
      <c r="BU266" s="54">
        <f>650-(28+19)</f>
        <v>603</v>
      </c>
      <c r="BV266" s="40">
        <v>0</v>
      </c>
      <c r="BW266" s="39">
        <f t="shared" si="253"/>
        <v>0</v>
      </c>
      <c r="BX266" s="118">
        <f t="shared" si="254"/>
        <v>-452.25</v>
      </c>
      <c r="BY266" s="59" t="s">
        <v>1095</v>
      </c>
      <c r="CA266" s="54">
        <f>650-(28+19)</f>
        <v>603</v>
      </c>
      <c r="CB266" s="40">
        <v>0</v>
      </c>
      <c r="CC266" s="39">
        <f t="shared" si="240"/>
        <v>0</v>
      </c>
      <c r="CD266" s="100"/>
      <c r="CE266" s="92">
        <f t="shared" si="241"/>
        <v>0</v>
      </c>
      <c r="CF266" s="92">
        <f t="shared" si="242"/>
        <v>0</v>
      </c>
      <c r="CI266" s="54">
        <f>650-(28+19)</f>
        <v>603</v>
      </c>
      <c r="CJ266" s="40">
        <v>0</v>
      </c>
      <c r="CK266" s="39">
        <f t="shared" si="243"/>
        <v>0</v>
      </c>
      <c r="CL266" s="92">
        <f t="shared" si="244"/>
        <v>0</v>
      </c>
      <c r="CN266" s="17"/>
      <c r="CO266" s="54">
        <f>650-(28+19)</f>
        <v>603</v>
      </c>
      <c r="CP266" s="40">
        <v>0</v>
      </c>
      <c r="CQ266" s="39">
        <f t="shared" si="227"/>
        <v>0</v>
      </c>
      <c r="CR266" s="92">
        <f t="shared" si="228"/>
        <v>0</v>
      </c>
      <c r="CS266" s="17"/>
      <c r="CT266" s="17"/>
      <c r="CW266" s="100"/>
      <c r="CX266" s="54">
        <f>650-(28+19)</f>
        <v>603</v>
      </c>
      <c r="CY266" s="40">
        <v>0</v>
      </c>
      <c r="CZ266" s="39">
        <f t="shared" si="235"/>
        <v>0</v>
      </c>
      <c r="DA266" s="168">
        <f t="shared" si="239"/>
        <v>0</v>
      </c>
      <c r="DB266" s="168"/>
      <c r="DC266" s="168"/>
      <c r="DD266" s="192"/>
      <c r="DE266" s="192"/>
      <c r="DF266" s="54">
        <f>650-(28+19)</f>
        <v>603</v>
      </c>
      <c r="DG266" s="40">
        <v>0</v>
      </c>
      <c r="DH266" s="39">
        <f t="shared" si="237"/>
        <v>0</v>
      </c>
      <c r="DI266" s="168">
        <f t="shared" si="255"/>
        <v>0</v>
      </c>
      <c r="DJ266" s="168">
        <f t="shared" si="236"/>
        <v>0</v>
      </c>
      <c r="DK266" s="168"/>
      <c r="DL266" s="168"/>
      <c r="DM266" s="168"/>
      <c r="DN266" s="92">
        <f t="shared" si="238"/>
        <v>0</v>
      </c>
      <c r="DO266" s="118">
        <v>0</v>
      </c>
      <c r="DP266" s="118">
        <v>0</v>
      </c>
      <c r="DQ266" s="118">
        <v>0</v>
      </c>
      <c r="DR266" s="118">
        <v>0</v>
      </c>
      <c r="DS266" s="118">
        <v>0</v>
      </c>
      <c r="DT266" s="118">
        <v>0</v>
      </c>
      <c r="DU266" s="118">
        <v>0</v>
      </c>
      <c r="DV266" s="118">
        <v>0</v>
      </c>
      <c r="DW266" s="118">
        <v>0</v>
      </c>
      <c r="DX266" s="118">
        <v>0</v>
      </c>
      <c r="DY266" s="118">
        <v>0</v>
      </c>
      <c r="DZ266" s="118">
        <v>0</v>
      </c>
    </row>
    <row r="267" spans="1:130" s="50" customFormat="1" ht="16.25" customHeight="1" x14ac:dyDescent="0.35">
      <c r="A267" s="36" t="s">
        <v>19</v>
      </c>
      <c r="B267" s="36" t="s">
        <v>1085</v>
      </c>
      <c r="C267" s="36" t="s">
        <v>28</v>
      </c>
      <c r="D267" s="16" t="s">
        <v>1096</v>
      </c>
      <c r="E267" s="38" t="s">
        <v>1097</v>
      </c>
      <c r="F267" s="38" t="s">
        <v>114</v>
      </c>
      <c r="G267" s="32" t="s">
        <v>101</v>
      </c>
      <c r="H267" s="32"/>
      <c r="I267" s="32"/>
      <c r="J267" s="38"/>
      <c r="K267" s="38"/>
      <c r="L267" s="38"/>
      <c r="M267" s="38"/>
      <c r="N267" s="36"/>
      <c r="O267" s="38"/>
      <c r="P267" s="36" t="s">
        <v>111</v>
      </c>
      <c r="Q267" s="100">
        <v>2300</v>
      </c>
      <c r="R267" s="100"/>
      <c r="S267" s="100"/>
      <c r="T267" s="100">
        <f>CK267-Q267</f>
        <v>1219</v>
      </c>
      <c r="U267" s="100"/>
      <c r="V267" s="100"/>
      <c r="W267" s="100"/>
      <c r="X267" s="100"/>
      <c r="Y267" s="100"/>
      <c r="Z267" s="100"/>
      <c r="AA267" s="100"/>
      <c r="AB267" s="100"/>
      <c r="AC267" s="36"/>
      <c r="AD267" s="39"/>
      <c r="AE267" s="39"/>
      <c r="AF267" s="37"/>
      <c r="AG267" s="37"/>
      <c r="AH267" s="34"/>
      <c r="AI267" s="45"/>
      <c r="AJ267" s="37"/>
      <c r="AK267" s="46"/>
      <c r="AL267" s="47"/>
      <c r="AM267" s="47"/>
      <c r="AN267" s="45"/>
      <c r="AO267" s="45"/>
      <c r="AP267" s="45"/>
      <c r="AQ267" s="45"/>
      <c r="AR267" s="39"/>
      <c r="AS267" s="40"/>
      <c r="AT267" s="39"/>
      <c r="AU267" s="48"/>
      <c r="AV267" s="49"/>
      <c r="AW267" s="48"/>
      <c r="AY267" s="39"/>
      <c r="AZ267" s="40"/>
      <c r="BA267" s="39"/>
      <c r="BB267" s="39"/>
      <c r="BE267" s="39"/>
      <c r="BF267" s="40"/>
      <c r="BG267" s="39"/>
      <c r="BH267" s="39"/>
      <c r="BI267" s="39"/>
      <c r="BJ267" s="39"/>
      <c r="BM267" s="39">
        <v>0</v>
      </c>
      <c r="BN267" s="40">
        <v>0</v>
      </c>
      <c r="BO267" s="39">
        <f t="shared" si="251"/>
        <v>0</v>
      </c>
      <c r="BP267" s="39"/>
      <c r="BQ267" s="92"/>
      <c r="BU267" s="39">
        <v>3900</v>
      </c>
      <c r="BV267" s="40">
        <v>0.9</v>
      </c>
      <c r="BW267" s="39">
        <f t="shared" si="253"/>
        <v>3510</v>
      </c>
      <c r="BX267" s="118">
        <f t="shared" si="254"/>
        <v>3510</v>
      </c>
      <c r="CA267" s="39">
        <v>4113</v>
      </c>
      <c r="CB267" s="40">
        <v>0.9</v>
      </c>
      <c r="CC267" s="39">
        <f t="shared" si="240"/>
        <v>3701.7000000000003</v>
      </c>
      <c r="CD267" s="100"/>
      <c r="CE267" s="92">
        <f t="shared" si="241"/>
        <v>191.70000000000027</v>
      </c>
      <c r="CF267" s="92">
        <f t="shared" si="242"/>
        <v>191.70000000000027</v>
      </c>
      <c r="CI267" s="75">
        <v>3910</v>
      </c>
      <c r="CJ267" s="145">
        <v>0.9</v>
      </c>
      <c r="CK267" s="75">
        <f t="shared" si="243"/>
        <v>3519</v>
      </c>
      <c r="CL267" s="147">
        <f t="shared" si="244"/>
        <v>-182.70000000000027</v>
      </c>
      <c r="CM267" s="78" t="s">
        <v>1098</v>
      </c>
      <c r="CN267" s="17"/>
      <c r="CO267" s="75">
        <v>3915</v>
      </c>
      <c r="CP267" s="145">
        <v>0.9</v>
      </c>
      <c r="CQ267" s="39">
        <f t="shared" si="227"/>
        <v>3523.5</v>
      </c>
      <c r="CR267" s="92">
        <f t="shared" si="228"/>
        <v>4.5</v>
      </c>
      <c r="CS267" s="192"/>
      <c r="CT267" s="17"/>
      <c r="CW267" s="100"/>
      <c r="CX267" s="39">
        <v>4250</v>
      </c>
      <c r="CY267" s="40">
        <v>0.9</v>
      </c>
      <c r="CZ267" s="39">
        <f t="shared" si="235"/>
        <v>3825</v>
      </c>
      <c r="DA267" s="168">
        <f t="shared" si="239"/>
        <v>301.5</v>
      </c>
      <c r="DB267" s="168"/>
      <c r="DC267" s="168"/>
      <c r="DD267" s="192" t="s">
        <v>1099</v>
      </c>
      <c r="DE267" s="192"/>
      <c r="DF267" s="39">
        <v>4250</v>
      </c>
      <c r="DG267" s="40">
        <v>0.9</v>
      </c>
      <c r="DH267" s="39">
        <f t="shared" si="237"/>
        <v>3825</v>
      </c>
      <c r="DI267" s="168">
        <f t="shared" si="255"/>
        <v>0</v>
      </c>
      <c r="DJ267" s="168">
        <f t="shared" si="236"/>
        <v>3825</v>
      </c>
      <c r="DK267" s="168"/>
      <c r="DL267" s="168"/>
      <c r="DM267" s="168"/>
      <c r="DN267" s="92">
        <f t="shared" si="238"/>
        <v>3826.1259999999997</v>
      </c>
      <c r="DO267" s="118">
        <v>0</v>
      </c>
      <c r="DP267" s="118">
        <v>238.85</v>
      </c>
      <c r="DQ267" s="118">
        <v>213.01</v>
      </c>
      <c r="DR267" s="118">
        <v>35.279000000000003</v>
      </c>
      <c r="DS267" s="118">
        <v>290.40800000000002</v>
      </c>
      <c r="DT267" s="118">
        <v>630.19200000000001</v>
      </c>
      <c r="DU267" s="118">
        <v>941.76800000000003</v>
      </c>
      <c r="DV267" s="118">
        <v>195.988</v>
      </c>
      <c r="DW267" s="118">
        <v>478</v>
      </c>
      <c r="DX267" s="118">
        <v>480</v>
      </c>
      <c r="DY267" s="118">
        <v>122.61799999999999</v>
      </c>
      <c r="DZ267" s="118">
        <v>200.01300000000001</v>
      </c>
    </row>
    <row r="268" spans="1:130" s="50" customFormat="1" ht="16.25" customHeight="1" x14ac:dyDescent="0.35">
      <c r="A268" s="36" t="s">
        <v>19</v>
      </c>
      <c r="B268" s="36" t="s">
        <v>1085</v>
      </c>
      <c r="C268" s="36" t="s">
        <v>172</v>
      </c>
      <c r="D268" s="16" t="s">
        <v>1100</v>
      </c>
      <c r="E268" s="38" t="s">
        <v>1101</v>
      </c>
      <c r="F268" s="38" t="s">
        <v>175</v>
      </c>
      <c r="G268" s="32" t="s">
        <v>101</v>
      </c>
      <c r="H268" s="32"/>
      <c r="I268" s="36"/>
      <c r="J268" s="38"/>
      <c r="K268" s="36"/>
      <c r="L268" s="36"/>
      <c r="M268" s="36"/>
      <c r="N268" s="36"/>
      <c r="O268" s="38"/>
      <c r="P268" s="36" t="s">
        <v>189</v>
      </c>
      <c r="Q268" s="100">
        <f>CK268</f>
        <v>13</v>
      </c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36"/>
      <c r="AD268" s="39"/>
      <c r="AE268" s="39"/>
      <c r="AF268" s="37"/>
      <c r="AG268" s="37"/>
      <c r="AH268" s="34"/>
      <c r="AI268" s="45"/>
      <c r="AJ268" s="37"/>
      <c r="AK268" s="46"/>
      <c r="AL268" s="47"/>
      <c r="AM268" s="47"/>
      <c r="AN268" s="45"/>
      <c r="AO268" s="45"/>
      <c r="AP268" s="45"/>
      <c r="AQ268" s="45"/>
      <c r="AR268" s="54"/>
      <c r="AS268" s="40"/>
      <c r="AT268" s="39"/>
      <c r="AU268" s="48"/>
      <c r="AV268" s="49"/>
      <c r="AW268" s="48"/>
      <c r="AY268" s="54"/>
      <c r="AZ268" s="40"/>
      <c r="BA268" s="39"/>
      <c r="BB268" s="39"/>
      <c r="BE268" s="54"/>
      <c r="BF268" s="40"/>
      <c r="BG268" s="39"/>
      <c r="BH268" s="39"/>
      <c r="BI268" s="39"/>
      <c r="BJ268" s="39"/>
      <c r="BM268" s="54">
        <v>0</v>
      </c>
      <c r="BN268" s="40">
        <v>0</v>
      </c>
      <c r="BO268" s="39">
        <f t="shared" si="251"/>
        <v>0</v>
      </c>
      <c r="BP268" s="39"/>
      <c r="BQ268" s="92"/>
      <c r="BU268" s="54">
        <v>18.943000000000001</v>
      </c>
      <c r="BV268" s="40">
        <v>1</v>
      </c>
      <c r="BW268" s="39">
        <f t="shared" si="253"/>
        <v>18.943000000000001</v>
      </c>
      <c r="BX268" s="118">
        <f t="shared" si="254"/>
        <v>18.943000000000001</v>
      </c>
      <c r="BY268" s="59"/>
      <c r="CA268" s="54">
        <v>20.469000000000001</v>
      </c>
      <c r="CB268" s="40">
        <v>1</v>
      </c>
      <c r="CC268" s="39">
        <f t="shared" si="240"/>
        <v>20.469000000000001</v>
      </c>
      <c r="CD268" s="100"/>
      <c r="CE268" s="92">
        <f t="shared" si="241"/>
        <v>1.5259999999999998</v>
      </c>
      <c r="CF268" s="92">
        <f t="shared" si="242"/>
        <v>1.5259999999999998</v>
      </c>
      <c r="CI268" s="54">
        <v>13</v>
      </c>
      <c r="CJ268" s="40">
        <v>1</v>
      </c>
      <c r="CK268" s="39">
        <f t="shared" si="243"/>
        <v>13</v>
      </c>
      <c r="CL268" s="92">
        <f t="shared" si="244"/>
        <v>-7.4690000000000012</v>
      </c>
      <c r="CN268" s="17"/>
      <c r="CO268" s="54">
        <v>13</v>
      </c>
      <c r="CP268" s="40">
        <v>1</v>
      </c>
      <c r="CQ268" s="39">
        <f t="shared" si="227"/>
        <v>13</v>
      </c>
      <c r="CR268" s="92">
        <f t="shared" si="228"/>
        <v>0</v>
      </c>
      <c r="CS268" s="192"/>
      <c r="CT268" s="17"/>
      <c r="CW268" s="100"/>
      <c r="CX268" s="54">
        <v>13</v>
      </c>
      <c r="CY268" s="40">
        <v>1</v>
      </c>
      <c r="CZ268" s="39">
        <f t="shared" si="235"/>
        <v>13</v>
      </c>
      <c r="DA268" s="168">
        <f t="shared" si="239"/>
        <v>0</v>
      </c>
      <c r="DB268" s="168"/>
      <c r="DC268" s="168"/>
      <c r="DD268" s="192"/>
      <c r="DE268" s="192"/>
      <c r="DF268" s="54">
        <v>13</v>
      </c>
      <c r="DG268" s="40">
        <v>1</v>
      </c>
      <c r="DH268" s="39">
        <f t="shared" si="237"/>
        <v>13</v>
      </c>
      <c r="DI268" s="168">
        <f t="shared" si="255"/>
        <v>0</v>
      </c>
      <c r="DJ268" s="168">
        <f t="shared" si="236"/>
        <v>13</v>
      </c>
      <c r="DK268" s="168"/>
      <c r="DL268" s="168"/>
      <c r="DM268" s="168"/>
      <c r="DN268" s="92">
        <f t="shared" si="238"/>
        <v>12.776999999999999</v>
      </c>
      <c r="DO268" s="118">
        <v>12.776999999999999</v>
      </c>
      <c r="DP268" s="118">
        <v>0</v>
      </c>
      <c r="DQ268" s="118">
        <v>0</v>
      </c>
      <c r="DR268" s="118">
        <v>0</v>
      </c>
      <c r="DS268" s="118">
        <v>0</v>
      </c>
      <c r="DT268" s="118">
        <v>0</v>
      </c>
      <c r="DU268" s="118">
        <v>0</v>
      </c>
      <c r="DV268" s="118">
        <v>0</v>
      </c>
      <c r="DW268" s="118">
        <v>0</v>
      </c>
      <c r="DX268" s="118">
        <v>0</v>
      </c>
      <c r="DY268" s="118">
        <v>0</v>
      </c>
      <c r="DZ268" s="118">
        <v>0</v>
      </c>
    </row>
    <row r="269" spans="1:130" s="50" customFormat="1" ht="16.25" customHeight="1" x14ac:dyDescent="0.35">
      <c r="A269" s="36" t="s">
        <v>19</v>
      </c>
      <c r="B269" s="36" t="s">
        <v>1085</v>
      </c>
      <c r="C269" s="36" t="s">
        <v>172</v>
      </c>
      <c r="D269" s="16" t="s">
        <v>1102</v>
      </c>
      <c r="E269" s="38" t="s">
        <v>1103</v>
      </c>
      <c r="F269" s="38" t="s">
        <v>223</v>
      </c>
      <c r="G269" s="32" t="s">
        <v>101</v>
      </c>
      <c r="H269" s="32"/>
      <c r="I269" s="36"/>
      <c r="J269" s="38"/>
      <c r="K269" s="36"/>
      <c r="L269" s="36"/>
      <c r="M269" s="36"/>
      <c r="N269" s="36"/>
      <c r="O269" s="38"/>
      <c r="P269" s="36" t="s">
        <v>189</v>
      </c>
      <c r="Q269" s="100">
        <f>CK269</f>
        <v>140</v>
      </c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36"/>
      <c r="AD269" s="39"/>
      <c r="AE269" s="39"/>
      <c r="AF269" s="37"/>
      <c r="AG269" s="37"/>
      <c r="AH269" s="34"/>
      <c r="AI269" s="45"/>
      <c r="AJ269" s="37"/>
      <c r="AK269" s="46"/>
      <c r="AL269" s="47"/>
      <c r="AM269" s="47"/>
      <c r="AN269" s="45"/>
      <c r="AO269" s="45"/>
      <c r="AP269" s="45"/>
      <c r="AQ269" s="45"/>
      <c r="AR269" s="54"/>
      <c r="AS269" s="40"/>
      <c r="AT269" s="39"/>
      <c r="AU269" s="48"/>
      <c r="AV269" s="49"/>
      <c r="AW269" s="48"/>
      <c r="AY269" s="54"/>
      <c r="AZ269" s="40"/>
      <c r="BA269" s="39"/>
      <c r="BB269" s="39"/>
      <c r="BE269" s="54"/>
      <c r="BF269" s="40"/>
      <c r="BG269" s="39"/>
      <c r="BH269" s="39"/>
      <c r="BI269" s="39"/>
      <c r="BJ269" s="39"/>
      <c r="BM269" s="54">
        <v>0</v>
      </c>
      <c r="BN269" s="40">
        <v>0</v>
      </c>
      <c r="BO269" s="39">
        <f t="shared" si="251"/>
        <v>0</v>
      </c>
      <c r="BP269" s="39"/>
      <c r="BQ269" s="92"/>
      <c r="BU269" s="54">
        <v>100</v>
      </c>
      <c r="BV269" s="40">
        <v>1</v>
      </c>
      <c r="BW269" s="39">
        <f t="shared" si="253"/>
        <v>100</v>
      </c>
      <c r="BX269" s="118">
        <f t="shared" si="254"/>
        <v>100</v>
      </c>
      <c r="BY269" s="59"/>
      <c r="CA269" s="54">
        <v>140</v>
      </c>
      <c r="CB269" s="40">
        <v>1</v>
      </c>
      <c r="CC269" s="39">
        <f t="shared" si="240"/>
        <v>140</v>
      </c>
      <c r="CD269" s="100"/>
      <c r="CE269" s="92">
        <f t="shared" si="241"/>
        <v>40</v>
      </c>
      <c r="CF269" s="92">
        <f t="shared" si="242"/>
        <v>40</v>
      </c>
      <c r="CG269" s="50" t="s">
        <v>1104</v>
      </c>
      <c r="CI269" s="54">
        <v>140</v>
      </c>
      <c r="CJ269" s="40">
        <v>1</v>
      </c>
      <c r="CK269" s="39">
        <f t="shared" si="243"/>
        <v>140</v>
      </c>
      <c r="CL269" s="92">
        <f t="shared" si="244"/>
        <v>0</v>
      </c>
      <c r="CN269" s="17"/>
      <c r="CO269" s="54">
        <v>-1</v>
      </c>
      <c r="CP269" s="40">
        <v>1</v>
      </c>
      <c r="CQ269" s="39">
        <f t="shared" si="227"/>
        <v>-1</v>
      </c>
      <c r="CR269" s="92">
        <f t="shared" si="228"/>
        <v>-141</v>
      </c>
      <c r="CS269" s="192" t="s">
        <v>1105</v>
      </c>
      <c r="CT269" s="17"/>
      <c r="CW269" s="100"/>
      <c r="CX269" s="54">
        <v>-1</v>
      </c>
      <c r="CY269" s="40">
        <v>1</v>
      </c>
      <c r="CZ269" s="39">
        <f t="shared" si="235"/>
        <v>-1</v>
      </c>
      <c r="DA269" s="168">
        <f t="shared" si="239"/>
        <v>0</v>
      </c>
      <c r="DB269" s="168"/>
      <c r="DC269" s="168"/>
      <c r="DD269" s="192"/>
      <c r="DE269" s="192"/>
      <c r="DF269" s="54">
        <v>-1</v>
      </c>
      <c r="DG269" s="40">
        <v>1</v>
      </c>
      <c r="DH269" s="39">
        <f t="shared" si="237"/>
        <v>-1</v>
      </c>
      <c r="DI269" s="168">
        <f t="shared" si="255"/>
        <v>0</v>
      </c>
      <c r="DJ269" s="168">
        <f t="shared" si="236"/>
        <v>-1</v>
      </c>
      <c r="DK269" s="168"/>
      <c r="DL269" s="168"/>
      <c r="DM269" s="168"/>
      <c r="DN269" s="92">
        <f t="shared" si="238"/>
        <v>-0.84299999999999997</v>
      </c>
      <c r="DO269" s="118">
        <v>0</v>
      </c>
      <c r="DP269" s="118">
        <v>0</v>
      </c>
      <c r="DQ269" s="118">
        <v>-0.84299999999999997</v>
      </c>
      <c r="DR269" s="118">
        <v>0</v>
      </c>
      <c r="DS269" s="118">
        <v>0</v>
      </c>
      <c r="DT269" s="118">
        <v>0</v>
      </c>
      <c r="DU269" s="118">
        <v>0</v>
      </c>
      <c r="DV269" s="118">
        <v>0</v>
      </c>
      <c r="DW269" s="118">
        <v>0</v>
      </c>
      <c r="DX269" s="118">
        <v>0</v>
      </c>
      <c r="DY269" s="118">
        <v>0</v>
      </c>
      <c r="DZ269" s="118">
        <v>0</v>
      </c>
    </row>
    <row r="270" spans="1:130" s="50" customFormat="1" ht="16.25" customHeight="1" x14ac:dyDescent="0.35">
      <c r="A270" s="36" t="s">
        <v>19</v>
      </c>
      <c r="B270" s="36" t="s">
        <v>1085</v>
      </c>
      <c r="C270" s="36" t="s">
        <v>27</v>
      </c>
      <c r="D270" s="16" t="s">
        <v>1106</v>
      </c>
      <c r="E270" s="91" t="s">
        <v>1107</v>
      </c>
      <c r="F270" s="38" t="s">
        <v>100</v>
      </c>
      <c r="G270" s="32" t="s">
        <v>101</v>
      </c>
      <c r="H270" s="32"/>
      <c r="I270" s="36" t="s">
        <v>103</v>
      </c>
      <c r="J270" s="38"/>
      <c r="K270" s="38"/>
      <c r="L270" s="38"/>
      <c r="M270" s="38"/>
      <c r="N270" s="36"/>
      <c r="O270" s="38"/>
      <c r="P270" s="36" t="s">
        <v>189</v>
      </c>
      <c r="Q270" s="100">
        <f>CK270</f>
        <v>105</v>
      </c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36"/>
      <c r="AD270" s="39">
        <v>90</v>
      </c>
      <c r="AE270" s="39"/>
      <c r="AF270" s="37"/>
      <c r="AG270" s="37"/>
      <c r="AH270" s="34"/>
      <c r="AI270" s="45"/>
      <c r="AJ270" s="37">
        <v>50</v>
      </c>
      <c r="AK270" s="46">
        <v>1</v>
      </c>
      <c r="AL270" s="47">
        <f t="shared" ref="AL270:AL275" si="256">AJ270*AK270</f>
        <v>50</v>
      </c>
      <c r="AM270" s="47"/>
      <c r="AN270" s="45"/>
      <c r="AO270" s="45"/>
      <c r="AP270" s="45"/>
      <c r="AQ270" s="45"/>
      <c r="AR270" s="39"/>
      <c r="AS270" s="40"/>
      <c r="AT270" s="44"/>
      <c r="AU270" s="48"/>
      <c r="AV270" s="49"/>
      <c r="AW270" s="48"/>
      <c r="AY270" s="39">
        <v>0</v>
      </c>
      <c r="AZ270" s="40">
        <v>0</v>
      </c>
      <c r="BA270" s="44">
        <f>AY270*AZ270</f>
        <v>0</v>
      </c>
      <c r="BB270" s="39"/>
      <c r="BE270" s="39">
        <v>70</v>
      </c>
      <c r="BF270" s="40">
        <v>1</v>
      </c>
      <c r="BG270" s="44">
        <f t="shared" ref="BG270:BG276" si="257">BE270*BF270</f>
        <v>70</v>
      </c>
      <c r="BH270" s="44"/>
      <c r="BI270" s="39">
        <f t="shared" ref="BI270:BI275" si="258">BG270-BA270</f>
        <v>70</v>
      </c>
      <c r="BJ270" s="39" t="s">
        <v>650</v>
      </c>
      <c r="BM270" s="39">
        <f>95-20</f>
        <v>75</v>
      </c>
      <c r="BN270" s="40">
        <v>1</v>
      </c>
      <c r="BO270" s="44">
        <f t="shared" si="251"/>
        <v>75</v>
      </c>
      <c r="BP270" s="44"/>
      <c r="BQ270" s="92">
        <f t="shared" ref="BQ270:BQ276" si="259">BO270-BA270</f>
        <v>75</v>
      </c>
      <c r="BU270" s="39">
        <v>133</v>
      </c>
      <c r="BV270" s="40">
        <v>1</v>
      </c>
      <c r="BW270" s="39">
        <f t="shared" si="253"/>
        <v>133</v>
      </c>
      <c r="BX270" s="118">
        <f t="shared" si="254"/>
        <v>58</v>
      </c>
      <c r="CA270" s="39">
        <v>105</v>
      </c>
      <c r="CB270" s="40">
        <v>1</v>
      </c>
      <c r="CC270" s="39">
        <f t="shared" si="240"/>
        <v>105</v>
      </c>
      <c r="CD270" s="100"/>
      <c r="CE270" s="92">
        <f t="shared" si="241"/>
        <v>-28</v>
      </c>
      <c r="CF270" s="92">
        <f t="shared" si="242"/>
        <v>-28</v>
      </c>
      <c r="CI270" s="39">
        <v>105</v>
      </c>
      <c r="CJ270" s="40">
        <v>1</v>
      </c>
      <c r="CK270" s="39">
        <f t="shared" si="243"/>
        <v>105</v>
      </c>
      <c r="CL270" s="92">
        <f t="shared" si="244"/>
        <v>0</v>
      </c>
      <c r="CN270" s="17"/>
      <c r="CO270" s="39">
        <v>105</v>
      </c>
      <c r="CP270" s="40">
        <v>1</v>
      </c>
      <c r="CQ270" s="191">
        <f t="shared" si="227"/>
        <v>105</v>
      </c>
      <c r="CR270" s="92">
        <f t="shared" si="228"/>
        <v>0</v>
      </c>
      <c r="CS270" s="192"/>
      <c r="CT270" s="17"/>
      <c r="CW270" s="100"/>
      <c r="CX270" s="39">
        <v>103</v>
      </c>
      <c r="CY270" s="40">
        <v>1</v>
      </c>
      <c r="CZ270" s="39">
        <f t="shared" si="235"/>
        <v>103</v>
      </c>
      <c r="DA270" s="168">
        <f t="shared" si="239"/>
        <v>-2</v>
      </c>
      <c r="DB270" s="168"/>
      <c r="DC270" s="168"/>
      <c r="DD270" s="192"/>
      <c r="DE270" s="192"/>
      <c r="DF270" s="39">
        <v>103</v>
      </c>
      <c r="DG270" s="40">
        <v>1</v>
      </c>
      <c r="DH270" s="39">
        <f t="shared" si="237"/>
        <v>103</v>
      </c>
      <c r="DI270" s="168">
        <f t="shared" si="255"/>
        <v>0</v>
      </c>
      <c r="DJ270" s="168">
        <f t="shared" si="236"/>
        <v>103</v>
      </c>
      <c r="DK270" s="168"/>
      <c r="DL270" s="168"/>
      <c r="DM270" s="168"/>
      <c r="DN270" s="92">
        <f t="shared" si="238"/>
        <v>103.38600000000001</v>
      </c>
      <c r="DO270" s="118">
        <v>51.656999999999996</v>
      </c>
      <c r="DP270" s="118">
        <v>0</v>
      </c>
      <c r="DQ270" s="118">
        <v>50.261000000000003</v>
      </c>
      <c r="DR270" s="118">
        <v>1.468</v>
      </c>
      <c r="DS270" s="118">
        <v>0</v>
      </c>
      <c r="DT270" s="118">
        <v>0</v>
      </c>
      <c r="DU270" s="118">
        <v>0</v>
      </c>
      <c r="DV270" s="118">
        <v>0</v>
      </c>
      <c r="DW270" s="118">
        <v>0</v>
      </c>
      <c r="DX270" s="118">
        <v>0</v>
      </c>
      <c r="DY270" s="118">
        <v>0</v>
      </c>
      <c r="DZ270" s="118">
        <v>0</v>
      </c>
    </row>
    <row r="271" spans="1:130" s="50" customFormat="1" ht="16.25" customHeight="1" x14ac:dyDescent="0.35">
      <c r="A271" s="36" t="s">
        <v>19</v>
      </c>
      <c r="B271" s="36" t="s">
        <v>1085</v>
      </c>
      <c r="C271" s="36" t="s">
        <v>27</v>
      </c>
      <c r="D271" s="16" t="s">
        <v>1108</v>
      </c>
      <c r="E271" s="91" t="s">
        <v>1109</v>
      </c>
      <c r="F271" s="38" t="s">
        <v>110</v>
      </c>
      <c r="G271" s="32" t="s">
        <v>101</v>
      </c>
      <c r="H271" s="32"/>
      <c r="I271" s="38"/>
      <c r="J271" s="38"/>
      <c r="K271" s="38"/>
      <c r="L271" s="38"/>
      <c r="M271" s="38"/>
      <c r="N271" s="36"/>
      <c r="O271" s="38"/>
      <c r="P271" s="36" t="s">
        <v>189</v>
      </c>
      <c r="Q271" s="100">
        <f>CK271</f>
        <v>188</v>
      </c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36"/>
      <c r="AD271" s="39">
        <v>70</v>
      </c>
      <c r="AE271" s="39"/>
      <c r="AF271" s="37"/>
      <c r="AG271" s="37"/>
      <c r="AH271" s="34"/>
      <c r="AI271" s="45"/>
      <c r="AJ271" s="37">
        <v>0</v>
      </c>
      <c r="AK271" s="46">
        <v>0</v>
      </c>
      <c r="AL271" s="47">
        <f t="shared" si="256"/>
        <v>0</v>
      </c>
      <c r="AM271" s="47"/>
      <c r="AN271" s="45"/>
      <c r="AO271" s="45"/>
      <c r="AP271" s="45"/>
      <c r="AQ271" s="45"/>
      <c r="AR271" s="39">
        <v>650</v>
      </c>
      <c r="AS271" s="40">
        <v>0.75</v>
      </c>
      <c r="AT271" s="44">
        <f>AR271*AS271</f>
        <v>487.5</v>
      </c>
      <c r="AU271" s="48"/>
      <c r="AV271" s="49">
        <f>AU271*AS271</f>
        <v>0</v>
      </c>
      <c r="AW271" s="48"/>
      <c r="AY271" s="39">
        <v>650</v>
      </c>
      <c r="AZ271" s="40">
        <v>0.75</v>
      </c>
      <c r="BA271" s="44">
        <f>AY271*AZ271</f>
        <v>487.5</v>
      </c>
      <c r="BB271" s="39">
        <f>BA271-AT271</f>
        <v>0</v>
      </c>
      <c r="BE271" s="39">
        <v>70</v>
      </c>
      <c r="BF271" s="40">
        <v>1</v>
      </c>
      <c r="BG271" s="44">
        <f t="shared" si="257"/>
        <v>70</v>
      </c>
      <c r="BH271" s="44"/>
      <c r="BI271" s="39">
        <f t="shared" si="258"/>
        <v>-417.5</v>
      </c>
      <c r="BJ271" s="39" t="s">
        <v>737</v>
      </c>
      <c r="BM271" s="39">
        <v>0</v>
      </c>
      <c r="BN271" s="40">
        <v>1</v>
      </c>
      <c r="BO271" s="44">
        <f t="shared" si="251"/>
        <v>0</v>
      </c>
      <c r="BP271" s="44"/>
      <c r="BQ271" s="92">
        <f t="shared" si="259"/>
        <v>-487.5</v>
      </c>
      <c r="BU271" s="39">
        <v>60</v>
      </c>
      <c r="BV271" s="40">
        <v>1</v>
      </c>
      <c r="BW271" s="39">
        <f t="shared" si="253"/>
        <v>60</v>
      </c>
      <c r="BX271" s="118">
        <f t="shared" si="254"/>
        <v>60</v>
      </c>
      <c r="CA271" s="39">
        <v>225.6</v>
      </c>
      <c r="CB271" s="40">
        <v>1</v>
      </c>
      <c r="CC271" s="39">
        <f t="shared" si="240"/>
        <v>225.6</v>
      </c>
      <c r="CD271" s="100"/>
      <c r="CE271" s="92">
        <f t="shared" si="241"/>
        <v>165.6</v>
      </c>
      <c r="CF271" s="92">
        <f t="shared" si="242"/>
        <v>165.6</v>
      </c>
      <c r="CG271" s="50" t="s">
        <v>1110</v>
      </c>
      <c r="CI271" s="39">
        <v>188</v>
      </c>
      <c r="CJ271" s="40">
        <v>1</v>
      </c>
      <c r="CK271" s="39">
        <f t="shared" si="243"/>
        <v>188</v>
      </c>
      <c r="CL271" s="92">
        <f t="shared" si="244"/>
        <v>-37.599999999999994</v>
      </c>
      <c r="CM271" s="50" t="s">
        <v>1111</v>
      </c>
      <c r="CN271" s="17"/>
      <c r="CO271" s="39">
        <v>13</v>
      </c>
      <c r="CP271" s="40">
        <v>1</v>
      </c>
      <c r="CQ271" s="39">
        <f t="shared" si="227"/>
        <v>13</v>
      </c>
      <c r="CR271" s="92">
        <f t="shared" si="228"/>
        <v>-175</v>
      </c>
      <c r="CS271" s="192" t="s">
        <v>1112</v>
      </c>
      <c r="CT271" s="17"/>
      <c r="CW271" s="100"/>
      <c r="CX271" s="39">
        <v>13</v>
      </c>
      <c r="CY271" s="40">
        <v>1</v>
      </c>
      <c r="CZ271" s="39">
        <f t="shared" si="235"/>
        <v>13</v>
      </c>
      <c r="DA271" s="168">
        <f t="shared" si="239"/>
        <v>0</v>
      </c>
      <c r="DB271" s="168"/>
      <c r="DC271" s="168"/>
      <c r="DD271" s="192"/>
      <c r="DE271" s="192"/>
      <c r="DF271" s="39">
        <v>13</v>
      </c>
      <c r="DG271" s="40">
        <v>1</v>
      </c>
      <c r="DH271" s="39">
        <f t="shared" si="237"/>
        <v>13</v>
      </c>
      <c r="DI271" s="168">
        <f t="shared" si="255"/>
        <v>0</v>
      </c>
      <c r="DJ271" s="168">
        <f t="shared" si="236"/>
        <v>13</v>
      </c>
      <c r="DK271" s="168"/>
      <c r="DL271" s="168"/>
      <c r="DM271" s="168"/>
      <c r="DN271" s="92">
        <f t="shared" si="238"/>
        <v>13.17</v>
      </c>
      <c r="DO271" s="118">
        <v>0</v>
      </c>
      <c r="DP271" s="118">
        <v>8.3000000000000004E-2</v>
      </c>
      <c r="DQ271" s="118">
        <v>4.0410000000000004</v>
      </c>
      <c r="DR271" s="118">
        <v>0</v>
      </c>
      <c r="DS271" s="118">
        <v>9.0459999999999994</v>
      </c>
      <c r="DT271" s="118">
        <v>0</v>
      </c>
      <c r="DU271" s="118">
        <v>0</v>
      </c>
      <c r="DV271" s="118">
        <v>0</v>
      </c>
      <c r="DW271" s="118">
        <v>0</v>
      </c>
      <c r="DX271" s="118">
        <v>0</v>
      </c>
      <c r="DY271" s="118">
        <v>0</v>
      </c>
      <c r="DZ271" s="118">
        <v>0</v>
      </c>
    </row>
    <row r="272" spans="1:130" s="50" customFormat="1" ht="16.25" customHeight="1" x14ac:dyDescent="0.35">
      <c r="A272" s="36" t="s">
        <v>19</v>
      </c>
      <c r="B272" s="36" t="s">
        <v>1085</v>
      </c>
      <c r="C272" s="36" t="s">
        <v>172</v>
      </c>
      <c r="D272" s="16" t="s">
        <v>1113</v>
      </c>
      <c r="E272" s="38" t="s">
        <v>1039</v>
      </c>
      <c r="F272" s="38" t="s">
        <v>175</v>
      </c>
      <c r="G272" s="32" t="s">
        <v>101</v>
      </c>
      <c r="H272" s="32"/>
      <c r="I272" s="38"/>
      <c r="J272" s="38"/>
      <c r="K272" s="38"/>
      <c r="L272" s="38"/>
      <c r="M272" s="38"/>
      <c r="N272" s="36"/>
      <c r="O272" s="38"/>
      <c r="P272" s="36" t="s">
        <v>189</v>
      </c>
      <c r="Q272" s="100"/>
      <c r="R272" s="100"/>
      <c r="S272" s="100">
        <f>CK272*30%</f>
        <v>110.7</v>
      </c>
      <c r="T272" s="100"/>
      <c r="U272" s="100"/>
      <c r="V272" s="100">
        <f>CK272*30%</f>
        <v>110.7</v>
      </c>
      <c r="W272" s="100"/>
      <c r="X272" s="100"/>
      <c r="Y272" s="100">
        <f>CK272*20%</f>
        <v>73.8</v>
      </c>
      <c r="Z272" s="100"/>
      <c r="AA272" s="100">
        <f>CK272*20%</f>
        <v>73.8</v>
      </c>
      <c r="AB272" s="100"/>
      <c r="AC272" s="36"/>
      <c r="AD272" s="39"/>
      <c r="AE272" s="39"/>
      <c r="AF272" s="37"/>
      <c r="AG272" s="37"/>
      <c r="AH272" s="34"/>
      <c r="AI272" s="45"/>
      <c r="AJ272" s="37">
        <v>0</v>
      </c>
      <c r="AK272" s="46">
        <v>0</v>
      </c>
      <c r="AL272" s="47">
        <f t="shared" si="256"/>
        <v>0</v>
      </c>
      <c r="AM272" s="47"/>
      <c r="AN272" s="45"/>
      <c r="AO272" s="45"/>
      <c r="AP272" s="45"/>
      <c r="AQ272" s="45"/>
      <c r="AR272" s="39">
        <v>390</v>
      </c>
      <c r="AS272" s="40">
        <v>1</v>
      </c>
      <c r="AT272" s="44">
        <f>AR272*AS272</f>
        <v>390</v>
      </c>
      <c r="AU272" s="48"/>
      <c r="AV272" s="49">
        <f>AU272*AS272</f>
        <v>0</v>
      </c>
      <c r="AW272" s="48"/>
      <c r="AY272" s="39">
        <v>390</v>
      </c>
      <c r="AZ272" s="40">
        <v>1</v>
      </c>
      <c r="BA272" s="44">
        <f>AY272*AZ272</f>
        <v>390</v>
      </c>
      <c r="BB272" s="39">
        <f>BA272-AT272</f>
        <v>0</v>
      </c>
      <c r="BE272" s="39">
        <v>390</v>
      </c>
      <c r="BF272" s="40">
        <v>1</v>
      </c>
      <c r="BG272" s="44">
        <f t="shared" si="257"/>
        <v>390</v>
      </c>
      <c r="BH272" s="44"/>
      <c r="BI272" s="39">
        <f t="shared" si="258"/>
        <v>0</v>
      </c>
      <c r="BJ272" s="39"/>
      <c r="BM272" s="39">
        <v>390</v>
      </c>
      <c r="BN272" s="40">
        <v>1</v>
      </c>
      <c r="BO272" s="44">
        <f t="shared" si="251"/>
        <v>390</v>
      </c>
      <c r="BP272" s="44"/>
      <c r="BQ272" s="92">
        <f t="shared" si="259"/>
        <v>0</v>
      </c>
      <c r="BU272" s="39">
        <v>390</v>
      </c>
      <c r="BV272" s="40">
        <v>1</v>
      </c>
      <c r="BW272" s="39">
        <f t="shared" si="253"/>
        <v>390</v>
      </c>
      <c r="BX272" s="118">
        <f t="shared" si="254"/>
        <v>0</v>
      </c>
      <c r="CA272" s="39">
        <v>329</v>
      </c>
      <c r="CB272" s="40">
        <v>1</v>
      </c>
      <c r="CC272" s="39">
        <f t="shared" si="240"/>
        <v>329</v>
      </c>
      <c r="CD272" s="100"/>
      <c r="CE272" s="92">
        <f t="shared" si="241"/>
        <v>-61</v>
      </c>
      <c r="CF272" s="92">
        <f t="shared" si="242"/>
        <v>-61</v>
      </c>
      <c r="CI272" s="39">
        <v>369</v>
      </c>
      <c r="CJ272" s="40">
        <v>1</v>
      </c>
      <c r="CK272" s="39">
        <f t="shared" si="243"/>
        <v>369</v>
      </c>
      <c r="CL272" s="92">
        <f t="shared" si="244"/>
        <v>40</v>
      </c>
      <c r="CM272" s="50" t="s">
        <v>1114</v>
      </c>
      <c r="CN272" s="17"/>
      <c r="CO272" s="39">
        <v>329</v>
      </c>
      <c r="CP272" s="40">
        <v>1</v>
      </c>
      <c r="CQ272" s="39">
        <f t="shared" si="227"/>
        <v>329</v>
      </c>
      <c r="CR272" s="92">
        <f t="shared" si="228"/>
        <v>-40</v>
      </c>
      <c r="CS272" s="192"/>
      <c r="CT272" s="17"/>
      <c r="CW272" s="100"/>
      <c r="CX272" s="39">
        <v>329</v>
      </c>
      <c r="CY272" s="40">
        <v>1</v>
      </c>
      <c r="CZ272" s="39">
        <f t="shared" si="235"/>
        <v>329</v>
      </c>
      <c r="DA272" s="168">
        <f t="shared" si="239"/>
        <v>0</v>
      </c>
      <c r="DB272" s="168"/>
      <c r="DC272" s="168"/>
      <c r="DD272" s="192"/>
      <c r="DE272" s="192"/>
      <c r="DF272" s="39">
        <v>329</v>
      </c>
      <c r="DG272" s="40">
        <v>1</v>
      </c>
      <c r="DH272" s="39">
        <f t="shared" si="237"/>
        <v>329</v>
      </c>
      <c r="DI272" s="168">
        <f t="shared" si="255"/>
        <v>0</v>
      </c>
      <c r="DJ272" s="168">
        <f t="shared" si="236"/>
        <v>329</v>
      </c>
      <c r="DK272" s="168"/>
      <c r="DL272" s="168"/>
      <c r="DM272" s="168"/>
      <c r="DN272" s="92">
        <f t="shared" si="238"/>
        <v>330.60700000000003</v>
      </c>
      <c r="DO272" s="118">
        <v>0</v>
      </c>
      <c r="DP272" s="118">
        <v>0</v>
      </c>
      <c r="DQ272" s="118">
        <v>34</v>
      </c>
      <c r="DR272" s="118">
        <v>10.239000000000001</v>
      </c>
      <c r="DS272" s="118">
        <v>40.203000000000003</v>
      </c>
      <c r="DT272" s="118">
        <v>15</v>
      </c>
      <c r="DU272" s="118">
        <v>21.106000000000002</v>
      </c>
      <c r="DV272" s="118">
        <v>20.100999999999999</v>
      </c>
      <c r="DW272" s="118">
        <v>70.355000000000004</v>
      </c>
      <c r="DX272" s="118">
        <v>0</v>
      </c>
      <c r="DY272" s="118">
        <v>44.222999999999999</v>
      </c>
      <c r="DZ272" s="118">
        <v>75.38</v>
      </c>
    </row>
    <row r="273" spans="1:131" s="50" customFormat="1" ht="16.25" customHeight="1" x14ac:dyDescent="0.35">
      <c r="A273" s="36" t="s">
        <v>19</v>
      </c>
      <c r="B273" s="36" t="s">
        <v>1085</v>
      </c>
      <c r="C273" s="36" t="s">
        <v>27</v>
      </c>
      <c r="D273" s="16" t="s">
        <v>1115</v>
      </c>
      <c r="E273" s="38" t="s">
        <v>336</v>
      </c>
      <c r="F273" s="38" t="s">
        <v>223</v>
      </c>
      <c r="G273" s="32" t="s">
        <v>101</v>
      </c>
      <c r="H273" s="32"/>
      <c r="I273" s="38"/>
      <c r="J273" s="38" t="s">
        <v>275</v>
      </c>
      <c r="K273" s="38"/>
      <c r="L273" s="38"/>
      <c r="M273" s="38"/>
      <c r="N273" s="36"/>
      <c r="O273" s="38" t="s">
        <v>1116</v>
      </c>
      <c r="P273" s="36" t="s">
        <v>189</v>
      </c>
      <c r="Q273" s="100"/>
      <c r="R273" s="100"/>
      <c r="S273" s="100"/>
      <c r="T273" s="100"/>
      <c r="U273" s="100"/>
      <c r="V273" s="100">
        <f>CK273</f>
        <v>100</v>
      </c>
      <c r="W273" s="100"/>
      <c r="X273" s="100"/>
      <c r="Y273" s="100"/>
      <c r="Z273" s="100"/>
      <c r="AA273" s="100"/>
      <c r="AB273" s="100"/>
      <c r="AC273" s="36"/>
      <c r="AD273" s="39">
        <v>750</v>
      </c>
      <c r="AE273" s="39">
        <v>750</v>
      </c>
      <c r="AF273" s="37"/>
      <c r="AG273" s="37"/>
      <c r="AH273" s="34"/>
      <c r="AI273" s="45"/>
      <c r="AJ273" s="37">
        <v>0</v>
      </c>
      <c r="AK273" s="46">
        <v>0</v>
      </c>
      <c r="AL273" s="47">
        <f t="shared" si="256"/>
        <v>0</v>
      </c>
      <c r="AM273" s="47"/>
      <c r="AN273" s="37"/>
      <c r="AO273" s="37"/>
      <c r="AP273" s="37"/>
      <c r="AQ273" s="37"/>
      <c r="AR273" s="39">
        <v>250</v>
      </c>
      <c r="AS273" s="40">
        <v>0.5</v>
      </c>
      <c r="AT273" s="44">
        <v>125</v>
      </c>
      <c r="AU273" s="48"/>
      <c r="AV273" s="49">
        <f>AU273*AS273</f>
        <v>0</v>
      </c>
      <c r="AW273" s="48"/>
      <c r="AY273" s="39">
        <v>250</v>
      </c>
      <c r="AZ273" s="40">
        <v>0.5</v>
      </c>
      <c r="BA273" s="44">
        <v>125</v>
      </c>
      <c r="BB273" s="39">
        <f>BA273-AT273</f>
        <v>0</v>
      </c>
      <c r="BE273" s="39">
        <v>250</v>
      </c>
      <c r="BF273" s="40">
        <v>0.5</v>
      </c>
      <c r="BG273" s="44">
        <f t="shared" si="257"/>
        <v>125</v>
      </c>
      <c r="BH273" s="44"/>
      <c r="BI273" s="39">
        <f t="shared" si="258"/>
        <v>0</v>
      </c>
      <c r="BJ273" s="39"/>
      <c r="BM273" s="39">
        <v>250</v>
      </c>
      <c r="BN273" s="40">
        <v>0.5</v>
      </c>
      <c r="BO273" s="44">
        <f t="shared" si="251"/>
        <v>125</v>
      </c>
      <c r="BP273" s="44"/>
      <c r="BQ273" s="92">
        <f t="shared" si="259"/>
        <v>0</v>
      </c>
      <c r="BU273" s="39">
        <v>250</v>
      </c>
      <c r="BV273" s="40">
        <v>0.5</v>
      </c>
      <c r="BW273" s="39">
        <f t="shared" si="253"/>
        <v>125</v>
      </c>
      <c r="BX273" s="118">
        <f t="shared" si="254"/>
        <v>0</v>
      </c>
      <c r="CA273" s="39">
        <v>200</v>
      </c>
      <c r="CB273" s="40">
        <v>0.5</v>
      </c>
      <c r="CC273" s="39">
        <f t="shared" si="240"/>
        <v>100</v>
      </c>
      <c r="CD273" s="100"/>
      <c r="CE273" s="92">
        <f t="shared" si="241"/>
        <v>-25</v>
      </c>
      <c r="CF273" s="92">
        <f t="shared" si="242"/>
        <v>-25</v>
      </c>
      <c r="CI273" s="39">
        <v>200</v>
      </c>
      <c r="CJ273" s="40">
        <v>0.5</v>
      </c>
      <c r="CK273" s="39">
        <f t="shared" si="243"/>
        <v>100</v>
      </c>
      <c r="CL273" s="92">
        <f t="shared" si="244"/>
        <v>0</v>
      </c>
      <c r="CN273" s="17"/>
      <c r="CO273" s="39">
        <v>320</v>
      </c>
      <c r="CP273" s="40">
        <v>0.75</v>
      </c>
      <c r="CQ273" s="39">
        <f t="shared" si="227"/>
        <v>240</v>
      </c>
      <c r="CR273" s="92">
        <f t="shared" si="228"/>
        <v>140</v>
      </c>
      <c r="CS273" s="192" t="s">
        <v>1105</v>
      </c>
      <c r="CT273" s="17"/>
      <c r="CW273" s="100"/>
      <c r="CX273" s="39">
        <v>320</v>
      </c>
      <c r="CY273" s="40">
        <v>0.75</v>
      </c>
      <c r="CZ273" s="39">
        <f t="shared" ref="CZ273:CZ283" si="260">CX273*CY273</f>
        <v>240</v>
      </c>
      <c r="DA273" s="168">
        <f t="shared" si="239"/>
        <v>0</v>
      </c>
      <c r="DB273" s="168"/>
      <c r="DC273" s="168"/>
      <c r="DD273" s="192"/>
      <c r="DE273" s="192"/>
      <c r="DF273" s="39">
        <v>320</v>
      </c>
      <c r="DG273" s="40">
        <v>0.75</v>
      </c>
      <c r="DH273" s="39">
        <f t="shared" si="237"/>
        <v>240</v>
      </c>
      <c r="DI273" s="168">
        <f t="shared" si="255"/>
        <v>0</v>
      </c>
      <c r="DJ273" s="168">
        <f t="shared" ref="DJ273:DJ283" si="261">DH273-CW273</f>
        <v>240</v>
      </c>
      <c r="DK273" s="168"/>
      <c r="DL273" s="168"/>
      <c r="DM273" s="168"/>
      <c r="DN273" s="92">
        <f t="shared" si="238"/>
        <v>241.01400000000001</v>
      </c>
      <c r="DO273" s="118">
        <v>0</v>
      </c>
      <c r="DP273" s="118">
        <v>0</v>
      </c>
      <c r="DQ273" s="118">
        <v>0</v>
      </c>
      <c r="DR273" s="118">
        <v>0</v>
      </c>
      <c r="DS273" s="118">
        <v>0</v>
      </c>
      <c r="DT273" s="118">
        <v>100.50700000000001</v>
      </c>
      <c r="DU273" s="118">
        <v>40</v>
      </c>
      <c r="DV273" s="118">
        <v>0</v>
      </c>
      <c r="DW273" s="118">
        <v>0</v>
      </c>
      <c r="DX273" s="118">
        <v>100.50700000000001</v>
      </c>
      <c r="DY273" s="118">
        <v>0</v>
      </c>
      <c r="DZ273" s="118">
        <v>0</v>
      </c>
    </row>
    <row r="274" spans="1:131" s="50" customFormat="1" ht="16.25" customHeight="1" x14ac:dyDescent="0.35">
      <c r="A274" s="36" t="s">
        <v>19</v>
      </c>
      <c r="B274" s="36" t="s">
        <v>1085</v>
      </c>
      <c r="C274" s="36" t="s">
        <v>172</v>
      </c>
      <c r="D274" s="16" t="s">
        <v>1117</v>
      </c>
      <c r="E274" s="38" t="s">
        <v>212</v>
      </c>
      <c r="F274" s="38" t="s">
        <v>213</v>
      </c>
      <c r="G274" s="32" t="s">
        <v>101</v>
      </c>
      <c r="H274" s="32"/>
      <c r="I274" s="38"/>
      <c r="J274" s="38"/>
      <c r="K274" s="38"/>
      <c r="L274" s="38"/>
      <c r="M274" s="38"/>
      <c r="N274" s="36"/>
      <c r="O274" s="38"/>
      <c r="P274" s="36" t="s">
        <v>189</v>
      </c>
      <c r="Q274" s="100"/>
      <c r="R274" s="100"/>
      <c r="S274" s="100">
        <f>CK274*30%</f>
        <v>82.8</v>
      </c>
      <c r="T274" s="100"/>
      <c r="U274" s="100"/>
      <c r="V274" s="100">
        <f>CK274*30%</f>
        <v>82.8</v>
      </c>
      <c r="W274" s="100"/>
      <c r="X274" s="100"/>
      <c r="Y274" s="100">
        <f>CK274*20%</f>
        <v>55.2</v>
      </c>
      <c r="Z274" s="100"/>
      <c r="AA274" s="100">
        <f>CK274*20%</f>
        <v>55.2</v>
      </c>
      <c r="AB274" s="100"/>
      <c r="AC274" s="36"/>
      <c r="AD274" s="39"/>
      <c r="AE274" s="39"/>
      <c r="AF274" s="37"/>
      <c r="AG274" s="37"/>
      <c r="AH274" s="34"/>
      <c r="AI274" s="45"/>
      <c r="AJ274" s="37">
        <v>0</v>
      </c>
      <c r="AK274" s="46">
        <v>0</v>
      </c>
      <c r="AL274" s="47">
        <f t="shared" si="256"/>
        <v>0</v>
      </c>
      <c r="AM274" s="47"/>
      <c r="AN274" s="45"/>
      <c r="AO274" s="45"/>
      <c r="AP274" s="45"/>
      <c r="AQ274" s="45"/>
      <c r="AR274" s="39">
        <v>223</v>
      </c>
      <c r="AS274" s="40">
        <v>1</v>
      </c>
      <c r="AT274" s="44">
        <f>AR274*AS274</f>
        <v>223</v>
      </c>
      <c r="AU274" s="48"/>
      <c r="AV274" s="49">
        <f>AU274*AS274</f>
        <v>0</v>
      </c>
      <c r="AW274" s="48"/>
      <c r="AY274" s="39">
        <v>223</v>
      </c>
      <c r="AZ274" s="40">
        <v>1</v>
      </c>
      <c r="BA274" s="44">
        <f>AY274*AZ274</f>
        <v>223</v>
      </c>
      <c r="BB274" s="39">
        <f>BA274-AT274</f>
        <v>0</v>
      </c>
      <c r="BE274" s="39">
        <v>223</v>
      </c>
      <c r="BF274" s="40">
        <v>1</v>
      </c>
      <c r="BG274" s="44">
        <f t="shared" si="257"/>
        <v>223</v>
      </c>
      <c r="BH274" s="44"/>
      <c r="BI274" s="39">
        <f t="shared" si="258"/>
        <v>0</v>
      </c>
      <c r="BJ274" s="39"/>
      <c r="BM274" s="39">
        <v>223</v>
      </c>
      <c r="BN274" s="40">
        <v>1</v>
      </c>
      <c r="BO274" s="44">
        <f t="shared" si="251"/>
        <v>223</v>
      </c>
      <c r="BP274" s="44"/>
      <c r="BQ274" s="92">
        <f t="shared" si="259"/>
        <v>0</v>
      </c>
      <c r="BU274" s="39">
        <v>203</v>
      </c>
      <c r="BV274" s="40">
        <v>1</v>
      </c>
      <c r="BW274" s="39">
        <f t="shared" si="253"/>
        <v>203</v>
      </c>
      <c r="BX274" s="118">
        <f t="shared" si="254"/>
        <v>-20</v>
      </c>
      <c r="CA274" s="39">
        <v>261</v>
      </c>
      <c r="CB274" s="40">
        <v>1</v>
      </c>
      <c r="CC274" s="39">
        <f t="shared" si="240"/>
        <v>261</v>
      </c>
      <c r="CD274" s="100"/>
      <c r="CE274" s="92">
        <f t="shared" si="241"/>
        <v>58</v>
      </c>
      <c r="CF274" s="92">
        <f t="shared" si="242"/>
        <v>58</v>
      </c>
      <c r="CG274" s="50" t="s">
        <v>1118</v>
      </c>
      <c r="CI274" s="39">
        <v>276</v>
      </c>
      <c r="CJ274" s="40">
        <v>1</v>
      </c>
      <c r="CK274" s="39">
        <f t="shared" si="243"/>
        <v>276</v>
      </c>
      <c r="CL274" s="92">
        <f t="shared" si="244"/>
        <v>15</v>
      </c>
      <c r="CM274" s="50" t="s">
        <v>1119</v>
      </c>
      <c r="CN274" s="17"/>
      <c r="CO274" s="39">
        <v>276</v>
      </c>
      <c r="CP274" s="40">
        <v>1</v>
      </c>
      <c r="CQ274" s="39">
        <f t="shared" si="227"/>
        <v>276</v>
      </c>
      <c r="CR274" s="92">
        <f t="shared" si="228"/>
        <v>0</v>
      </c>
      <c r="CS274" s="192"/>
      <c r="CT274" s="17"/>
      <c r="CW274" s="100"/>
      <c r="CX274" s="39">
        <v>280</v>
      </c>
      <c r="CY274" s="40">
        <v>1</v>
      </c>
      <c r="CZ274" s="39">
        <f t="shared" si="260"/>
        <v>280</v>
      </c>
      <c r="DA274" s="168">
        <f t="shared" si="239"/>
        <v>4</v>
      </c>
      <c r="DB274" s="168"/>
      <c r="DC274" s="168"/>
      <c r="DD274" s="192"/>
      <c r="DE274" s="192"/>
      <c r="DF274" s="39">
        <v>280</v>
      </c>
      <c r="DG274" s="40">
        <v>1</v>
      </c>
      <c r="DH274" s="39">
        <f t="shared" si="237"/>
        <v>280</v>
      </c>
      <c r="DI274" s="168">
        <f t="shared" si="255"/>
        <v>0</v>
      </c>
      <c r="DJ274" s="168">
        <f t="shared" si="261"/>
        <v>280</v>
      </c>
      <c r="DK274" s="168"/>
      <c r="DL274" s="168"/>
      <c r="DM274" s="168"/>
      <c r="DN274" s="92">
        <f t="shared" si="238"/>
        <v>278.35700000000003</v>
      </c>
      <c r="DO274" s="118">
        <v>0</v>
      </c>
      <c r="DP274" s="118">
        <v>0</v>
      </c>
      <c r="DQ274" s="118">
        <v>5.3380000000000001</v>
      </c>
      <c r="DR274" s="118">
        <v>0.64600000000000002</v>
      </c>
      <c r="DS274" s="118">
        <v>0</v>
      </c>
      <c r="DT274" s="118">
        <v>67.34</v>
      </c>
      <c r="DU274" s="118">
        <v>0</v>
      </c>
      <c r="DV274" s="118">
        <v>0</v>
      </c>
      <c r="DW274" s="118">
        <v>32.161999999999999</v>
      </c>
      <c r="DX274" s="118">
        <v>43.218000000000004</v>
      </c>
      <c r="DY274" s="118">
        <v>64.323999999999998</v>
      </c>
      <c r="DZ274" s="118">
        <v>65.328999999999994</v>
      </c>
    </row>
    <row r="275" spans="1:131" s="50" customFormat="1" ht="16.25" customHeight="1" x14ac:dyDescent="0.35">
      <c r="A275" s="36" t="s">
        <v>19</v>
      </c>
      <c r="B275" s="36" t="s">
        <v>1085</v>
      </c>
      <c r="C275" s="36" t="s">
        <v>27</v>
      </c>
      <c r="D275" s="16" t="s">
        <v>1120</v>
      </c>
      <c r="E275" s="91" t="s">
        <v>1121</v>
      </c>
      <c r="F275" s="38" t="s">
        <v>110</v>
      </c>
      <c r="G275" s="32" t="s">
        <v>101</v>
      </c>
      <c r="H275" s="32"/>
      <c r="I275" s="36"/>
      <c r="J275" s="38"/>
      <c r="K275" s="36"/>
      <c r="L275" s="36"/>
      <c r="M275" s="36"/>
      <c r="N275" s="36"/>
      <c r="O275" s="38"/>
      <c r="P275" s="36" t="s">
        <v>193</v>
      </c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36"/>
      <c r="AD275" s="39">
        <v>270</v>
      </c>
      <c r="AE275" s="39"/>
      <c r="AF275" s="37"/>
      <c r="AG275" s="37"/>
      <c r="AH275" s="34"/>
      <c r="AI275" s="45"/>
      <c r="AJ275" s="37">
        <v>20</v>
      </c>
      <c r="AK275" s="46">
        <v>1</v>
      </c>
      <c r="AL275" s="47">
        <f t="shared" si="256"/>
        <v>20</v>
      </c>
      <c r="AM275" s="47"/>
      <c r="AN275" s="45"/>
      <c r="AO275" s="45"/>
      <c r="AP275" s="45"/>
      <c r="AQ275" s="45"/>
      <c r="AR275" s="54"/>
      <c r="AS275" s="40"/>
      <c r="AT275" s="39"/>
      <c r="AU275" s="48"/>
      <c r="AV275" s="49"/>
      <c r="AW275" s="48"/>
      <c r="AY275" s="54">
        <v>0</v>
      </c>
      <c r="AZ275" s="40">
        <v>0</v>
      </c>
      <c r="BA275" s="39">
        <f>AY275*AZ275</f>
        <v>0</v>
      </c>
      <c r="BB275" s="39">
        <f>BA275-AT275</f>
        <v>0</v>
      </c>
      <c r="BE275" s="54">
        <v>500</v>
      </c>
      <c r="BF275" s="40">
        <v>0.9</v>
      </c>
      <c r="BG275" s="39">
        <f t="shared" si="257"/>
        <v>450</v>
      </c>
      <c r="BH275" s="39"/>
      <c r="BI275" s="39">
        <f t="shared" si="258"/>
        <v>450</v>
      </c>
      <c r="BJ275" s="39" t="s">
        <v>650</v>
      </c>
      <c r="BM275" s="54">
        <f>270-35</f>
        <v>235</v>
      </c>
      <c r="BN275" s="40">
        <v>0.9</v>
      </c>
      <c r="BO275" s="39">
        <f t="shared" si="251"/>
        <v>211.5</v>
      </c>
      <c r="BP275" s="39"/>
      <c r="BQ275" s="92">
        <f t="shared" si="259"/>
        <v>211.5</v>
      </c>
      <c r="BR275" s="50" t="s">
        <v>1122</v>
      </c>
      <c r="BU275" s="54">
        <v>180</v>
      </c>
      <c r="BV275" s="40">
        <v>0.9</v>
      </c>
      <c r="BW275" s="39">
        <f t="shared" si="253"/>
        <v>162</v>
      </c>
      <c r="BX275" s="118">
        <f t="shared" si="254"/>
        <v>-49.5</v>
      </c>
      <c r="CA275" s="54">
        <v>0</v>
      </c>
      <c r="CB275" s="40">
        <v>0</v>
      </c>
      <c r="CC275" s="39">
        <f t="shared" si="240"/>
        <v>0</v>
      </c>
      <c r="CD275" s="100"/>
      <c r="CE275" s="92">
        <f t="shared" si="241"/>
        <v>-162</v>
      </c>
      <c r="CF275" s="92">
        <f t="shared" si="242"/>
        <v>-162</v>
      </c>
      <c r="CI275" s="54">
        <v>0</v>
      </c>
      <c r="CJ275" s="40">
        <v>0</v>
      </c>
      <c r="CK275" s="39">
        <f t="shared" si="243"/>
        <v>0</v>
      </c>
      <c r="CL275" s="92">
        <f t="shared" si="244"/>
        <v>0</v>
      </c>
      <c r="CN275" s="17"/>
      <c r="CO275" s="54">
        <v>0</v>
      </c>
      <c r="CP275" s="40">
        <v>0</v>
      </c>
      <c r="CQ275" s="39">
        <f t="shared" si="227"/>
        <v>0</v>
      </c>
      <c r="CR275" s="92">
        <f t="shared" si="228"/>
        <v>0</v>
      </c>
      <c r="CS275" s="192"/>
      <c r="CT275" s="17"/>
      <c r="CW275" s="100"/>
      <c r="CX275" s="54">
        <v>0</v>
      </c>
      <c r="CY275" s="40">
        <v>0</v>
      </c>
      <c r="CZ275" s="39">
        <f t="shared" si="260"/>
        <v>0</v>
      </c>
      <c r="DA275" s="168">
        <f t="shared" si="239"/>
        <v>0</v>
      </c>
      <c r="DB275" s="168"/>
      <c r="DC275" s="168"/>
      <c r="DD275" s="192"/>
      <c r="DE275" s="192"/>
      <c r="DF275" s="54">
        <v>0</v>
      </c>
      <c r="DG275" s="40">
        <v>0</v>
      </c>
      <c r="DH275" s="39">
        <f t="shared" si="237"/>
        <v>0</v>
      </c>
      <c r="DI275" s="168">
        <f t="shared" si="255"/>
        <v>0</v>
      </c>
      <c r="DJ275" s="168">
        <f t="shared" si="261"/>
        <v>0</v>
      </c>
      <c r="DK275" s="168"/>
      <c r="DL275" s="168"/>
      <c r="DM275" s="168"/>
      <c r="DN275" s="92">
        <f t="shared" si="238"/>
        <v>0</v>
      </c>
      <c r="DO275" s="118">
        <v>0</v>
      </c>
      <c r="DP275" s="118">
        <v>0</v>
      </c>
      <c r="DQ275" s="118">
        <v>0</v>
      </c>
      <c r="DR275" s="118">
        <v>0</v>
      </c>
      <c r="DS275" s="118">
        <v>0</v>
      </c>
      <c r="DT275" s="118">
        <v>0</v>
      </c>
      <c r="DU275" s="118">
        <v>0</v>
      </c>
      <c r="DV275" s="118">
        <v>0</v>
      </c>
      <c r="DW275" s="118">
        <v>0</v>
      </c>
      <c r="DX275" s="118">
        <v>0</v>
      </c>
      <c r="DY275" s="118">
        <v>0</v>
      </c>
      <c r="DZ275" s="118">
        <v>0</v>
      </c>
    </row>
    <row r="276" spans="1:131" s="50" customFormat="1" ht="16.25" customHeight="1" x14ac:dyDescent="0.35">
      <c r="A276" s="36" t="s">
        <v>19</v>
      </c>
      <c r="B276" s="36" t="s">
        <v>1085</v>
      </c>
      <c r="C276" s="36" t="s">
        <v>27</v>
      </c>
      <c r="D276" s="16" t="s">
        <v>1120</v>
      </c>
      <c r="E276" s="38" t="s">
        <v>1123</v>
      </c>
      <c r="F276" s="38" t="s">
        <v>110</v>
      </c>
      <c r="G276" s="32" t="s">
        <v>101</v>
      </c>
      <c r="H276" s="32"/>
      <c r="I276" s="18"/>
      <c r="J276" s="17"/>
      <c r="K276" s="28"/>
      <c r="L276" s="28"/>
      <c r="M276" s="28" t="s">
        <v>663</v>
      </c>
      <c r="N276" s="28"/>
      <c r="O276" s="38" t="s">
        <v>1124</v>
      </c>
      <c r="P276" s="36" t="s">
        <v>189</v>
      </c>
      <c r="Q276" s="100"/>
      <c r="R276" s="100">
        <f>CK276</f>
        <v>180</v>
      </c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36"/>
      <c r="AD276" s="19"/>
      <c r="AE276" s="19"/>
      <c r="AF276" s="19"/>
      <c r="AG276" s="19"/>
      <c r="AH276" s="17"/>
      <c r="AI276" s="17"/>
      <c r="AJ276" s="29"/>
      <c r="AK276" s="30"/>
      <c r="AL276" s="29"/>
      <c r="AM276" s="29"/>
      <c r="AN276" s="17"/>
      <c r="AO276" s="17"/>
      <c r="AP276" s="17"/>
      <c r="AQ276" s="17"/>
      <c r="AR276" s="29"/>
      <c r="AS276" s="30"/>
      <c r="AT276" s="29"/>
      <c r="AU276" s="29"/>
      <c r="AV276" s="31"/>
      <c r="AW276" s="29"/>
      <c r="AX276" s="17"/>
      <c r="AY276" s="37">
        <v>0</v>
      </c>
      <c r="AZ276" s="46">
        <v>0</v>
      </c>
      <c r="BA276" s="47">
        <f>AY276*AZ276</f>
        <v>0</v>
      </c>
      <c r="BB276" s="17"/>
      <c r="BC276" s="17"/>
      <c r="BD276" s="17"/>
      <c r="BE276" s="37">
        <v>0</v>
      </c>
      <c r="BF276" s="46">
        <v>0</v>
      </c>
      <c r="BG276" s="47">
        <f t="shared" si="257"/>
        <v>0</v>
      </c>
      <c r="BH276" s="17"/>
      <c r="BI276" s="17"/>
      <c r="BJ276" s="17"/>
      <c r="BK276" s="17"/>
      <c r="BL276" s="17"/>
      <c r="BM276" s="100">
        <v>650</v>
      </c>
      <c r="BN276" s="101">
        <v>0.5</v>
      </c>
      <c r="BO276" s="102">
        <f t="shared" si="251"/>
        <v>325</v>
      </c>
      <c r="BP276" s="102"/>
      <c r="BQ276" s="92">
        <f t="shared" si="259"/>
        <v>325</v>
      </c>
      <c r="BR276" s="17"/>
      <c r="BS276" s="17"/>
      <c r="BU276" s="100">
        <v>650</v>
      </c>
      <c r="BV276" s="101">
        <v>0.5</v>
      </c>
      <c r="BW276" s="39">
        <f t="shared" si="253"/>
        <v>325</v>
      </c>
      <c r="BX276" s="118">
        <f t="shared" si="254"/>
        <v>0</v>
      </c>
      <c r="CA276" s="100">
        <v>200</v>
      </c>
      <c r="CB276" s="101">
        <v>0.9</v>
      </c>
      <c r="CC276" s="39">
        <f t="shared" si="240"/>
        <v>180</v>
      </c>
      <c r="CD276" s="100"/>
      <c r="CE276" s="92">
        <f t="shared" si="241"/>
        <v>-145</v>
      </c>
      <c r="CF276" s="92">
        <f t="shared" si="242"/>
        <v>-145</v>
      </c>
      <c r="CI276" s="100">
        <v>200</v>
      </c>
      <c r="CJ276" s="101">
        <v>0.9</v>
      </c>
      <c r="CK276" s="39">
        <f t="shared" si="243"/>
        <v>180</v>
      </c>
      <c r="CL276" s="92">
        <f t="shared" si="244"/>
        <v>0</v>
      </c>
      <c r="CN276" s="17"/>
      <c r="CO276" s="100">
        <v>383</v>
      </c>
      <c r="CP276" s="101">
        <v>0.9</v>
      </c>
      <c r="CQ276" s="39">
        <f t="shared" si="227"/>
        <v>344.7</v>
      </c>
      <c r="CR276" s="92">
        <f t="shared" si="228"/>
        <v>164.7</v>
      </c>
      <c r="CS276" s="192" t="s">
        <v>1112</v>
      </c>
      <c r="CT276" s="17"/>
      <c r="CW276" s="100"/>
      <c r="CX276" s="100">
        <v>415</v>
      </c>
      <c r="CY276" s="101">
        <v>0.9</v>
      </c>
      <c r="CZ276" s="39">
        <f t="shared" si="260"/>
        <v>373.5</v>
      </c>
      <c r="DA276" s="168">
        <f t="shared" si="239"/>
        <v>28.800000000000011</v>
      </c>
      <c r="DB276" s="168"/>
      <c r="DC276" s="168"/>
      <c r="DD276" s="192"/>
      <c r="DE276" s="192"/>
      <c r="DF276" s="100">
        <v>415</v>
      </c>
      <c r="DG276" s="101">
        <v>0.9</v>
      </c>
      <c r="DH276" s="39">
        <f t="shared" ref="DH276:DH283" si="262">DF276*DG276</f>
        <v>373.5</v>
      </c>
      <c r="DI276" s="168">
        <f t="shared" si="255"/>
        <v>0</v>
      </c>
      <c r="DJ276" s="168">
        <f t="shared" si="261"/>
        <v>373.5</v>
      </c>
      <c r="DK276" s="168"/>
      <c r="DL276" s="168"/>
      <c r="DM276" s="168"/>
      <c r="DN276" s="92">
        <f t="shared" si="238"/>
        <v>375.48099999999999</v>
      </c>
      <c r="DO276" s="118">
        <v>0</v>
      </c>
      <c r="DP276" s="118">
        <v>0</v>
      </c>
      <c r="DQ276" s="118">
        <v>0.16300000000000001</v>
      </c>
      <c r="DR276" s="118">
        <v>15.696999999999999</v>
      </c>
      <c r="DS276" s="118">
        <v>9</v>
      </c>
      <c r="DT276" s="118">
        <v>85.430999999999997</v>
      </c>
      <c r="DU276" s="118">
        <v>215.089</v>
      </c>
      <c r="DV276" s="118">
        <v>0</v>
      </c>
      <c r="DW276" s="118">
        <v>20.100999999999999</v>
      </c>
      <c r="DX276" s="118">
        <v>30</v>
      </c>
      <c r="DY276" s="118">
        <v>0</v>
      </c>
      <c r="DZ276" s="118">
        <v>0</v>
      </c>
    </row>
    <row r="277" spans="1:131" s="50" customFormat="1" ht="16.25" customHeight="1" x14ac:dyDescent="0.35">
      <c r="A277" s="36" t="s">
        <v>19</v>
      </c>
      <c r="B277" s="36" t="s">
        <v>1085</v>
      </c>
      <c r="C277" s="36" t="s">
        <v>27</v>
      </c>
      <c r="D277" s="16" t="s">
        <v>1125</v>
      </c>
      <c r="E277" s="38" t="s">
        <v>1126</v>
      </c>
      <c r="F277" s="38" t="s">
        <v>100</v>
      </c>
      <c r="G277" s="32" t="s">
        <v>101</v>
      </c>
      <c r="H277" s="32"/>
      <c r="I277" s="38"/>
      <c r="J277" s="38" t="s">
        <v>1127</v>
      </c>
      <c r="K277" s="38"/>
      <c r="L277" s="38"/>
      <c r="M277" s="38"/>
      <c r="N277" s="36"/>
      <c r="O277" s="38"/>
      <c r="P277" s="36" t="s">
        <v>361</v>
      </c>
      <c r="Q277" s="100"/>
      <c r="R277" s="100"/>
      <c r="T277" s="100">
        <f>CK277</f>
        <v>285</v>
      </c>
      <c r="U277" s="100"/>
      <c r="V277" s="100"/>
      <c r="W277" s="100"/>
      <c r="X277" s="100"/>
      <c r="Y277" s="100"/>
      <c r="Z277" s="100"/>
      <c r="AA277" s="100"/>
      <c r="AB277" s="100"/>
      <c r="AC277" s="36"/>
      <c r="AD277" s="39"/>
      <c r="AE277" s="39"/>
      <c r="AF277" s="37"/>
      <c r="AG277" s="37"/>
      <c r="AH277" s="34"/>
      <c r="AI277" s="45"/>
      <c r="AJ277" s="37"/>
      <c r="AK277" s="46"/>
      <c r="AL277" s="47"/>
      <c r="AM277" s="47"/>
      <c r="AN277" s="45"/>
      <c r="AO277" s="45"/>
      <c r="AP277" s="45"/>
      <c r="AQ277" s="45"/>
      <c r="AR277" s="39"/>
      <c r="AS277" s="40"/>
      <c r="AT277" s="44"/>
      <c r="AU277" s="48"/>
      <c r="AV277" s="49"/>
      <c r="AW277" s="48"/>
      <c r="AY277" s="39"/>
      <c r="AZ277" s="40"/>
      <c r="BA277" s="44"/>
      <c r="BB277" s="39"/>
      <c r="BE277" s="39"/>
      <c r="BF277" s="40"/>
      <c r="BG277" s="44"/>
      <c r="BH277" s="44"/>
      <c r="BI277" s="39"/>
      <c r="BJ277" s="39"/>
      <c r="BM277" s="39"/>
      <c r="BN277" s="40"/>
      <c r="BO277" s="44"/>
      <c r="BP277" s="44"/>
      <c r="BQ277" s="92"/>
      <c r="BU277" s="39">
        <v>0</v>
      </c>
      <c r="BV277" s="40">
        <v>0</v>
      </c>
      <c r="BW277" s="39">
        <f t="shared" si="253"/>
        <v>0</v>
      </c>
      <c r="BX277" s="118">
        <f t="shared" si="254"/>
        <v>0</v>
      </c>
      <c r="CA277" s="39">
        <v>570</v>
      </c>
      <c r="CB277" s="40">
        <v>0.5</v>
      </c>
      <c r="CC277" s="39">
        <f t="shared" si="240"/>
        <v>285</v>
      </c>
      <c r="CD277" s="100"/>
      <c r="CE277" s="92">
        <f t="shared" si="241"/>
        <v>285</v>
      </c>
      <c r="CF277" s="92">
        <f t="shared" si="242"/>
        <v>285</v>
      </c>
      <c r="CG277" s="50" t="s">
        <v>1128</v>
      </c>
      <c r="CI277" s="39">
        <v>570</v>
      </c>
      <c r="CJ277" s="40">
        <v>0.5</v>
      </c>
      <c r="CK277" s="39">
        <f t="shared" si="243"/>
        <v>285</v>
      </c>
      <c r="CL277" s="92">
        <f t="shared" si="244"/>
        <v>0</v>
      </c>
      <c r="CN277" s="17"/>
      <c r="CO277" s="39">
        <v>570</v>
      </c>
      <c r="CP277" s="40">
        <v>0.5</v>
      </c>
      <c r="CQ277" s="191">
        <f t="shared" si="227"/>
        <v>285</v>
      </c>
      <c r="CR277" s="92">
        <f t="shared" si="228"/>
        <v>0</v>
      </c>
      <c r="CS277" s="192"/>
      <c r="CT277" s="17"/>
      <c r="CW277" s="100"/>
      <c r="CX277" s="39">
        <v>600</v>
      </c>
      <c r="CY277" s="40">
        <v>0.5</v>
      </c>
      <c r="CZ277" s="39">
        <f t="shared" si="260"/>
        <v>300</v>
      </c>
      <c r="DA277" s="168">
        <f t="shared" si="239"/>
        <v>15</v>
      </c>
      <c r="DB277" s="168"/>
      <c r="DC277" s="168"/>
      <c r="DD277" s="192"/>
      <c r="DE277" s="192"/>
      <c r="DF277" s="39">
        <v>600</v>
      </c>
      <c r="DG277" s="40">
        <v>0.5</v>
      </c>
      <c r="DH277" s="39">
        <f t="shared" si="262"/>
        <v>300</v>
      </c>
      <c r="DI277" s="168">
        <f t="shared" si="255"/>
        <v>0</v>
      </c>
      <c r="DJ277" s="168">
        <f t="shared" si="261"/>
        <v>300</v>
      </c>
      <c r="DK277" s="168"/>
      <c r="DL277" s="168"/>
      <c r="DM277" s="168"/>
      <c r="DN277" s="92">
        <f t="shared" si="238"/>
        <v>301.44399999999996</v>
      </c>
      <c r="DO277" s="118">
        <v>0</v>
      </c>
      <c r="DP277" s="118">
        <v>0</v>
      </c>
      <c r="DQ277" s="118">
        <v>0</v>
      </c>
      <c r="DR277" s="118">
        <v>0</v>
      </c>
      <c r="DS277" s="118">
        <v>0</v>
      </c>
      <c r="DT277" s="118">
        <v>0</v>
      </c>
      <c r="DU277" s="118">
        <v>50.253</v>
      </c>
      <c r="DV277" s="118">
        <v>30.152000000000001</v>
      </c>
      <c r="DW277" s="118">
        <v>0</v>
      </c>
      <c r="DX277" s="118">
        <v>0</v>
      </c>
      <c r="DY277" s="118">
        <v>15</v>
      </c>
      <c r="DZ277" s="118">
        <v>206.03899999999999</v>
      </c>
    </row>
    <row r="278" spans="1:131" s="17" customFormat="1" x14ac:dyDescent="0.35">
      <c r="A278" s="36" t="s">
        <v>19</v>
      </c>
      <c r="B278" s="36" t="s">
        <v>1085</v>
      </c>
      <c r="C278" s="36" t="s">
        <v>172</v>
      </c>
      <c r="D278" s="16" t="s">
        <v>1129</v>
      </c>
      <c r="E278" s="38" t="s">
        <v>1130</v>
      </c>
      <c r="F278" s="38" t="s">
        <v>213</v>
      </c>
      <c r="G278" s="32" t="s">
        <v>101</v>
      </c>
      <c r="H278" s="32"/>
      <c r="I278" s="32" t="s">
        <v>551</v>
      </c>
      <c r="J278" s="38"/>
      <c r="K278" s="38"/>
      <c r="L278" s="38"/>
      <c r="M278" s="38"/>
      <c r="N278" s="36"/>
      <c r="O278" s="38"/>
      <c r="P278" s="36" t="s">
        <v>193</v>
      </c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36"/>
      <c r="AD278" s="39"/>
      <c r="AE278" s="39"/>
      <c r="AF278" s="37"/>
      <c r="AG278" s="37"/>
      <c r="AH278" s="34"/>
      <c r="AI278" s="45"/>
      <c r="AJ278" s="37">
        <v>120</v>
      </c>
      <c r="AK278" s="46">
        <v>0.75</v>
      </c>
      <c r="AL278" s="47">
        <f>AJ278*AK278</f>
        <v>90</v>
      </c>
      <c r="AM278" s="47"/>
      <c r="AN278" s="45"/>
      <c r="AO278" s="45"/>
      <c r="AP278" s="45"/>
      <c r="AQ278" s="45"/>
      <c r="AR278" s="39">
        <v>840</v>
      </c>
      <c r="AS278" s="40">
        <v>0.5</v>
      </c>
      <c r="AT278" s="39">
        <f>AR278*AS278</f>
        <v>420</v>
      </c>
      <c r="AU278" s="48"/>
      <c r="AV278" s="49"/>
      <c r="AW278" s="48"/>
      <c r="AX278" s="50"/>
      <c r="AY278" s="39">
        <v>840</v>
      </c>
      <c r="AZ278" s="40">
        <v>0.5</v>
      </c>
      <c r="BA278" s="39">
        <f>AY278*AZ278</f>
        <v>420</v>
      </c>
      <c r="BB278" s="39">
        <f>BA278-AT278</f>
        <v>0</v>
      </c>
      <c r="BC278" s="50"/>
      <c r="BD278" s="50"/>
      <c r="BE278" s="39">
        <v>840</v>
      </c>
      <c r="BF278" s="40">
        <v>0.5</v>
      </c>
      <c r="BG278" s="39">
        <f>BE278*BF278</f>
        <v>420</v>
      </c>
      <c r="BH278" s="39"/>
      <c r="BI278" s="39">
        <f>BG278-BA278</f>
        <v>0</v>
      </c>
      <c r="BJ278" s="39"/>
      <c r="BK278" s="50" t="s">
        <v>1131</v>
      </c>
      <c r="BL278" s="50"/>
      <c r="BM278" s="39">
        <v>200</v>
      </c>
      <c r="BN278" s="40">
        <v>0.5</v>
      </c>
      <c r="BO278" s="39">
        <f t="shared" ref="BO278:BO283" si="263">BM278*BN278</f>
        <v>100</v>
      </c>
      <c r="BP278" s="39"/>
      <c r="BQ278" s="92">
        <f>BO278-BA278</f>
        <v>-320</v>
      </c>
      <c r="BR278" s="50" t="s">
        <v>1132</v>
      </c>
      <c r="BS278" s="50"/>
      <c r="BT278" s="50"/>
      <c r="BU278" s="39">
        <v>240</v>
      </c>
      <c r="BV278" s="40">
        <v>0.5</v>
      </c>
      <c r="BW278" s="39">
        <f t="shared" si="253"/>
        <v>120</v>
      </c>
      <c r="BX278" s="118">
        <f t="shared" si="254"/>
        <v>20</v>
      </c>
      <c r="BY278" s="50"/>
      <c r="BZ278" s="50"/>
      <c r="CA278" s="39">
        <v>0</v>
      </c>
      <c r="CB278" s="40">
        <v>0</v>
      </c>
      <c r="CC278" s="39">
        <f t="shared" si="240"/>
        <v>0</v>
      </c>
      <c r="CD278" s="100"/>
      <c r="CE278" s="92">
        <f t="shared" si="241"/>
        <v>-120</v>
      </c>
      <c r="CF278" s="92">
        <f t="shared" si="242"/>
        <v>-120</v>
      </c>
      <c r="CG278" s="50" t="s">
        <v>1133</v>
      </c>
      <c r="CH278" s="50"/>
      <c r="CI278" s="39">
        <v>0</v>
      </c>
      <c r="CJ278" s="40">
        <v>0</v>
      </c>
      <c r="CK278" s="39">
        <f t="shared" si="243"/>
        <v>0</v>
      </c>
      <c r="CL278" s="92">
        <f t="shared" si="244"/>
        <v>0</v>
      </c>
      <c r="CM278" s="50"/>
      <c r="CO278" s="39">
        <v>0</v>
      </c>
      <c r="CP278" s="40">
        <v>0</v>
      </c>
      <c r="CQ278" s="39">
        <f t="shared" si="227"/>
        <v>0</v>
      </c>
      <c r="CR278" s="92">
        <f t="shared" si="228"/>
        <v>0</v>
      </c>
      <c r="CS278" s="192"/>
      <c r="CW278" s="100"/>
      <c r="CX278" s="39">
        <v>0</v>
      </c>
      <c r="CY278" s="40">
        <v>0</v>
      </c>
      <c r="CZ278" s="39">
        <f t="shared" si="260"/>
        <v>0</v>
      </c>
      <c r="DA278" s="168">
        <f t="shared" si="239"/>
        <v>0</v>
      </c>
      <c r="DB278" s="168"/>
      <c r="DC278" s="168"/>
      <c r="DD278" s="192"/>
      <c r="DE278" s="192"/>
      <c r="DF278" s="39">
        <v>0</v>
      </c>
      <c r="DG278" s="40">
        <v>0</v>
      </c>
      <c r="DH278" s="39">
        <f t="shared" si="262"/>
        <v>0</v>
      </c>
      <c r="DI278" s="168">
        <f t="shared" si="255"/>
        <v>0</v>
      </c>
      <c r="DJ278" s="168">
        <f t="shared" si="261"/>
        <v>0</v>
      </c>
      <c r="DK278" s="168"/>
      <c r="DL278" s="168"/>
      <c r="DM278" s="168"/>
      <c r="DN278" s="92">
        <f t="shared" si="238"/>
        <v>0</v>
      </c>
      <c r="DO278" s="118">
        <v>0</v>
      </c>
      <c r="DP278" s="118">
        <v>0</v>
      </c>
      <c r="DQ278" s="118">
        <v>0</v>
      </c>
      <c r="DR278" s="118">
        <v>0</v>
      </c>
      <c r="DS278" s="118">
        <v>0</v>
      </c>
      <c r="DT278" s="118">
        <v>0</v>
      </c>
      <c r="DU278" s="118">
        <v>0</v>
      </c>
      <c r="DV278" s="118">
        <v>0</v>
      </c>
      <c r="DW278" s="118">
        <v>0</v>
      </c>
      <c r="DX278" s="118">
        <v>0</v>
      </c>
      <c r="DY278" s="118">
        <v>0</v>
      </c>
      <c r="DZ278" s="118">
        <v>0</v>
      </c>
    </row>
    <row r="279" spans="1:131" s="17" customFormat="1" hidden="1" x14ac:dyDescent="0.35">
      <c r="A279" s="36" t="s">
        <v>19</v>
      </c>
      <c r="B279" s="36" t="s">
        <v>1085</v>
      </c>
      <c r="C279" s="36" t="s">
        <v>28</v>
      </c>
      <c r="D279" s="32" t="s">
        <v>193</v>
      </c>
      <c r="E279" s="38" t="s">
        <v>1134</v>
      </c>
      <c r="F279" s="38" t="s">
        <v>114</v>
      </c>
      <c r="G279" s="32" t="s">
        <v>263</v>
      </c>
      <c r="H279" s="32"/>
      <c r="I279" s="38"/>
      <c r="J279" s="38" t="s">
        <v>1135</v>
      </c>
      <c r="K279" s="38"/>
      <c r="L279" s="38"/>
      <c r="M279" s="36" t="s">
        <v>149</v>
      </c>
      <c r="N279" s="36" t="s">
        <v>201</v>
      </c>
      <c r="O279" s="38" t="s">
        <v>1136</v>
      </c>
      <c r="P279" s="36" t="s">
        <v>193</v>
      </c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36"/>
      <c r="AD279" s="39">
        <v>6900</v>
      </c>
      <c r="AE279" s="39">
        <v>6500</v>
      </c>
      <c r="AF279" s="37"/>
      <c r="AG279" s="37"/>
      <c r="AH279" s="34"/>
      <c r="AI279" s="45"/>
      <c r="AJ279" s="37">
        <v>0</v>
      </c>
      <c r="AK279" s="46">
        <v>0</v>
      </c>
      <c r="AL279" s="47">
        <f>AJ279*AK279</f>
        <v>0</v>
      </c>
      <c r="AM279" s="47"/>
      <c r="AN279" s="45"/>
      <c r="AO279" s="45"/>
      <c r="AP279" s="45"/>
      <c r="AQ279" s="45"/>
      <c r="AR279" s="39">
        <v>6200</v>
      </c>
      <c r="AS279" s="40">
        <v>0.75</v>
      </c>
      <c r="AT279" s="44">
        <v>4650</v>
      </c>
      <c r="AU279" s="48"/>
      <c r="AV279" s="49">
        <f>AU279*AS279</f>
        <v>0</v>
      </c>
      <c r="AW279" s="48"/>
      <c r="AX279" s="50"/>
      <c r="AY279" s="39">
        <v>6200</v>
      </c>
      <c r="AZ279" s="40">
        <v>0.75</v>
      </c>
      <c r="BA279" s="44">
        <v>4650</v>
      </c>
      <c r="BB279" s="44"/>
      <c r="BC279" s="50"/>
      <c r="BD279" s="50"/>
      <c r="BE279" s="39">
        <v>6200</v>
      </c>
      <c r="BF279" s="40">
        <v>0.9</v>
      </c>
      <c r="BG279" s="44">
        <f>BE279*BF279</f>
        <v>5580</v>
      </c>
      <c r="BH279" s="44"/>
      <c r="BI279" s="39">
        <f>BG279-BA279</f>
        <v>930</v>
      </c>
      <c r="BJ279" s="39"/>
      <c r="BK279" s="50"/>
      <c r="BL279" s="50"/>
      <c r="BM279" s="75">
        <v>5500</v>
      </c>
      <c r="BN279" s="145">
        <v>0.75</v>
      </c>
      <c r="BO279" s="239">
        <f t="shared" si="263"/>
        <v>4125</v>
      </c>
      <c r="BP279" s="239"/>
      <c r="BQ279" s="92">
        <f>BO279-BA279</f>
        <v>-525</v>
      </c>
      <c r="BR279" s="50"/>
      <c r="BS279" s="50"/>
      <c r="BT279" s="50"/>
      <c r="BU279" s="39">
        <v>5500</v>
      </c>
      <c r="BV279" s="40">
        <v>0</v>
      </c>
      <c r="BW279" s="39">
        <f t="shared" si="253"/>
        <v>0</v>
      </c>
      <c r="BX279" s="118">
        <f t="shared" si="254"/>
        <v>-4125</v>
      </c>
      <c r="BY279" s="50"/>
      <c r="BZ279" s="50"/>
      <c r="CA279" s="39">
        <v>5500</v>
      </c>
      <c r="CB279" s="40">
        <v>0</v>
      </c>
      <c r="CC279" s="39">
        <f t="shared" si="240"/>
        <v>0</v>
      </c>
      <c r="CD279" s="100"/>
      <c r="CE279" s="92">
        <f t="shared" si="241"/>
        <v>0</v>
      </c>
      <c r="CF279" s="92">
        <f>CC279-BO279</f>
        <v>-4125</v>
      </c>
      <c r="CG279" s="50"/>
      <c r="CH279" s="50"/>
      <c r="CI279" s="39">
        <v>5500</v>
      </c>
      <c r="CJ279" s="40">
        <v>0</v>
      </c>
      <c r="CK279" s="39">
        <f t="shared" si="243"/>
        <v>0</v>
      </c>
      <c r="CL279" s="92">
        <f t="shared" si="244"/>
        <v>0</v>
      </c>
      <c r="CM279" s="50"/>
      <c r="CO279" s="39">
        <v>5500</v>
      </c>
      <c r="CP279" s="40">
        <v>0</v>
      </c>
      <c r="CQ279" s="39">
        <f t="shared" si="227"/>
        <v>0</v>
      </c>
      <c r="CR279" s="92">
        <f t="shared" si="228"/>
        <v>0</v>
      </c>
      <c r="CW279" s="100"/>
      <c r="CX279" s="39">
        <v>0</v>
      </c>
      <c r="CY279" s="40">
        <v>0</v>
      </c>
      <c r="CZ279" s="39">
        <f t="shared" si="260"/>
        <v>0</v>
      </c>
      <c r="DA279" s="168">
        <f t="shared" si="239"/>
        <v>0</v>
      </c>
      <c r="DB279" s="168"/>
      <c r="DC279" s="168"/>
      <c r="DF279" s="39">
        <v>0</v>
      </c>
      <c r="DG279" s="40">
        <v>0</v>
      </c>
      <c r="DH279" s="39">
        <f t="shared" si="262"/>
        <v>0</v>
      </c>
      <c r="DI279" s="168">
        <f t="shared" si="255"/>
        <v>0</v>
      </c>
      <c r="DJ279" s="168">
        <f t="shared" si="261"/>
        <v>0</v>
      </c>
      <c r="DN279" s="92">
        <f t="shared" si="238"/>
        <v>0</v>
      </c>
      <c r="DO279" s="118"/>
      <c r="DP279" s="118"/>
      <c r="DQ279" s="118"/>
      <c r="DR279" s="118"/>
      <c r="DS279" s="118"/>
      <c r="DT279" s="118"/>
      <c r="DU279" s="118"/>
      <c r="DV279" s="118"/>
      <c r="DW279" s="118"/>
      <c r="DX279" s="118"/>
      <c r="DY279" s="118"/>
      <c r="DZ279" s="118"/>
    </row>
    <row r="280" spans="1:131" s="17" customFormat="1" x14ac:dyDescent="0.35">
      <c r="A280" s="36" t="s">
        <v>19</v>
      </c>
      <c r="B280" s="36" t="s">
        <v>1085</v>
      </c>
      <c r="C280" s="36" t="s">
        <v>28</v>
      </c>
      <c r="D280" s="15" t="s">
        <v>1137</v>
      </c>
      <c r="E280" s="38" t="s">
        <v>1138</v>
      </c>
      <c r="F280" s="38" t="s">
        <v>114</v>
      </c>
      <c r="G280" s="32" t="s">
        <v>101</v>
      </c>
      <c r="H280" s="32"/>
      <c r="I280" s="18"/>
      <c r="K280" s="28"/>
      <c r="L280" s="28"/>
      <c r="M280" s="28"/>
      <c r="N280" s="28"/>
      <c r="O280" s="38"/>
      <c r="P280" s="36" t="s">
        <v>193</v>
      </c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36"/>
      <c r="AD280" s="39"/>
      <c r="AE280" s="39"/>
      <c r="AF280" s="37"/>
      <c r="AG280" s="37"/>
      <c r="AH280" s="34"/>
      <c r="AI280" s="45"/>
      <c r="AJ280" s="37"/>
      <c r="AK280" s="46"/>
      <c r="AL280" s="47"/>
      <c r="AM280" s="47"/>
      <c r="AN280" s="45"/>
      <c r="AO280" s="45"/>
      <c r="AP280" s="45"/>
      <c r="AQ280" s="45"/>
      <c r="AR280" s="39"/>
      <c r="AS280" s="40"/>
      <c r="AT280" s="44"/>
      <c r="AU280" s="48"/>
      <c r="AV280" s="49"/>
      <c r="AW280" s="48"/>
      <c r="AX280" s="50"/>
      <c r="AY280" s="39"/>
      <c r="AZ280" s="40"/>
      <c r="BA280" s="44"/>
      <c r="BB280" s="39"/>
      <c r="BC280" s="50"/>
      <c r="BD280" s="50"/>
      <c r="BE280" s="39"/>
      <c r="BF280" s="40"/>
      <c r="BG280" s="44"/>
      <c r="BH280" s="44"/>
      <c r="BI280" s="39"/>
      <c r="BJ280" s="39"/>
      <c r="BK280" s="50"/>
      <c r="BL280" s="50"/>
      <c r="BM280" s="39">
        <v>0</v>
      </c>
      <c r="BN280" s="40">
        <v>0</v>
      </c>
      <c r="BO280" s="44">
        <f t="shared" si="263"/>
        <v>0</v>
      </c>
      <c r="BP280" s="44"/>
      <c r="BQ280" s="92"/>
      <c r="BR280" s="50"/>
      <c r="BS280" s="50"/>
      <c r="BT280" s="50"/>
      <c r="BU280" s="39"/>
      <c r="BV280" s="40"/>
      <c r="BW280" s="39"/>
      <c r="BX280" s="118"/>
      <c r="BY280" s="50"/>
      <c r="BZ280" s="50"/>
      <c r="CA280" s="39">
        <v>0</v>
      </c>
      <c r="CB280" s="40">
        <v>0</v>
      </c>
      <c r="CC280" s="39">
        <f t="shared" si="240"/>
        <v>0</v>
      </c>
      <c r="CD280" s="100"/>
      <c r="CE280" s="92"/>
      <c r="CF280" s="92"/>
      <c r="CG280" s="50"/>
      <c r="CH280" s="50"/>
      <c r="CI280" s="39">
        <v>500</v>
      </c>
      <c r="CJ280" s="40">
        <v>0.5</v>
      </c>
      <c r="CK280" s="39">
        <f t="shared" si="243"/>
        <v>250</v>
      </c>
      <c r="CL280" s="92">
        <f t="shared" si="244"/>
        <v>250</v>
      </c>
      <c r="CM280" s="50" t="s">
        <v>1139</v>
      </c>
      <c r="CO280" s="39">
        <v>600</v>
      </c>
      <c r="CP280" s="40">
        <v>0.9</v>
      </c>
      <c r="CQ280" s="39">
        <f t="shared" si="227"/>
        <v>540</v>
      </c>
      <c r="CR280" s="92">
        <f t="shared" si="228"/>
        <v>290</v>
      </c>
      <c r="CW280" s="100"/>
      <c r="CX280" s="39">
        <v>0</v>
      </c>
      <c r="CY280" s="40">
        <v>0</v>
      </c>
      <c r="CZ280" s="39">
        <f t="shared" si="260"/>
        <v>0</v>
      </c>
      <c r="DA280" s="168">
        <f t="shared" si="239"/>
        <v>-540</v>
      </c>
      <c r="DB280" s="168"/>
      <c r="DC280" s="168"/>
      <c r="DD280" s="17" t="s">
        <v>1140</v>
      </c>
      <c r="DF280" s="39">
        <v>0</v>
      </c>
      <c r="DG280" s="40">
        <v>0</v>
      </c>
      <c r="DH280" s="39">
        <f t="shared" si="262"/>
        <v>0</v>
      </c>
      <c r="DI280" s="168">
        <f t="shared" si="255"/>
        <v>0</v>
      </c>
      <c r="DJ280" s="168">
        <f t="shared" si="261"/>
        <v>0</v>
      </c>
      <c r="DK280" s="168"/>
      <c r="DL280" s="168"/>
      <c r="DM280" s="168"/>
      <c r="DN280" s="92">
        <f t="shared" si="238"/>
        <v>0</v>
      </c>
      <c r="DO280" s="118">
        <v>0</v>
      </c>
      <c r="DP280" s="118">
        <v>0</v>
      </c>
      <c r="DQ280" s="118">
        <v>0</v>
      </c>
      <c r="DR280" s="118">
        <v>0</v>
      </c>
      <c r="DS280" s="118">
        <v>0</v>
      </c>
      <c r="DT280" s="118">
        <v>0</v>
      </c>
      <c r="DU280" s="118">
        <v>0</v>
      </c>
      <c r="DV280" s="118">
        <v>0</v>
      </c>
      <c r="DW280" s="118">
        <v>0</v>
      </c>
      <c r="DX280" s="118">
        <v>0</v>
      </c>
      <c r="DY280" s="118">
        <v>0</v>
      </c>
      <c r="DZ280" s="118">
        <v>0</v>
      </c>
    </row>
    <row r="281" spans="1:131" s="17" customFormat="1" x14ac:dyDescent="0.35">
      <c r="A281" s="36" t="s">
        <v>19</v>
      </c>
      <c r="B281" s="36" t="s">
        <v>1085</v>
      </c>
      <c r="C281" s="36" t="s">
        <v>27</v>
      </c>
      <c r="D281" s="16" t="s">
        <v>1141</v>
      </c>
      <c r="E281" s="38" t="s">
        <v>1142</v>
      </c>
      <c r="F281" s="38" t="s">
        <v>110</v>
      </c>
      <c r="G281" s="32" t="s">
        <v>101</v>
      </c>
      <c r="H281" s="32"/>
      <c r="I281" s="38"/>
      <c r="J281" s="38" t="s">
        <v>1143</v>
      </c>
      <c r="K281" s="38"/>
      <c r="L281" s="38"/>
      <c r="M281" s="38"/>
      <c r="N281" s="36"/>
      <c r="O281" s="38" t="s">
        <v>1144</v>
      </c>
      <c r="P281" s="36" t="s">
        <v>193</v>
      </c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36"/>
      <c r="AD281" s="39">
        <v>400</v>
      </c>
      <c r="AE281" s="39">
        <v>400</v>
      </c>
      <c r="AF281" s="37"/>
      <c r="AG281" s="37"/>
      <c r="AH281" s="34"/>
      <c r="AI281" s="45"/>
      <c r="AJ281" s="37">
        <v>0</v>
      </c>
      <c r="AK281" s="46">
        <v>0</v>
      </c>
      <c r="AL281" s="47">
        <f>AJ281*AK281</f>
        <v>0</v>
      </c>
      <c r="AM281" s="47"/>
      <c r="AN281" s="45"/>
      <c r="AO281" s="45"/>
      <c r="AP281" s="45"/>
      <c r="AQ281" s="45"/>
      <c r="AR281" s="39">
        <v>400</v>
      </c>
      <c r="AS281" s="40">
        <v>0.5</v>
      </c>
      <c r="AT281" s="44">
        <v>200</v>
      </c>
      <c r="AU281" s="48"/>
      <c r="AV281" s="49">
        <f>AU281*AS281</f>
        <v>0</v>
      </c>
      <c r="AW281" s="48"/>
      <c r="AX281" s="50"/>
      <c r="AY281" s="39">
        <v>400</v>
      </c>
      <c r="AZ281" s="40">
        <v>0.5</v>
      </c>
      <c r="BA281" s="44">
        <v>200</v>
      </c>
      <c r="BB281" s="39">
        <f>BA281-AT281</f>
        <v>0</v>
      </c>
      <c r="BC281" s="50"/>
      <c r="BD281" s="50"/>
      <c r="BE281" s="39">
        <v>400</v>
      </c>
      <c r="BF281" s="40">
        <v>0.5</v>
      </c>
      <c r="BG281" s="44">
        <f>BE281*BF281</f>
        <v>200</v>
      </c>
      <c r="BH281" s="44"/>
      <c r="BI281" s="39">
        <f>BG281-BA281</f>
        <v>0</v>
      </c>
      <c r="BJ281" s="39"/>
      <c r="BK281" s="50"/>
      <c r="BL281" s="50"/>
      <c r="BM281" s="39">
        <v>400</v>
      </c>
      <c r="BN281" s="40">
        <v>0.5</v>
      </c>
      <c r="BO281" s="44">
        <f t="shared" si="263"/>
        <v>200</v>
      </c>
      <c r="BP281" s="44"/>
      <c r="BQ281" s="92">
        <f>BO281-BA281</f>
        <v>0</v>
      </c>
      <c r="BR281" s="50"/>
      <c r="BS281" s="50"/>
      <c r="BT281" s="50"/>
      <c r="BU281" s="39">
        <v>400</v>
      </c>
      <c r="BV281" s="40">
        <v>0.5</v>
      </c>
      <c r="BW281" s="39">
        <f>BU281*BV281</f>
        <v>200</v>
      </c>
      <c r="BX281" s="118">
        <f>BW281-BO281</f>
        <v>0</v>
      </c>
      <c r="BY281" s="50"/>
      <c r="BZ281" s="50"/>
      <c r="CA281" s="39">
        <v>0</v>
      </c>
      <c r="CB281" s="40">
        <v>0</v>
      </c>
      <c r="CC281" s="39">
        <f t="shared" si="240"/>
        <v>0</v>
      </c>
      <c r="CD281" s="100"/>
      <c r="CE281" s="92">
        <f>CC281-BW281</f>
        <v>-200</v>
      </c>
      <c r="CF281" s="92">
        <f>CC281-BW281</f>
        <v>-200</v>
      </c>
      <c r="CG281" s="50"/>
      <c r="CH281" s="50"/>
      <c r="CI281" s="39">
        <v>0</v>
      </c>
      <c r="CJ281" s="40">
        <v>0</v>
      </c>
      <c r="CK281" s="39">
        <f t="shared" si="243"/>
        <v>0</v>
      </c>
      <c r="CL281" s="92">
        <f t="shared" si="244"/>
        <v>0</v>
      </c>
      <c r="CM281" s="50"/>
      <c r="CO281" s="39">
        <v>0</v>
      </c>
      <c r="CP281" s="40">
        <v>0</v>
      </c>
      <c r="CQ281" s="39">
        <f t="shared" si="227"/>
        <v>0</v>
      </c>
      <c r="CR281" s="92">
        <f t="shared" si="228"/>
        <v>0</v>
      </c>
      <c r="CS281" s="192"/>
      <c r="CW281" s="100"/>
      <c r="CX281" s="39">
        <v>0</v>
      </c>
      <c r="CY281" s="40">
        <v>0</v>
      </c>
      <c r="CZ281" s="39">
        <f t="shared" si="260"/>
        <v>0</v>
      </c>
      <c r="DA281" s="168">
        <f t="shared" si="239"/>
        <v>0</v>
      </c>
      <c r="DB281" s="168"/>
      <c r="DC281" s="168"/>
      <c r="DD281" s="192"/>
      <c r="DE281" s="192"/>
      <c r="DF281" s="39">
        <v>0</v>
      </c>
      <c r="DG281" s="40">
        <v>0</v>
      </c>
      <c r="DH281" s="39">
        <f t="shared" si="262"/>
        <v>0</v>
      </c>
      <c r="DI281" s="168">
        <f t="shared" si="255"/>
        <v>0</v>
      </c>
      <c r="DJ281" s="168">
        <f t="shared" si="261"/>
        <v>0</v>
      </c>
      <c r="DK281" s="168"/>
      <c r="DL281" s="168"/>
      <c r="DM281" s="168"/>
      <c r="DN281" s="92">
        <f t="shared" si="238"/>
        <v>0</v>
      </c>
      <c r="DO281" s="118">
        <v>0</v>
      </c>
      <c r="DP281" s="118">
        <v>0</v>
      </c>
      <c r="DQ281" s="118">
        <v>0</v>
      </c>
      <c r="DR281" s="118">
        <v>0</v>
      </c>
      <c r="DS281" s="118">
        <v>0</v>
      </c>
      <c r="DT281" s="118">
        <v>0</v>
      </c>
      <c r="DU281" s="118">
        <v>0</v>
      </c>
      <c r="DV281" s="118">
        <v>0</v>
      </c>
      <c r="DW281" s="118">
        <v>0</v>
      </c>
      <c r="DX281" s="118">
        <v>0</v>
      </c>
      <c r="DY281" s="118">
        <v>0</v>
      </c>
      <c r="DZ281" s="118">
        <v>0</v>
      </c>
    </row>
    <row r="282" spans="1:131" s="17" customFormat="1" x14ac:dyDescent="0.35">
      <c r="A282" s="36" t="s">
        <v>19</v>
      </c>
      <c r="B282" s="36" t="s">
        <v>1085</v>
      </c>
      <c r="C282" s="36" t="s">
        <v>27</v>
      </c>
      <c r="D282" s="16" t="s">
        <v>1145</v>
      </c>
      <c r="E282" s="38" t="s">
        <v>1146</v>
      </c>
      <c r="F282" s="38" t="s">
        <v>110</v>
      </c>
      <c r="G282" s="32" t="s">
        <v>101</v>
      </c>
      <c r="H282" s="32"/>
      <c r="I282" s="38"/>
      <c r="J282" s="38"/>
      <c r="K282" s="38"/>
      <c r="L282" s="38"/>
      <c r="M282" s="38"/>
      <c r="N282" s="36"/>
      <c r="O282" s="38" t="s">
        <v>1147</v>
      </c>
      <c r="P282" s="36" t="s">
        <v>361</v>
      </c>
      <c r="Q282" s="100"/>
      <c r="R282" s="100"/>
      <c r="S282" s="100"/>
      <c r="T282" s="100"/>
      <c r="U282" s="100"/>
      <c r="V282" s="100"/>
      <c r="W282" s="100">
        <f>CK282</f>
        <v>200</v>
      </c>
      <c r="X282" s="100"/>
      <c r="Y282" s="100"/>
      <c r="Z282" s="100"/>
      <c r="AA282" s="100"/>
      <c r="AB282" s="100"/>
      <c r="AC282" s="36"/>
      <c r="AD282" s="39">
        <v>400</v>
      </c>
      <c r="AE282" s="39">
        <v>400</v>
      </c>
      <c r="AF282" s="37"/>
      <c r="AG282" s="37"/>
      <c r="AH282" s="34"/>
      <c r="AI282" s="45"/>
      <c r="AJ282" s="37">
        <v>0</v>
      </c>
      <c r="AK282" s="46">
        <v>0</v>
      </c>
      <c r="AL282" s="47">
        <f>AJ282*AK282</f>
        <v>0</v>
      </c>
      <c r="AM282" s="47"/>
      <c r="AN282" s="45"/>
      <c r="AO282" s="45"/>
      <c r="AP282" s="45"/>
      <c r="AQ282" s="45"/>
      <c r="AR282" s="39">
        <v>400</v>
      </c>
      <c r="AS282" s="40">
        <v>0.5</v>
      </c>
      <c r="AT282" s="44">
        <v>200</v>
      </c>
      <c r="AU282" s="48"/>
      <c r="AV282" s="49">
        <f>AU282*AS282</f>
        <v>0</v>
      </c>
      <c r="AW282" s="48"/>
      <c r="AX282" s="50"/>
      <c r="AY282" s="39">
        <v>400</v>
      </c>
      <c r="AZ282" s="40">
        <v>0.5</v>
      </c>
      <c r="BA282" s="44">
        <v>200</v>
      </c>
      <c r="BB282" s="39">
        <f>BA282-AT282</f>
        <v>0</v>
      </c>
      <c r="BC282" s="50"/>
      <c r="BD282" s="50"/>
      <c r="BE282" s="39">
        <v>400</v>
      </c>
      <c r="BF282" s="40">
        <v>0.5</v>
      </c>
      <c r="BG282" s="44">
        <f>BE282*BF282</f>
        <v>200</v>
      </c>
      <c r="BH282" s="44"/>
      <c r="BI282" s="39">
        <f>BG282-BA282</f>
        <v>0</v>
      </c>
      <c r="BJ282" s="39"/>
      <c r="BK282" s="50"/>
      <c r="BL282" s="50"/>
      <c r="BM282" s="39">
        <v>400</v>
      </c>
      <c r="BN282" s="40">
        <v>0.5</v>
      </c>
      <c r="BO282" s="44">
        <f t="shared" si="263"/>
        <v>200</v>
      </c>
      <c r="BP282" s="44"/>
      <c r="BQ282" s="92">
        <f>BO282-BA282</f>
        <v>0</v>
      </c>
      <c r="BR282" s="50"/>
      <c r="BS282" s="50"/>
      <c r="BT282" s="50"/>
      <c r="BU282" s="39">
        <v>400</v>
      </c>
      <c r="BV282" s="40">
        <v>0.5</v>
      </c>
      <c r="BW282" s="39">
        <f>BU282*BV282</f>
        <v>200</v>
      </c>
      <c r="BX282" s="118">
        <f>BW282-BO282</f>
        <v>0</v>
      </c>
      <c r="BY282" s="50"/>
      <c r="BZ282" s="50"/>
      <c r="CA282" s="39">
        <v>400</v>
      </c>
      <c r="CB282" s="40">
        <v>0.5</v>
      </c>
      <c r="CC282" s="39">
        <f t="shared" si="240"/>
        <v>200</v>
      </c>
      <c r="CD282" s="100"/>
      <c r="CE282" s="92">
        <f>CC282-BW282</f>
        <v>0</v>
      </c>
      <c r="CF282" s="92">
        <f>CC282-BW282</f>
        <v>0</v>
      </c>
      <c r="CG282" s="50"/>
      <c r="CH282" s="50"/>
      <c r="CI282" s="39">
        <v>400</v>
      </c>
      <c r="CJ282" s="40">
        <v>0.5</v>
      </c>
      <c r="CK282" s="39">
        <f t="shared" si="243"/>
        <v>200</v>
      </c>
      <c r="CL282" s="92">
        <f t="shared" si="244"/>
        <v>0</v>
      </c>
      <c r="CM282" s="50"/>
      <c r="CO282" s="39">
        <v>400</v>
      </c>
      <c r="CP282" s="40">
        <v>0.5</v>
      </c>
      <c r="CQ282" s="191">
        <f t="shared" si="227"/>
        <v>200</v>
      </c>
      <c r="CR282" s="92">
        <f t="shared" si="228"/>
        <v>0</v>
      </c>
      <c r="CS282" s="192"/>
      <c r="CW282" s="100"/>
      <c r="CX282" s="39">
        <v>800</v>
      </c>
      <c r="CY282" s="40">
        <v>0.75</v>
      </c>
      <c r="CZ282" s="39">
        <f t="shared" si="260"/>
        <v>600</v>
      </c>
      <c r="DA282" s="168">
        <f t="shared" si="239"/>
        <v>400</v>
      </c>
      <c r="DB282" s="168"/>
      <c r="DC282" s="168"/>
      <c r="DD282" s="192" t="s">
        <v>1148</v>
      </c>
      <c r="DE282" s="192"/>
      <c r="DF282" s="39">
        <v>800</v>
      </c>
      <c r="DG282" s="40">
        <v>0.75</v>
      </c>
      <c r="DH282" s="39">
        <f t="shared" si="262"/>
        <v>600</v>
      </c>
      <c r="DI282" s="168">
        <f t="shared" si="255"/>
        <v>0</v>
      </c>
      <c r="DJ282" s="168">
        <f t="shared" si="261"/>
        <v>600</v>
      </c>
      <c r="DK282" s="168"/>
      <c r="DL282" s="168"/>
      <c r="DM282" s="168"/>
      <c r="DN282" s="92">
        <f t="shared" si="238"/>
        <v>600.75</v>
      </c>
      <c r="DO282" s="118">
        <v>0</v>
      </c>
      <c r="DP282" s="118">
        <v>0</v>
      </c>
      <c r="DQ282" s="118">
        <v>0</v>
      </c>
      <c r="DR282" s="118">
        <v>0</v>
      </c>
      <c r="DS282" s="118">
        <v>0</v>
      </c>
      <c r="DT282" s="118">
        <v>0</v>
      </c>
      <c r="DU282" s="118">
        <v>200.25</v>
      </c>
      <c r="DV282" s="118">
        <v>0</v>
      </c>
      <c r="DW282" s="118">
        <v>200.25</v>
      </c>
      <c r="DX282" s="118">
        <v>200.25</v>
      </c>
      <c r="DY282" s="118">
        <v>0</v>
      </c>
      <c r="DZ282" s="118">
        <v>0</v>
      </c>
    </row>
    <row r="283" spans="1:131" s="17" customFormat="1" x14ac:dyDescent="0.35">
      <c r="A283" s="36" t="s">
        <v>19</v>
      </c>
      <c r="B283" s="36" t="s">
        <v>1085</v>
      </c>
      <c r="C283" s="36" t="s">
        <v>27</v>
      </c>
      <c r="D283" s="16" t="s">
        <v>1149</v>
      </c>
      <c r="E283" s="38" t="s">
        <v>507</v>
      </c>
      <c r="F283" s="38" t="s">
        <v>100</v>
      </c>
      <c r="G283" s="32" t="s">
        <v>101</v>
      </c>
      <c r="H283" s="32"/>
      <c r="I283" s="38"/>
      <c r="J283" s="38" t="s">
        <v>275</v>
      </c>
      <c r="K283" s="38"/>
      <c r="L283" s="38"/>
      <c r="M283" s="38"/>
      <c r="N283" s="36"/>
      <c r="O283" s="38" t="s">
        <v>1116</v>
      </c>
      <c r="P283" s="36" t="s">
        <v>230</v>
      </c>
      <c r="Q283" s="100"/>
      <c r="R283" s="100"/>
      <c r="S283" s="100"/>
      <c r="T283" s="100"/>
      <c r="U283" s="100"/>
      <c r="V283" s="100"/>
      <c r="W283" s="100">
        <f>CK283</f>
        <v>100</v>
      </c>
      <c r="X283" s="100"/>
      <c r="Y283" s="100"/>
      <c r="Z283" s="100"/>
      <c r="AA283" s="100"/>
      <c r="AB283" s="100"/>
      <c r="AC283" s="36"/>
      <c r="AD283" s="39">
        <v>600</v>
      </c>
      <c r="AE283" s="39">
        <v>600</v>
      </c>
      <c r="AF283" s="37"/>
      <c r="AG283" s="37"/>
      <c r="AH283" s="34"/>
      <c r="AI283" s="45"/>
      <c r="AJ283" s="37">
        <v>0</v>
      </c>
      <c r="AK283" s="46">
        <v>0</v>
      </c>
      <c r="AL283" s="47">
        <f>AJ283*AK283</f>
        <v>0</v>
      </c>
      <c r="AM283" s="47"/>
      <c r="AN283" s="45"/>
      <c r="AO283" s="45"/>
      <c r="AP283" s="45"/>
      <c r="AQ283" s="45"/>
      <c r="AR283" s="39">
        <v>200</v>
      </c>
      <c r="AS283" s="40">
        <v>0.5</v>
      </c>
      <c r="AT283" s="44">
        <v>100</v>
      </c>
      <c r="AU283" s="48"/>
      <c r="AV283" s="49">
        <f>AU283*AS283</f>
        <v>0</v>
      </c>
      <c r="AW283" s="48"/>
      <c r="AX283" s="50"/>
      <c r="AY283" s="39">
        <v>200</v>
      </c>
      <c r="AZ283" s="40">
        <v>0.5</v>
      </c>
      <c r="BA283" s="44">
        <v>100</v>
      </c>
      <c r="BB283" s="39">
        <f>BA283-AT283</f>
        <v>0</v>
      </c>
      <c r="BC283" s="50"/>
      <c r="BD283" s="50"/>
      <c r="BE283" s="39">
        <v>200</v>
      </c>
      <c r="BF283" s="40">
        <v>0.5</v>
      </c>
      <c r="BG283" s="44">
        <f>BE283*BF283</f>
        <v>100</v>
      </c>
      <c r="BH283" s="44"/>
      <c r="BI283" s="39">
        <f>BG283-BA283</f>
        <v>0</v>
      </c>
      <c r="BJ283" s="39"/>
      <c r="BK283" s="50"/>
      <c r="BL283" s="50"/>
      <c r="BM283" s="39">
        <v>200</v>
      </c>
      <c r="BN283" s="40">
        <v>0.5</v>
      </c>
      <c r="BO283" s="44">
        <f t="shared" si="263"/>
        <v>100</v>
      </c>
      <c r="BP283" s="44"/>
      <c r="BQ283" s="92">
        <f>BO283-BA283</f>
        <v>0</v>
      </c>
      <c r="BR283" s="50"/>
      <c r="BS283" s="50"/>
      <c r="BT283" s="50"/>
      <c r="BU283" s="39">
        <v>200</v>
      </c>
      <c r="BV283" s="40">
        <v>0.5</v>
      </c>
      <c r="BW283" s="39">
        <f>BU283*BV283</f>
        <v>100</v>
      </c>
      <c r="BX283" s="118">
        <f>BW283-BO283</f>
        <v>0</v>
      </c>
      <c r="BY283" s="50"/>
      <c r="BZ283" s="50"/>
      <c r="CA283" s="39">
        <v>200</v>
      </c>
      <c r="CB283" s="40">
        <v>0.5</v>
      </c>
      <c r="CC283" s="39">
        <f t="shared" si="240"/>
        <v>100</v>
      </c>
      <c r="CD283" s="100"/>
      <c r="CE283" s="92">
        <f>CC283-BW283</f>
        <v>0</v>
      </c>
      <c r="CF283" s="92">
        <f>CC283-BW283</f>
        <v>0</v>
      </c>
      <c r="CG283" s="50"/>
      <c r="CI283" s="39">
        <v>200</v>
      </c>
      <c r="CJ283" s="40">
        <v>0.5</v>
      </c>
      <c r="CK283" s="39">
        <f t="shared" si="243"/>
        <v>100</v>
      </c>
      <c r="CL283" s="92">
        <f t="shared" si="244"/>
        <v>0</v>
      </c>
      <c r="CM283" s="50"/>
      <c r="CO283" s="39">
        <v>200</v>
      </c>
      <c r="CP283" s="40">
        <v>0.5</v>
      </c>
      <c r="CQ283" s="39">
        <f t="shared" si="227"/>
        <v>100</v>
      </c>
      <c r="CR283" s="92">
        <f t="shared" si="228"/>
        <v>0</v>
      </c>
      <c r="CS283" s="192"/>
      <c r="CW283" s="100"/>
      <c r="CX283" s="39">
        <v>100</v>
      </c>
      <c r="CY283" s="40">
        <v>0.5</v>
      </c>
      <c r="CZ283" s="39">
        <f t="shared" si="260"/>
        <v>50</v>
      </c>
      <c r="DA283" s="168">
        <f t="shared" si="239"/>
        <v>-50</v>
      </c>
      <c r="DB283" s="168"/>
      <c r="DC283" s="168"/>
      <c r="DD283" s="192"/>
      <c r="DE283" s="192"/>
      <c r="DF283" s="39">
        <v>100</v>
      </c>
      <c r="DG283" s="40">
        <v>0.5</v>
      </c>
      <c r="DH283" s="39">
        <f t="shared" si="262"/>
        <v>50</v>
      </c>
      <c r="DI283" s="168">
        <f t="shared" si="255"/>
        <v>0</v>
      </c>
      <c r="DJ283" s="168">
        <f t="shared" si="261"/>
        <v>50</v>
      </c>
      <c r="DK283" s="168"/>
      <c r="DL283" s="168"/>
      <c r="DM283" s="168"/>
      <c r="DN283" s="92">
        <f t="shared" si="238"/>
        <v>50</v>
      </c>
      <c r="DO283" s="118">
        <v>0</v>
      </c>
      <c r="DP283" s="118">
        <v>0</v>
      </c>
      <c r="DQ283" s="118">
        <v>0</v>
      </c>
      <c r="DR283" s="118">
        <v>0</v>
      </c>
      <c r="DS283" s="118">
        <v>0</v>
      </c>
      <c r="DT283" s="118">
        <v>0</v>
      </c>
      <c r="DU283" s="118">
        <v>0</v>
      </c>
      <c r="DV283" s="118">
        <v>0</v>
      </c>
      <c r="DW283" s="118">
        <v>50</v>
      </c>
      <c r="DX283" s="118">
        <v>0</v>
      </c>
      <c r="DY283" s="118">
        <v>0</v>
      </c>
      <c r="DZ283" s="118">
        <v>0</v>
      </c>
    </row>
    <row r="284" spans="1:131" s="17" customFormat="1" hidden="1" x14ac:dyDescent="0.35">
      <c r="A284" s="36" t="s">
        <v>19</v>
      </c>
      <c r="B284" s="36" t="s">
        <v>1085</v>
      </c>
      <c r="C284" s="36" t="s">
        <v>172</v>
      </c>
      <c r="D284" s="32" t="s">
        <v>193</v>
      </c>
      <c r="E284" s="38" t="s">
        <v>1150</v>
      </c>
      <c r="F284" s="38" t="s">
        <v>213</v>
      </c>
      <c r="G284" s="32" t="s">
        <v>263</v>
      </c>
      <c r="H284" s="32"/>
      <c r="I284" s="18"/>
      <c r="J284" s="115"/>
      <c r="K284" s="28"/>
      <c r="L284" s="28"/>
      <c r="M284" s="28"/>
      <c r="N284" s="28"/>
      <c r="O284" s="38"/>
      <c r="P284" s="36" t="s">
        <v>361</v>
      </c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36"/>
      <c r="AD284" s="39"/>
      <c r="AE284" s="39"/>
      <c r="AF284" s="37"/>
      <c r="AG284" s="37"/>
      <c r="AH284" s="34"/>
      <c r="AI284" s="45"/>
      <c r="AJ284" s="37"/>
      <c r="AK284" s="46"/>
      <c r="AL284" s="47"/>
      <c r="AM284" s="47"/>
      <c r="AN284" s="45"/>
      <c r="AO284" s="45"/>
      <c r="AP284" s="45"/>
      <c r="AQ284" s="45"/>
      <c r="AR284" s="39"/>
      <c r="AS284" s="40"/>
      <c r="AT284" s="44"/>
      <c r="AU284" s="48"/>
      <c r="AV284" s="49"/>
      <c r="AW284" s="48"/>
      <c r="AX284" s="34"/>
      <c r="AY284" s="39"/>
      <c r="AZ284" s="40"/>
      <c r="BA284" s="44"/>
      <c r="BB284" s="39"/>
      <c r="BC284" s="50"/>
      <c r="BD284" s="34"/>
      <c r="BE284" s="39"/>
      <c r="BF284" s="40"/>
      <c r="BG284" s="44"/>
      <c r="BH284" s="44"/>
      <c r="BI284" s="39"/>
      <c r="BJ284" s="39"/>
      <c r="BK284" s="50"/>
      <c r="BL284" s="34"/>
      <c r="BM284" s="39"/>
      <c r="BN284" s="40"/>
      <c r="BO284" s="44"/>
      <c r="BP284" s="44"/>
      <c r="BQ284" s="92"/>
      <c r="BR284" s="50"/>
      <c r="BS284" s="50"/>
      <c r="BT284" s="34"/>
      <c r="BU284" s="39"/>
      <c r="BV284" s="40"/>
      <c r="BW284" s="39"/>
      <c r="BX284" s="118"/>
      <c r="BY284" s="50"/>
      <c r="BZ284" s="34"/>
      <c r="CA284" s="39">
        <v>300</v>
      </c>
      <c r="CB284" s="40">
        <v>1</v>
      </c>
      <c r="CC284" s="39">
        <f t="shared" ref="CC284:CC285" si="264">CA284*CB284</f>
        <v>300</v>
      </c>
      <c r="CD284" s="100"/>
      <c r="CE284" s="92">
        <f>CC284-BW284</f>
        <v>300</v>
      </c>
      <c r="CF284" s="92">
        <f>CC284-BO284</f>
        <v>300</v>
      </c>
      <c r="CG284" s="50"/>
      <c r="CH284" s="115"/>
      <c r="CI284" s="39">
        <v>300</v>
      </c>
      <c r="CJ284" s="40">
        <v>1</v>
      </c>
      <c r="CK284" s="39">
        <f t="shared" ref="CK284:CK285" si="265">CI284*CJ284</f>
        <v>300</v>
      </c>
      <c r="CL284" s="118">
        <f t="shared" ref="CL284:CL285" si="266">CK284-CC284</f>
        <v>0</v>
      </c>
      <c r="CM284" s="34"/>
      <c r="CO284" s="39">
        <v>300</v>
      </c>
      <c r="CP284" s="40">
        <v>1</v>
      </c>
      <c r="CQ284" s="39">
        <f t="shared" ref="CQ284:CQ285" si="267">CO284*CP284</f>
        <v>300</v>
      </c>
      <c r="CR284" s="92">
        <f t="shared" ref="CR284:CR285" si="268">CQ284-CK284</f>
        <v>0</v>
      </c>
      <c r="CU284" s="39">
        <v>300</v>
      </c>
      <c r="CV284" s="101">
        <v>1</v>
      </c>
      <c r="CW284" s="100">
        <f>CU284*CV284</f>
        <v>300</v>
      </c>
      <c r="CX284" s="39">
        <v>0</v>
      </c>
      <c r="CY284" s="40">
        <v>1</v>
      </c>
      <c r="CZ284" s="39">
        <f t="shared" ref="CZ284:CZ285" si="269">CX284*CY284</f>
        <v>0</v>
      </c>
      <c r="DA284" s="168">
        <f t="shared" ref="DA284:DA285" si="270">CZ284-CQ284</f>
        <v>-300</v>
      </c>
      <c r="DB284" s="168"/>
      <c r="DC284" s="168"/>
      <c r="DD284" s="17" t="s">
        <v>1151</v>
      </c>
      <c r="DF284" s="39">
        <v>0</v>
      </c>
      <c r="DG284" s="40">
        <v>1</v>
      </c>
      <c r="DH284" s="39">
        <f t="shared" ref="DH284:DH285" si="271">DF284*DG284</f>
        <v>0</v>
      </c>
      <c r="DI284" s="168">
        <f t="shared" ref="DI284:DI285" si="272">DH284-CZ284</f>
        <v>0</v>
      </c>
      <c r="DJ284" s="168">
        <f t="shared" ref="DJ284:DJ285" si="273">DH284-CW284</f>
        <v>-300</v>
      </c>
      <c r="DN284" s="92">
        <f t="shared" ref="DN284:DN285" si="274">SUM(DO284:DZ284)</f>
        <v>0</v>
      </c>
      <c r="DZ284" s="17">
        <v>0</v>
      </c>
    </row>
    <row r="285" spans="1:131" s="17" customFormat="1" hidden="1" x14ac:dyDescent="0.35">
      <c r="A285" s="36" t="s">
        <v>19</v>
      </c>
      <c r="B285" s="36" t="s">
        <v>1085</v>
      </c>
      <c r="C285" s="36" t="s">
        <v>27</v>
      </c>
      <c r="D285" s="32" t="s">
        <v>193</v>
      </c>
      <c r="E285" s="38" t="s">
        <v>1152</v>
      </c>
      <c r="F285" s="38" t="s">
        <v>110</v>
      </c>
      <c r="G285" s="32" t="s">
        <v>263</v>
      </c>
      <c r="H285" s="32"/>
      <c r="I285" s="18"/>
      <c r="K285" s="28"/>
      <c r="L285" s="28"/>
      <c r="M285" s="28"/>
      <c r="N285" s="28"/>
      <c r="O285" s="38" t="s">
        <v>1153</v>
      </c>
      <c r="P285" s="36" t="s">
        <v>193</v>
      </c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36"/>
      <c r="AD285" s="39"/>
      <c r="AE285" s="39"/>
      <c r="AF285" s="37"/>
      <c r="AG285" s="37"/>
      <c r="AH285" s="34"/>
      <c r="AI285" s="45"/>
      <c r="AJ285" s="37"/>
      <c r="AK285" s="46"/>
      <c r="AL285" s="47"/>
      <c r="AM285" s="47"/>
      <c r="AN285" s="45"/>
      <c r="AO285" s="45"/>
      <c r="AP285" s="45"/>
      <c r="AQ285" s="45"/>
      <c r="AR285" s="39"/>
      <c r="AS285" s="40"/>
      <c r="AT285" s="44"/>
      <c r="AU285" s="48"/>
      <c r="AV285" s="49"/>
      <c r="AW285" s="48"/>
      <c r="AX285" s="50"/>
      <c r="AY285" s="39"/>
      <c r="AZ285" s="40"/>
      <c r="BA285" s="44"/>
      <c r="BB285" s="39"/>
      <c r="BC285" s="50"/>
      <c r="BD285" s="50"/>
      <c r="BE285" s="39"/>
      <c r="BF285" s="40"/>
      <c r="BG285" s="44"/>
      <c r="BH285" s="44"/>
      <c r="BI285" s="39"/>
      <c r="BJ285" s="39"/>
      <c r="BK285" s="50"/>
      <c r="BL285" s="50"/>
      <c r="BM285" s="39">
        <v>400</v>
      </c>
      <c r="BN285" s="40">
        <v>0.75</v>
      </c>
      <c r="BO285" s="44">
        <f>BM285*BN285</f>
        <v>300</v>
      </c>
      <c r="BP285" s="44"/>
      <c r="BQ285" s="92"/>
      <c r="BR285" s="50"/>
      <c r="BS285" s="50"/>
      <c r="BT285" s="50"/>
      <c r="BU285" s="39">
        <v>0</v>
      </c>
      <c r="BV285" s="40">
        <v>0</v>
      </c>
      <c r="BW285" s="39">
        <f>BU285*BV285</f>
        <v>0</v>
      </c>
      <c r="BX285" s="118">
        <f>BW285-BO285</f>
        <v>-300</v>
      </c>
      <c r="BY285" s="50"/>
      <c r="BZ285" s="50"/>
      <c r="CA285" s="39">
        <v>0</v>
      </c>
      <c r="CB285" s="40">
        <v>0</v>
      </c>
      <c r="CC285" s="39">
        <f t="shared" si="264"/>
        <v>0</v>
      </c>
      <c r="CD285" s="100"/>
      <c r="CE285" s="92">
        <f>CC285-BW285</f>
        <v>0</v>
      </c>
      <c r="CF285" s="92">
        <f>CC285-BO285</f>
        <v>-300</v>
      </c>
      <c r="CG285" s="50"/>
      <c r="CH285" s="50"/>
      <c r="CI285" s="39">
        <v>0</v>
      </c>
      <c r="CJ285" s="40">
        <v>0</v>
      </c>
      <c r="CK285" s="39">
        <f t="shared" si="265"/>
        <v>0</v>
      </c>
      <c r="CL285" s="92">
        <f t="shared" si="266"/>
        <v>0</v>
      </c>
      <c r="CM285" s="50"/>
      <c r="CO285" s="39">
        <v>0</v>
      </c>
      <c r="CP285" s="40">
        <v>0</v>
      </c>
      <c r="CQ285" s="39">
        <f t="shared" si="267"/>
        <v>0</v>
      </c>
      <c r="CR285" s="92">
        <f t="shared" si="268"/>
        <v>0</v>
      </c>
      <c r="CW285" s="100"/>
      <c r="CX285" s="39">
        <v>0</v>
      </c>
      <c r="CY285" s="40">
        <v>0</v>
      </c>
      <c r="CZ285" s="39">
        <f t="shared" si="269"/>
        <v>0</v>
      </c>
      <c r="DA285" s="168">
        <f t="shared" si="270"/>
        <v>0</v>
      </c>
      <c r="DB285" s="168"/>
      <c r="DC285" s="168"/>
      <c r="DF285" s="39">
        <v>0</v>
      </c>
      <c r="DG285" s="40">
        <v>0</v>
      </c>
      <c r="DH285" s="39">
        <f t="shared" si="271"/>
        <v>0</v>
      </c>
      <c r="DI285" s="168">
        <f t="shared" si="272"/>
        <v>0</v>
      </c>
      <c r="DJ285" s="168">
        <f t="shared" si="273"/>
        <v>0</v>
      </c>
      <c r="DN285" s="92">
        <f t="shared" si="274"/>
        <v>0</v>
      </c>
      <c r="DO285" s="50"/>
      <c r="DP285" s="50"/>
      <c r="DQ285" s="50"/>
      <c r="DR285" s="50"/>
      <c r="DS285" s="50"/>
      <c r="DT285" s="50"/>
      <c r="DU285" s="50"/>
      <c r="DV285" s="50"/>
      <c r="DW285" s="50"/>
      <c r="DX285" s="50"/>
      <c r="DY285" s="50"/>
      <c r="DZ285" s="50"/>
    </row>
    <row r="286" spans="1:131" x14ac:dyDescent="0.35">
      <c r="A286" s="32"/>
      <c r="B286" s="32"/>
      <c r="C286" s="32"/>
      <c r="D286" s="15"/>
      <c r="E286" s="87"/>
      <c r="F286" s="87"/>
      <c r="G286" s="32"/>
      <c r="H286" s="32"/>
      <c r="J286" s="61"/>
      <c r="O286" s="38"/>
      <c r="P286" s="32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32"/>
      <c r="AD286" s="39"/>
      <c r="AE286" s="39"/>
      <c r="AF286" s="37"/>
      <c r="AG286" s="37"/>
      <c r="AH286" s="158"/>
      <c r="AI286" s="160"/>
      <c r="AJ286" s="37"/>
      <c r="AK286" s="46"/>
      <c r="AL286" s="47"/>
      <c r="AM286" s="162"/>
      <c r="AN286" s="45"/>
      <c r="AO286" s="45"/>
      <c r="AP286" s="45"/>
      <c r="AQ286" s="160"/>
      <c r="AR286" s="39"/>
      <c r="AS286" s="40"/>
      <c r="AT286" s="44"/>
      <c r="AU286" s="48"/>
      <c r="AV286" s="49"/>
      <c r="AW286" s="48"/>
      <c r="AX286" s="158"/>
      <c r="AY286" s="39"/>
      <c r="AZ286" s="40"/>
      <c r="BA286" s="44"/>
      <c r="BB286" s="39"/>
      <c r="BC286" s="50"/>
      <c r="BD286" s="158"/>
      <c r="BE286" s="39"/>
      <c r="BF286" s="40"/>
      <c r="BG286" s="44"/>
      <c r="BH286" s="44"/>
      <c r="BI286" s="39"/>
      <c r="BJ286" s="39"/>
      <c r="BK286" s="50"/>
      <c r="BL286" s="158"/>
      <c r="BM286" s="39"/>
      <c r="BN286" s="40"/>
      <c r="BO286" s="44"/>
      <c r="BP286" s="44"/>
      <c r="BQ286" s="92"/>
      <c r="BR286" s="50"/>
      <c r="BS286" s="50"/>
      <c r="BT286" s="158"/>
      <c r="BU286" s="39"/>
      <c r="BV286" s="40"/>
      <c r="BW286" s="39"/>
      <c r="BX286" s="118"/>
      <c r="BY286" s="50"/>
      <c r="BZ286" s="158"/>
      <c r="CA286" s="39"/>
      <c r="CB286" s="40"/>
      <c r="CC286" s="39"/>
      <c r="CD286" s="100"/>
      <c r="CE286" s="92"/>
      <c r="CF286" s="92"/>
      <c r="CG286" s="50"/>
      <c r="CH286" s="142"/>
      <c r="CI286" s="159"/>
      <c r="CJ286" s="166"/>
      <c r="CK286" s="159"/>
      <c r="CL286" s="118"/>
      <c r="CM286" s="34"/>
      <c r="CW286" s="39"/>
      <c r="DN286" s="168"/>
      <c r="DP286" s="165"/>
      <c r="DQ286" s="165"/>
      <c r="DR286" s="165"/>
      <c r="DS286" s="165"/>
      <c r="DT286" s="165"/>
      <c r="DU286" s="165"/>
      <c r="DV286" s="165"/>
      <c r="DW286" s="165"/>
      <c r="DX286" s="165"/>
      <c r="DY286" s="165"/>
      <c r="DZ286" s="165"/>
      <c r="EA286" s="168"/>
    </row>
    <row r="287" spans="1:131" ht="14.1" customHeight="1" x14ac:dyDescent="0.4">
      <c r="B287" s="79"/>
      <c r="C287" s="79"/>
      <c r="D287" s="111"/>
      <c r="E287" s="126"/>
      <c r="F287" s="112"/>
      <c r="G287" s="79"/>
      <c r="H287" s="79"/>
      <c r="J287" s="50"/>
      <c r="O287" s="183"/>
      <c r="Q287" s="119">
        <f t="shared" ref="Q287:AB287" si="275">SUBTOTAL(9,Q3:Q285)</f>
        <v>2824.6239999999998</v>
      </c>
      <c r="R287" s="119">
        <f t="shared" si="275"/>
        <v>180</v>
      </c>
      <c r="S287" s="119">
        <f t="shared" si="275"/>
        <v>487</v>
      </c>
      <c r="T287" s="119">
        <f t="shared" si="275"/>
        <v>1824</v>
      </c>
      <c r="U287" s="119">
        <f t="shared" si="275"/>
        <v>175</v>
      </c>
      <c r="V287" s="119">
        <f t="shared" si="275"/>
        <v>807</v>
      </c>
      <c r="W287" s="119">
        <f t="shared" si="275"/>
        <v>905</v>
      </c>
      <c r="X287" s="119">
        <f t="shared" si="275"/>
        <v>0</v>
      </c>
      <c r="Y287" s="119">
        <f t="shared" si="275"/>
        <v>298</v>
      </c>
      <c r="Z287" s="119">
        <f t="shared" si="275"/>
        <v>0</v>
      </c>
      <c r="AA287" s="119">
        <f t="shared" si="275"/>
        <v>298</v>
      </c>
      <c r="AB287" s="119">
        <f t="shared" si="275"/>
        <v>0</v>
      </c>
      <c r="AL287" s="119">
        <f>SUBTOTAL(9,AL3:AL285)</f>
        <v>279</v>
      </c>
      <c r="AT287" s="119">
        <f>SUBTOTAL(9,AT3:AT285)</f>
        <v>5495.25</v>
      </c>
      <c r="BA287" s="119">
        <f>SUBTOTAL(9,BA3:BA285)</f>
        <v>5495.25</v>
      </c>
      <c r="BG287" s="119">
        <f>SUBTOTAL(9,BG3:BG285)</f>
        <v>5715.75</v>
      </c>
      <c r="BO287" s="119">
        <f>SUBTOTAL(9,BO3:BO285)</f>
        <v>5064</v>
      </c>
      <c r="BW287" s="119">
        <f>SUBTOTAL(9,BW3:BW285)</f>
        <v>8264.1929999999993</v>
      </c>
      <c r="CC287" s="119">
        <f>SUBTOTAL(9,CC3:CC285)</f>
        <v>7908.3930000000009</v>
      </c>
      <c r="CD287" s="119">
        <f>SUBTOTAL(9,CD3:CD285)</f>
        <v>0</v>
      </c>
      <c r="CE287" s="121"/>
      <c r="CF287" s="121"/>
      <c r="CK287" s="176">
        <f>SUBTOTAL(9,CK3:CK285)</f>
        <v>8048.6239999999998</v>
      </c>
      <c r="CL287" s="119">
        <f>SUBTOTAL(9,CL3:CL285)</f>
        <v>140.23099999999974</v>
      </c>
      <c r="CQ287" s="176">
        <f>SUBTOTAL(9,CQ3:CQ285)</f>
        <v>8245.3240000000005</v>
      </c>
      <c r="CR287" s="176">
        <f>SUBTOTAL(9,CR3:CR285)</f>
        <v>196.7</v>
      </c>
      <c r="CW287" s="176">
        <f>SUBTOTAL(9,CW3:CW285)</f>
        <v>0</v>
      </c>
      <c r="CX287" s="180"/>
      <c r="CY287" s="180"/>
      <c r="CZ287" s="176">
        <f>SUBTOTAL(9,CZ3:CZ285)</f>
        <v>8017.6509999999998</v>
      </c>
      <c r="DA287" s="176">
        <f>SUBTOTAL(9,DA3:DA285)</f>
        <v>-227.673</v>
      </c>
      <c r="DB287" s="176">
        <f>SUBTOTAL(9,DB3:DB285)</f>
        <v>0</v>
      </c>
      <c r="DC287" s="176">
        <f>SUBTOTAL(9,DC3:DC285)</f>
        <v>0</v>
      </c>
      <c r="DF287" s="180"/>
      <c r="DG287" s="180"/>
      <c r="DH287" s="176">
        <f>SUBTOTAL(9,DH3:DH286)</f>
        <v>8017.6509999999998</v>
      </c>
      <c r="DI287" s="176">
        <f>SUBTOTAL(9,DI3:DI285)</f>
        <v>0</v>
      </c>
      <c r="DJ287" s="176">
        <f>SUBTOTAL(9,DJ3:DJ285)</f>
        <v>8017.6509999999998</v>
      </c>
      <c r="DK287" s="180"/>
      <c r="DL287" s="180"/>
      <c r="DM287" s="176">
        <f t="shared" ref="DM287:DZ287" si="276">SUBTOTAL(9,DM3:DM285)</f>
        <v>0</v>
      </c>
      <c r="DN287" s="180">
        <f t="shared" si="276"/>
        <v>8030.7735000000011</v>
      </c>
      <c r="DO287" s="181">
        <f t="shared" si="276"/>
        <v>5.6479999999999961</v>
      </c>
      <c r="DP287" s="181">
        <f t="shared" si="276"/>
        <v>255.404</v>
      </c>
      <c r="DQ287" s="181">
        <f t="shared" si="276"/>
        <v>310.32500000000005</v>
      </c>
      <c r="DR287" s="181">
        <f t="shared" si="276"/>
        <v>74.14700000000002</v>
      </c>
      <c r="DS287" s="181">
        <f t="shared" si="276"/>
        <v>348.91499999999996</v>
      </c>
      <c r="DT287" s="181">
        <f t="shared" si="276"/>
        <v>1087.432</v>
      </c>
      <c r="DU287" s="181">
        <f t="shared" si="276"/>
        <v>2043.634</v>
      </c>
      <c r="DV287" s="181">
        <f t="shared" si="276"/>
        <v>391.24099999999999</v>
      </c>
      <c r="DW287" s="181">
        <f t="shared" si="276"/>
        <v>1050.8679999999999</v>
      </c>
      <c r="DX287" s="181">
        <f t="shared" si="276"/>
        <v>913.97500000000002</v>
      </c>
      <c r="DY287" s="181">
        <f t="shared" si="276"/>
        <v>406.16500000000002</v>
      </c>
      <c r="DZ287" s="181">
        <f t="shared" si="276"/>
        <v>1143.0194999999999</v>
      </c>
    </row>
    <row r="288" spans="1:131" x14ac:dyDescent="0.35">
      <c r="B288" s="79"/>
      <c r="C288" s="79"/>
      <c r="E288" s="132"/>
      <c r="F288" s="112"/>
      <c r="G288" s="79"/>
      <c r="H288" s="79"/>
      <c r="J288" s="50"/>
      <c r="O288" s="183"/>
      <c r="BO288" s="30"/>
      <c r="BP288" s="30"/>
      <c r="BQ288" s="30"/>
      <c r="BR288" s="30"/>
      <c r="BW288" s="17"/>
      <c r="CC288" s="121"/>
      <c r="CD288" s="121"/>
      <c r="CK288" s="177"/>
      <c r="CQ288" s="177"/>
      <c r="CW288" s="177"/>
      <c r="CX288" s="177"/>
      <c r="CY288" s="177"/>
      <c r="CZ288" s="177"/>
      <c r="DU288" s="91"/>
      <c r="DV288" s="91"/>
      <c r="DW288" s="91"/>
      <c r="DX288" s="91"/>
    </row>
    <row r="289" spans="2:130" x14ac:dyDescent="0.35">
      <c r="B289" s="79"/>
      <c r="C289" s="79"/>
      <c r="E289" s="126"/>
      <c r="F289" s="153"/>
      <c r="G289" s="113"/>
      <c r="H289" s="113"/>
      <c r="J289" s="193"/>
      <c r="O289" s="183"/>
      <c r="BO289" s="121"/>
      <c r="BW289" s="121"/>
      <c r="CC289" s="140"/>
      <c r="CD289" s="140"/>
      <c r="CK289" s="178"/>
      <c r="CQ289" s="177"/>
      <c r="CW289" s="177"/>
      <c r="CX289" s="177"/>
      <c r="CY289" s="177"/>
      <c r="CZ289" s="177">
        <f>CZ287-28000</f>
        <v>-19982.349000000002</v>
      </c>
      <c r="DH289" s="139" t="s">
        <v>1154</v>
      </c>
      <c r="DN289" s="177"/>
      <c r="DO289" s="179">
        <f>DO287/1000</f>
        <v>5.6479999999999959E-3</v>
      </c>
      <c r="DP289" s="179">
        <f t="shared" ref="DP289:DZ289" si="277">DP287/1000</f>
        <v>0.25540400000000002</v>
      </c>
      <c r="DQ289" s="179">
        <f t="shared" si="277"/>
        <v>0.31032500000000007</v>
      </c>
      <c r="DR289" s="179">
        <f t="shared" si="277"/>
        <v>7.4147000000000018E-2</v>
      </c>
      <c r="DS289" s="179">
        <f t="shared" si="277"/>
        <v>0.34891499999999998</v>
      </c>
      <c r="DT289" s="179">
        <f t="shared" si="277"/>
        <v>1.087432</v>
      </c>
      <c r="DU289" s="179">
        <f t="shared" si="277"/>
        <v>2.043634</v>
      </c>
      <c r="DV289" s="179">
        <f t="shared" si="277"/>
        <v>0.39124100000000001</v>
      </c>
      <c r="DW289" s="179">
        <f t="shared" si="277"/>
        <v>1.0508679999999999</v>
      </c>
      <c r="DX289" s="179">
        <f t="shared" si="277"/>
        <v>0.91397499999999998</v>
      </c>
      <c r="DY289" s="179">
        <f t="shared" si="277"/>
        <v>0.406165</v>
      </c>
      <c r="DZ289" s="179">
        <f t="shared" si="277"/>
        <v>1.1430194999999999</v>
      </c>
    </row>
    <row r="290" spans="2:130" x14ac:dyDescent="0.35">
      <c r="B290" s="79"/>
      <c r="C290" s="79"/>
      <c r="D290" s="114"/>
      <c r="E290" s="131"/>
      <c r="F290" s="130"/>
      <c r="G290" s="79"/>
      <c r="H290" s="79"/>
      <c r="J290" s="50"/>
      <c r="O290" s="183"/>
      <c r="Q290" s="21" t="s">
        <v>63</v>
      </c>
      <c r="R290" s="21" t="s">
        <v>64</v>
      </c>
      <c r="S290" s="21" t="s">
        <v>65</v>
      </c>
      <c r="T290" s="21" t="s">
        <v>66</v>
      </c>
      <c r="U290" s="21" t="s">
        <v>67</v>
      </c>
      <c r="V290" s="21" t="s">
        <v>68</v>
      </c>
      <c r="W290" s="21" t="s">
        <v>63</v>
      </c>
      <c r="X290" s="21" t="s">
        <v>69</v>
      </c>
      <c r="Y290" s="21" t="s">
        <v>70</v>
      </c>
      <c r="Z290" s="21" t="s">
        <v>64</v>
      </c>
      <c r="AA290" s="21" t="s">
        <v>70</v>
      </c>
      <c r="AB290" s="21" t="s">
        <v>63</v>
      </c>
      <c r="BW290" s="121"/>
      <c r="CC290" s="121"/>
      <c r="CD290" s="121"/>
      <c r="CK290" s="179"/>
      <c r="CP290" s="187"/>
      <c r="CQ290" s="177"/>
      <c r="CR290" s="177"/>
      <c r="CV290" s="187"/>
      <c r="CZ290" s="189">
        <f>CZ289/28000</f>
        <v>-0.71365532142857147</v>
      </c>
      <c r="DA290" s="177"/>
      <c r="DB290" s="177"/>
      <c r="DC290" s="177"/>
      <c r="DH290" s="202"/>
      <c r="DO290" s="179">
        <f>DO289</f>
        <v>5.6479999999999959E-3</v>
      </c>
      <c r="DP290" s="179">
        <f>DO290+DP289</f>
        <v>0.26105200000000001</v>
      </c>
      <c r="DQ290" s="179">
        <f t="shared" ref="DQ290:DZ290" si="278">DP290+DQ289</f>
        <v>0.57137700000000002</v>
      </c>
      <c r="DR290" s="179">
        <f t="shared" si="278"/>
        <v>0.64552399999999999</v>
      </c>
      <c r="DS290" s="179">
        <f t="shared" si="278"/>
        <v>0.99443899999999996</v>
      </c>
      <c r="DT290" s="179">
        <f t="shared" si="278"/>
        <v>2.081871</v>
      </c>
      <c r="DU290" s="179">
        <f t="shared" si="278"/>
        <v>4.1255050000000004</v>
      </c>
      <c r="DV290" s="179">
        <f t="shared" si="278"/>
        <v>4.5167460000000004</v>
      </c>
      <c r="DW290" s="179">
        <f t="shared" si="278"/>
        <v>5.5676140000000007</v>
      </c>
      <c r="DX290" s="179">
        <f t="shared" si="278"/>
        <v>6.4815890000000005</v>
      </c>
      <c r="DY290" s="179">
        <f t="shared" si="278"/>
        <v>6.8877540000000002</v>
      </c>
      <c r="DZ290" s="179">
        <f t="shared" si="278"/>
        <v>8.0307735000000005</v>
      </c>
    </row>
    <row r="291" spans="2:130" x14ac:dyDescent="0.35">
      <c r="E291" s="131"/>
      <c r="O291" s="185"/>
      <c r="P291" s="18" t="s">
        <v>998</v>
      </c>
      <c r="Q291" s="137">
        <f>Q287</f>
        <v>2824.6239999999998</v>
      </c>
      <c r="R291" s="137">
        <f t="shared" ref="R291:AB291" si="279">R287</f>
        <v>180</v>
      </c>
      <c r="S291" s="137">
        <f t="shared" si="279"/>
        <v>487</v>
      </c>
      <c r="T291" s="137">
        <f t="shared" si="279"/>
        <v>1824</v>
      </c>
      <c r="U291" s="137">
        <f t="shared" si="279"/>
        <v>175</v>
      </c>
      <c r="V291" s="137">
        <f t="shared" si="279"/>
        <v>807</v>
      </c>
      <c r="W291" s="137">
        <f t="shared" si="279"/>
        <v>905</v>
      </c>
      <c r="X291" s="137">
        <f t="shared" si="279"/>
        <v>0</v>
      </c>
      <c r="Y291" s="137">
        <f t="shared" si="279"/>
        <v>298</v>
      </c>
      <c r="Z291" s="137">
        <f t="shared" si="279"/>
        <v>0</v>
      </c>
      <c r="AA291" s="137">
        <f t="shared" si="279"/>
        <v>298</v>
      </c>
      <c r="AB291" s="137">
        <f t="shared" si="279"/>
        <v>0</v>
      </c>
      <c r="BO291" s="30"/>
      <c r="BW291" s="30"/>
      <c r="CC291" s="121"/>
      <c r="CD291" s="121"/>
      <c r="CK291" s="177"/>
      <c r="CP291" s="188"/>
      <c r="CQ291" s="190"/>
      <c r="CV291" s="188"/>
      <c r="CW291" s="177"/>
      <c r="CX291" s="177"/>
      <c r="CY291" s="177"/>
      <c r="CZ291" s="177"/>
      <c r="DH291" s="205"/>
      <c r="DO291" s="189">
        <f>DO290/$DZ$290</f>
        <v>7.032946452791871E-4</v>
      </c>
      <c r="DP291" s="189">
        <f t="shared" ref="DP291:DZ291" si="280">DP290/$DZ$290</f>
        <v>3.2506457815053555E-2</v>
      </c>
      <c r="DQ291" s="189">
        <f t="shared" si="280"/>
        <v>7.1148439188329735E-2</v>
      </c>
      <c r="DR291" s="189">
        <f t="shared" si="280"/>
        <v>8.0381298264731282E-2</v>
      </c>
      <c r="DS291" s="189">
        <f t="shared" si="280"/>
        <v>0.12382854528271778</v>
      </c>
      <c r="DT291" s="189">
        <f t="shared" si="280"/>
        <v>0.25923667253222865</v>
      </c>
      <c r="DU291" s="189">
        <f t="shared" si="280"/>
        <v>0.51371203533507703</v>
      </c>
      <c r="DV291" s="189">
        <f t="shared" si="280"/>
        <v>0.56242975847843302</v>
      </c>
      <c r="DW291" s="189">
        <f t="shared" si="280"/>
        <v>0.69328489964260609</v>
      </c>
      <c r="DX291" s="189">
        <f t="shared" si="280"/>
        <v>0.80709398665022747</v>
      </c>
      <c r="DY291" s="189">
        <f t="shared" si="280"/>
        <v>0.85767006129608803</v>
      </c>
      <c r="DZ291" s="189">
        <f t="shared" si="280"/>
        <v>1</v>
      </c>
    </row>
    <row r="292" spans="2:130" x14ac:dyDescent="0.35">
      <c r="E292" s="131"/>
      <c r="P292" s="18" t="s">
        <v>999</v>
      </c>
      <c r="Q292" s="137">
        <f>Q291</f>
        <v>2824.6239999999998</v>
      </c>
      <c r="R292" s="137">
        <f>Q292+R291</f>
        <v>3004.6239999999998</v>
      </c>
      <c r="S292" s="137">
        <f t="shared" ref="S292:AB292" si="281">R292+S291</f>
        <v>3491.6239999999998</v>
      </c>
      <c r="T292" s="137">
        <f t="shared" si="281"/>
        <v>5315.6239999999998</v>
      </c>
      <c r="U292" s="137">
        <f t="shared" si="281"/>
        <v>5490.6239999999998</v>
      </c>
      <c r="V292" s="137">
        <f t="shared" si="281"/>
        <v>6297.6239999999998</v>
      </c>
      <c r="W292" s="137">
        <f t="shared" si="281"/>
        <v>7202.6239999999998</v>
      </c>
      <c r="X292" s="137">
        <f t="shared" si="281"/>
        <v>7202.6239999999998</v>
      </c>
      <c r="Y292" s="137">
        <f t="shared" si="281"/>
        <v>7500.6239999999998</v>
      </c>
      <c r="Z292" s="137">
        <f t="shared" si="281"/>
        <v>7500.6239999999998</v>
      </c>
      <c r="AA292" s="137">
        <f t="shared" si="281"/>
        <v>7798.6239999999998</v>
      </c>
      <c r="AB292" s="137">
        <f t="shared" si="281"/>
        <v>7798.6239999999998</v>
      </c>
      <c r="BO292" s="30"/>
      <c r="BP292" s="30"/>
      <c r="BQ292" s="30"/>
      <c r="BR292" s="30"/>
      <c r="CC292" s="121"/>
      <c r="CD292" s="121"/>
      <c r="CK292" s="177"/>
      <c r="CP292" s="188"/>
      <c r="CQ292" s="189"/>
      <c r="CV292" s="188"/>
      <c r="CW292" s="189"/>
      <c r="CX292" s="189"/>
      <c r="CY292" s="189"/>
      <c r="DD292" s="127"/>
      <c r="DE292" s="127"/>
    </row>
    <row r="293" spans="2:130" x14ac:dyDescent="0.35">
      <c r="E293" s="131"/>
      <c r="P293" s="18" t="s">
        <v>1000</v>
      </c>
      <c r="Q293" s="138">
        <f>Q292/1000</f>
        <v>2.8246239999999996</v>
      </c>
      <c r="R293" s="138">
        <f t="shared" ref="R293:AB293" si="282">R292/1000</f>
        <v>3.0046239999999997</v>
      </c>
      <c r="S293" s="138">
        <f t="shared" si="282"/>
        <v>3.4916239999999998</v>
      </c>
      <c r="T293" s="138">
        <f t="shared" si="282"/>
        <v>5.3156239999999997</v>
      </c>
      <c r="U293" s="138">
        <f t="shared" si="282"/>
        <v>5.4906239999999995</v>
      </c>
      <c r="V293" s="138">
        <f t="shared" si="282"/>
        <v>6.2976239999999999</v>
      </c>
      <c r="W293" s="138">
        <f t="shared" si="282"/>
        <v>7.2026240000000001</v>
      </c>
      <c r="X293" s="138">
        <f t="shared" si="282"/>
        <v>7.2026240000000001</v>
      </c>
      <c r="Y293" s="138">
        <f t="shared" si="282"/>
        <v>7.5006240000000002</v>
      </c>
      <c r="Z293" s="138">
        <f t="shared" si="282"/>
        <v>7.5006240000000002</v>
      </c>
      <c r="AA293" s="138">
        <f t="shared" si="282"/>
        <v>7.7986240000000002</v>
      </c>
      <c r="AB293" s="138">
        <f t="shared" si="282"/>
        <v>7.7986240000000002</v>
      </c>
      <c r="CC293" s="118"/>
      <c r="CD293" s="118"/>
      <c r="CE293" s="121"/>
      <c r="CK293" s="165"/>
      <c r="CL293" s="121"/>
      <c r="CP293" s="188"/>
      <c r="CV293" s="188"/>
      <c r="DD293" s="127" t="s">
        <v>1155</v>
      </c>
      <c r="DE293" s="127"/>
      <c r="DH293" s="39">
        <f>33021</f>
        <v>33021</v>
      </c>
      <c r="DN293" s="92">
        <f>SUM(DO293:DZ293)</f>
        <v>200</v>
      </c>
      <c r="DO293" s="152">
        <v>0</v>
      </c>
      <c r="DP293" s="152">
        <v>0</v>
      </c>
      <c r="DQ293" s="152">
        <v>0</v>
      </c>
      <c r="DR293" s="152">
        <v>0</v>
      </c>
      <c r="DS293" s="152">
        <v>0</v>
      </c>
      <c r="DT293" s="152">
        <v>0</v>
      </c>
      <c r="DU293" s="152">
        <v>0</v>
      </c>
      <c r="DV293" s="152">
        <v>0</v>
      </c>
      <c r="DW293" s="152">
        <v>0</v>
      </c>
      <c r="DX293" s="152">
        <v>0</v>
      </c>
      <c r="DY293" s="152">
        <v>200</v>
      </c>
      <c r="DZ293" s="152">
        <v>0</v>
      </c>
    </row>
    <row r="294" spans="2:130" x14ac:dyDescent="0.35">
      <c r="E294" s="131"/>
      <c r="CC294" s="118"/>
      <c r="CD294" s="118"/>
      <c r="CE294" s="121"/>
      <c r="CK294" s="165"/>
      <c r="CL294" s="121"/>
      <c r="DD294" s="127" t="s">
        <v>1156</v>
      </c>
      <c r="DE294" s="127"/>
      <c r="DH294" s="139">
        <v>8816</v>
      </c>
      <c r="DN294" s="92">
        <f>SUM(DO294:DZ294)</f>
        <v>1000</v>
      </c>
      <c r="DO294" s="152"/>
      <c r="DP294" s="152"/>
      <c r="DQ294" s="152"/>
      <c r="DR294" s="152"/>
      <c r="DS294" s="152"/>
      <c r="DT294" s="152"/>
      <c r="DU294" s="152"/>
      <c r="DV294" s="152"/>
      <c r="DW294" s="152"/>
      <c r="DX294" s="152">
        <v>250</v>
      </c>
      <c r="DY294" s="152">
        <v>250</v>
      </c>
      <c r="DZ294" s="152">
        <v>500</v>
      </c>
    </row>
    <row r="295" spans="2:130" x14ac:dyDescent="0.35">
      <c r="E295" s="131"/>
      <c r="BW295" s="122"/>
      <c r="CC295" s="118"/>
      <c r="CD295" s="118"/>
      <c r="CE295" s="121"/>
      <c r="CL295" s="121"/>
      <c r="DD295" s="127"/>
      <c r="DE295" s="127"/>
      <c r="DH295" s="177">
        <f>DH293+DH294</f>
        <v>41837</v>
      </c>
      <c r="DO295" s="177">
        <f>(DO293+DO294)/1000</f>
        <v>0</v>
      </c>
      <c r="DP295" s="177">
        <f t="shared" ref="DP295:DZ295" si="283">(DP293+DP294)/1000</f>
        <v>0</v>
      </c>
      <c r="DQ295" s="177">
        <f t="shared" si="283"/>
        <v>0</v>
      </c>
      <c r="DR295" s="177">
        <f t="shared" si="283"/>
        <v>0</v>
      </c>
      <c r="DS295" s="177">
        <f t="shared" si="283"/>
        <v>0</v>
      </c>
      <c r="DT295" s="177">
        <f t="shared" si="283"/>
        <v>0</v>
      </c>
      <c r="DU295" s="177">
        <f t="shared" si="283"/>
        <v>0</v>
      </c>
      <c r="DV295" s="177">
        <f t="shared" si="283"/>
        <v>0</v>
      </c>
      <c r="DW295" s="177">
        <f t="shared" si="283"/>
        <v>0</v>
      </c>
      <c r="DX295" s="177">
        <f t="shared" si="283"/>
        <v>0.25</v>
      </c>
      <c r="DY295" s="177">
        <f t="shared" si="283"/>
        <v>0.45</v>
      </c>
      <c r="DZ295" s="177">
        <f t="shared" si="283"/>
        <v>0.5</v>
      </c>
    </row>
    <row r="296" spans="2:130" x14ac:dyDescent="0.35">
      <c r="E296" s="131"/>
      <c r="AE296" s="19">
        <v>6</v>
      </c>
      <c r="BW296" s="123"/>
      <c r="CE296" s="121"/>
      <c r="CK296" s="177"/>
      <c r="CM296" s="121"/>
      <c r="DD296" s="127"/>
      <c r="DE296" s="127"/>
      <c r="DO296" s="177">
        <f>DO295</f>
        <v>0</v>
      </c>
      <c r="DP296" s="177">
        <f>DO296+DP295</f>
        <v>0</v>
      </c>
      <c r="DQ296" s="177">
        <f t="shared" ref="DQ296:DZ296" si="284">DP296+DQ295</f>
        <v>0</v>
      </c>
      <c r="DR296" s="177">
        <f t="shared" si="284"/>
        <v>0</v>
      </c>
      <c r="DS296" s="177">
        <f t="shared" si="284"/>
        <v>0</v>
      </c>
      <c r="DT296" s="177">
        <f t="shared" si="284"/>
        <v>0</v>
      </c>
      <c r="DU296" s="177">
        <f t="shared" si="284"/>
        <v>0</v>
      </c>
      <c r="DV296" s="177">
        <f t="shared" si="284"/>
        <v>0</v>
      </c>
      <c r="DW296" s="177">
        <f t="shared" si="284"/>
        <v>0</v>
      </c>
      <c r="DX296" s="177">
        <f t="shared" si="284"/>
        <v>0.25</v>
      </c>
      <c r="DY296" s="177">
        <f t="shared" si="284"/>
        <v>0.7</v>
      </c>
      <c r="DZ296" s="177">
        <f t="shared" si="284"/>
        <v>1.2</v>
      </c>
    </row>
    <row r="297" spans="2:130" x14ac:dyDescent="0.35">
      <c r="E297" s="131"/>
      <c r="CC297" s="121"/>
      <c r="CD297" s="121"/>
      <c r="CK297" s="177"/>
      <c r="CM297" s="121"/>
      <c r="CQ297" s="189"/>
      <c r="CX297" s="189"/>
      <c r="CY297" s="189"/>
      <c r="DD297" s="127"/>
      <c r="DE297" s="127"/>
      <c r="DH297" s="202">
        <f>41.837/54.79</f>
        <v>0.76358824603029762</v>
      </c>
    </row>
    <row r="298" spans="2:130" x14ac:dyDescent="0.35">
      <c r="E298" s="131"/>
      <c r="G298" s="139"/>
      <c r="H298" s="17"/>
      <c r="CE298" s="134"/>
      <c r="CF298" s="134"/>
      <c r="CL298" s="134"/>
      <c r="DD298" s="127"/>
      <c r="DE298" s="127"/>
    </row>
    <row r="299" spans="2:130" x14ac:dyDescent="0.35">
      <c r="E299" s="131"/>
      <c r="G299" s="139"/>
      <c r="H299" s="17"/>
      <c r="DD299" s="127"/>
      <c r="DE299" s="127"/>
    </row>
    <row r="300" spans="2:130" x14ac:dyDescent="0.35">
      <c r="E300" s="131"/>
      <c r="CA300" s="17" t="s">
        <v>1157</v>
      </c>
      <c r="CC300" s="17">
        <v>3.6</v>
      </c>
      <c r="DD300" s="127"/>
      <c r="DE300" s="127"/>
    </row>
    <row r="301" spans="2:130" x14ac:dyDescent="0.35">
      <c r="E301" s="131"/>
      <c r="CA301" s="17" t="s">
        <v>1158</v>
      </c>
      <c r="CC301" s="17">
        <v>2.2000000000000002</v>
      </c>
      <c r="DD301" s="127"/>
      <c r="DE301" s="127"/>
      <c r="DH301" s="139">
        <v>37.299999999999997</v>
      </c>
      <c r="DI301" s="188">
        <f>23.4+0.25+1+0.42+0.4+1</f>
        <v>26.47</v>
      </c>
      <c r="DJ301" s="197"/>
    </row>
    <row r="302" spans="2:130" x14ac:dyDescent="0.35">
      <c r="E302" s="131"/>
      <c r="CA302" s="17" t="s">
        <v>1159</v>
      </c>
      <c r="CC302" s="17">
        <v>1</v>
      </c>
      <c r="DD302" s="127"/>
      <c r="DE302" s="127"/>
      <c r="DH302" s="139">
        <v>17.5</v>
      </c>
      <c r="DI302" s="188">
        <v>8.8160000000000007</v>
      </c>
    </row>
    <row r="303" spans="2:130" x14ac:dyDescent="0.35">
      <c r="E303" s="131"/>
      <c r="CA303" s="17" t="s">
        <v>1160</v>
      </c>
      <c r="CC303" s="17">
        <v>2.6</v>
      </c>
      <c r="DD303" s="127"/>
      <c r="DE303" s="127"/>
      <c r="DI303" s="188"/>
    </row>
    <row r="304" spans="2:130" x14ac:dyDescent="0.35">
      <c r="E304" s="131"/>
      <c r="CA304" s="17" t="s">
        <v>1161</v>
      </c>
      <c r="CC304" s="17">
        <v>2.9</v>
      </c>
      <c r="DD304" s="127"/>
      <c r="DE304" s="127"/>
      <c r="DH304" s="139">
        <f>DH301+DH302</f>
        <v>54.8</v>
      </c>
      <c r="DI304" s="188">
        <f>DI301+DI302</f>
        <v>35.286000000000001</v>
      </c>
      <c r="DJ304" s="202">
        <f>DI304/DH304</f>
        <v>0.64390510948905111</v>
      </c>
    </row>
    <row r="305" spans="5:132" x14ac:dyDescent="0.35">
      <c r="E305" s="131"/>
      <c r="DD305" s="127"/>
      <c r="DE305" s="127"/>
      <c r="EA305" s="197" t="s">
        <v>1162</v>
      </c>
      <c r="EB305" s="139" t="s">
        <v>1163</v>
      </c>
    </row>
    <row r="306" spans="5:132" x14ac:dyDescent="0.35">
      <c r="E306" s="131"/>
      <c r="DD306" s="127"/>
      <c r="DE306" s="127"/>
      <c r="DI306" s="139">
        <v>50</v>
      </c>
      <c r="DJ306" s="202">
        <f>DI306/DH304</f>
        <v>0.91240875912408759</v>
      </c>
      <c r="EA306" s="197" t="s">
        <v>1164</v>
      </c>
      <c r="EB306" s="139" t="s">
        <v>1165</v>
      </c>
    </row>
    <row r="307" spans="5:132" x14ac:dyDescent="0.35">
      <c r="E307" s="131"/>
      <c r="DD307" s="127"/>
      <c r="DE307" s="127"/>
    </row>
    <row r="308" spans="5:132" x14ac:dyDescent="0.35">
      <c r="E308" s="131"/>
      <c r="DH308" s="188">
        <v>21.350999999999999</v>
      </c>
      <c r="DI308" s="139">
        <v>15.63</v>
      </c>
      <c r="DJ308" s="202"/>
      <c r="EB308" s="139" t="s">
        <v>1166</v>
      </c>
    </row>
    <row r="309" spans="5:132" x14ac:dyDescent="0.35">
      <c r="E309" s="131"/>
      <c r="DH309" s="188">
        <v>6.8979999999999997</v>
      </c>
      <c r="DI309" s="206">
        <v>5.5</v>
      </c>
    </row>
    <row r="310" spans="5:132" x14ac:dyDescent="0.35">
      <c r="E310" s="131"/>
      <c r="DD310" s="127"/>
      <c r="DE310" s="127"/>
    </row>
    <row r="311" spans="5:132" x14ac:dyDescent="0.35">
      <c r="E311" s="131"/>
      <c r="DD311" s="127"/>
      <c r="DE311" s="127"/>
      <c r="DH311" s="188">
        <f>DH308+DH309</f>
        <v>28.248999999999999</v>
      </c>
      <c r="DI311" s="188">
        <f>DI308+DI309</f>
        <v>21.130000000000003</v>
      </c>
      <c r="DJ311" s="202">
        <f>DI311/DH311</f>
        <v>0.74799107933024189</v>
      </c>
    </row>
    <row r="312" spans="5:132" x14ac:dyDescent="0.35">
      <c r="E312" s="131"/>
      <c r="DD312" s="127"/>
      <c r="DE312" s="127"/>
    </row>
    <row r="313" spans="5:132" x14ac:dyDescent="0.35">
      <c r="E313" s="131"/>
      <c r="DD313" s="127"/>
      <c r="DE313" s="127"/>
    </row>
    <row r="314" spans="5:132" x14ac:dyDescent="0.35">
      <c r="E314" s="131"/>
      <c r="DD314" s="127"/>
      <c r="DE314" s="127"/>
    </row>
    <row r="315" spans="5:132" x14ac:dyDescent="0.35">
      <c r="E315" s="131"/>
      <c r="DD315" s="127"/>
      <c r="DE315" s="127"/>
    </row>
    <row r="316" spans="5:132" x14ac:dyDescent="0.35">
      <c r="E316" s="131"/>
      <c r="DD316" s="127"/>
      <c r="DE316" s="127"/>
    </row>
    <row r="317" spans="5:132" x14ac:dyDescent="0.35">
      <c r="E317" s="131"/>
    </row>
    <row r="318" spans="5:132" x14ac:dyDescent="0.35">
      <c r="E318" s="131"/>
      <c r="DD318" s="127"/>
      <c r="DE318" s="127"/>
    </row>
    <row r="1048361" spans="92:117" x14ac:dyDescent="0.35">
      <c r="CN1048361" s="18"/>
      <c r="CO1048361" s="18"/>
      <c r="CP1048361" s="18"/>
      <c r="CQ1048361" s="18"/>
      <c r="CR1048361" s="18"/>
      <c r="CS1048361" s="18"/>
      <c r="CT1048361" s="18"/>
      <c r="CU1048361" s="18"/>
      <c r="CV1048361" s="18"/>
      <c r="CW1048361" s="18"/>
      <c r="CX1048361" s="18"/>
      <c r="CY1048361" s="18"/>
      <c r="CZ1048361" s="18"/>
      <c r="DA1048361" s="18"/>
      <c r="DB1048361" s="18"/>
      <c r="DC1048361" s="18"/>
      <c r="DD1048361" s="18"/>
      <c r="DE1048361" s="18"/>
      <c r="DF1048361" s="18"/>
      <c r="DG1048361" s="18"/>
      <c r="DH1048361" s="18"/>
      <c r="DI1048361" s="18"/>
      <c r="DJ1048361" s="18"/>
      <c r="DK1048361" s="200"/>
      <c r="DL1048361" s="200"/>
      <c r="DM1048361" s="200"/>
    </row>
    <row r="1048362" spans="92:117" x14ac:dyDescent="0.35">
      <c r="CN1048362" s="154"/>
      <c r="CO1048362" s="154"/>
      <c r="CP1048362" s="154"/>
      <c r="CQ1048362" s="154"/>
      <c r="CR1048362" s="154"/>
      <c r="CS1048362" s="154"/>
      <c r="CT1048362" s="154"/>
      <c r="CU1048362" s="154"/>
      <c r="CV1048362" s="154"/>
      <c r="CW1048362" s="154"/>
      <c r="CX1048362" s="154"/>
      <c r="CY1048362" s="154"/>
      <c r="CZ1048362" s="154"/>
      <c r="DA1048362" s="154"/>
      <c r="DB1048362" s="154"/>
      <c r="DC1048362" s="154"/>
      <c r="DD1048362" s="154"/>
      <c r="DE1048362" s="154"/>
      <c r="DF1048362" s="154"/>
      <c r="DG1048362" s="154"/>
      <c r="DH1048362" s="154"/>
      <c r="DI1048362" s="154"/>
      <c r="DJ1048362" s="154"/>
      <c r="DK1048362" s="158"/>
      <c r="DL1048362" s="158"/>
      <c r="DM1048362" s="158"/>
    </row>
    <row r="1048363" spans="92:117" x14ac:dyDescent="0.35">
      <c r="CN1048363" s="91"/>
      <c r="CO1048363" s="91"/>
      <c r="CP1048363" s="91"/>
      <c r="CQ1048363" s="91"/>
      <c r="CR1048363" s="91"/>
      <c r="CS1048363" s="91"/>
      <c r="CT1048363" s="91"/>
      <c r="CU1048363" s="91"/>
      <c r="CV1048363" s="91"/>
      <c r="CW1048363" s="91"/>
      <c r="CX1048363" s="91"/>
      <c r="CY1048363" s="91"/>
      <c r="CZ1048363" s="91"/>
      <c r="DA1048363" s="91"/>
      <c r="DB1048363" s="91"/>
      <c r="DC1048363" s="91"/>
      <c r="DD1048363" s="91"/>
      <c r="DE1048363" s="91"/>
      <c r="DF1048363" s="91"/>
      <c r="DG1048363" s="91"/>
      <c r="DH1048363" s="91"/>
      <c r="DI1048363" s="91"/>
      <c r="DJ1048363" s="91"/>
      <c r="DK1048363" s="158"/>
      <c r="DL1048363" s="158"/>
      <c r="DM1048363" s="158"/>
    </row>
    <row r="1048364" spans="92:117" x14ac:dyDescent="0.35">
      <c r="CN1048364" s="154"/>
      <c r="CO1048364" s="154"/>
      <c r="CP1048364" s="154"/>
      <c r="CQ1048364" s="154"/>
      <c r="CR1048364" s="154"/>
      <c r="CS1048364" s="154"/>
      <c r="CT1048364" s="154"/>
      <c r="CU1048364" s="154"/>
      <c r="CV1048364" s="154"/>
      <c r="CW1048364" s="154"/>
      <c r="CX1048364" s="154"/>
      <c r="CY1048364" s="154"/>
      <c r="CZ1048364" s="154"/>
      <c r="DA1048364" s="154"/>
      <c r="DB1048364" s="154"/>
      <c r="DC1048364" s="154"/>
      <c r="DD1048364" s="154"/>
      <c r="DE1048364" s="154"/>
      <c r="DF1048364" s="154"/>
      <c r="DG1048364" s="154"/>
      <c r="DH1048364" s="154"/>
      <c r="DI1048364" s="154"/>
      <c r="DJ1048364" s="154"/>
      <c r="DK1048364" s="158"/>
      <c r="DL1048364" s="158"/>
      <c r="DM1048364" s="158"/>
    </row>
    <row r="1048365" spans="92:117" x14ac:dyDescent="0.35">
      <c r="CN1048365" s="154"/>
      <c r="CO1048365" s="154"/>
      <c r="CP1048365" s="154"/>
      <c r="CQ1048365" s="154"/>
      <c r="CR1048365" s="154"/>
      <c r="CS1048365" s="154"/>
      <c r="CT1048365" s="154"/>
      <c r="CU1048365" s="154"/>
      <c r="CV1048365" s="154"/>
      <c r="CW1048365" s="154"/>
      <c r="CX1048365" s="154"/>
      <c r="CY1048365" s="154"/>
      <c r="CZ1048365" s="154"/>
      <c r="DA1048365" s="154"/>
      <c r="DB1048365" s="154"/>
      <c r="DC1048365" s="154"/>
      <c r="DD1048365" s="154"/>
      <c r="DE1048365" s="154"/>
      <c r="DF1048365" s="154"/>
      <c r="DG1048365" s="154"/>
      <c r="DH1048365" s="154"/>
      <c r="DI1048365" s="154"/>
      <c r="DJ1048365" s="154"/>
      <c r="DK1048365" s="158"/>
      <c r="DL1048365" s="158"/>
      <c r="DM1048365" s="158"/>
    </row>
    <row r="1048366" spans="92:117" x14ac:dyDescent="0.35">
      <c r="CN1048366" s="154"/>
      <c r="CO1048366" s="154"/>
      <c r="CP1048366" s="154"/>
      <c r="CQ1048366" s="154"/>
      <c r="CR1048366" s="154"/>
      <c r="CS1048366" s="154"/>
      <c r="CT1048366" s="154"/>
      <c r="CU1048366" s="154"/>
      <c r="CV1048366" s="154"/>
      <c r="CW1048366" s="154"/>
      <c r="CX1048366" s="154"/>
      <c r="CY1048366" s="154"/>
      <c r="CZ1048366" s="154"/>
      <c r="DA1048366" s="154"/>
      <c r="DB1048366" s="154"/>
      <c r="DC1048366" s="154"/>
      <c r="DD1048366" s="154"/>
      <c r="DE1048366" s="154"/>
      <c r="DF1048366" s="154"/>
      <c r="DG1048366" s="154"/>
      <c r="DH1048366" s="154"/>
      <c r="DI1048366" s="154"/>
      <c r="DJ1048366" s="154"/>
      <c r="DK1048366" s="158"/>
      <c r="DL1048366" s="158"/>
      <c r="DM1048366" s="158"/>
    </row>
    <row r="1048367" spans="92:117" x14ac:dyDescent="0.35">
      <c r="CN1048367" s="91"/>
      <c r="CO1048367" s="91"/>
      <c r="CP1048367" s="91"/>
      <c r="CQ1048367" s="91"/>
      <c r="CR1048367" s="91"/>
      <c r="CS1048367" s="91"/>
      <c r="CT1048367" s="91"/>
      <c r="CU1048367" s="91"/>
      <c r="CV1048367" s="91"/>
      <c r="CW1048367" s="91"/>
      <c r="CX1048367" s="91"/>
      <c r="CY1048367" s="91"/>
      <c r="CZ1048367" s="91"/>
      <c r="DA1048367" s="91"/>
      <c r="DB1048367" s="91"/>
      <c r="DC1048367" s="91"/>
      <c r="DD1048367" s="91"/>
      <c r="DE1048367" s="91"/>
      <c r="DF1048367" s="91"/>
      <c r="DG1048367" s="91"/>
      <c r="DH1048367" s="91"/>
      <c r="DI1048367" s="91"/>
      <c r="DJ1048367" s="91"/>
      <c r="DK1048367" s="158"/>
      <c r="DL1048367" s="158"/>
      <c r="DM1048367" s="158"/>
    </row>
    <row r="1048368" spans="92:117" x14ac:dyDescent="0.35">
      <c r="CN1048368" s="154"/>
      <c r="CO1048368" s="154"/>
      <c r="CP1048368" s="154"/>
      <c r="CQ1048368" s="154"/>
      <c r="CR1048368" s="154"/>
      <c r="CS1048368" s="154"/>
      <c r="CT1048368" s="154"/>
      <c r="CU1048368" s="154"/>
      <c r="CV1048368" s="154"/>
      <c r="CW1048368" s="154"/>
      <c r="CX1048368" s="154"/>
      <c r="CY1048368" s="154"/>
      <c r="CZ1048368" s="154"/>
      <c r="DA1048368" s="154"/>
      <c r="DB1048368" s="154"/>
      <c r="DC1048368" s="154"/>
      <c r="DD1048368" s="154"/>
      <c r="DE1048368" s="154"/>
      <c r="DF1048368" s="154"/>
      <c r="DG1048368" s="154"/>
      <c r="DH1048368" s="154"/>
      <c r="DI1048368" s="154"/>
      <c r="DJ1048368" s="154"/>
      <c r="DK1048368" s="158"/>
      <c r="DL1048368" s="158"/>
      <c r="DM1048368" s="158"/>
    </row>
    <row r="1048369" spans="92:117" x14ac:dyDescent="0.35">
      <c r="CN1048369" s="91"/>
      <c r="CO1048369" s="91"/>
      <c r="CP1048369" s="91"/>
      <c r="CQ1048369" s="91"/>
      <c r="CR1048369" s="91"/>
      <c r="CS1048369" s="91"/>
      <c r="CT1048369" s="91"/>
      <c r="CU1048369" s="91"/>
      <c r="CV1048369" s="91"/>
      <c r="CW1048369" s="91"/>
      <c r="CX1048369" s="91"/>
      <c r="CY1048369" s="91"/>
      <c r="CZ1048369" s="91"/>
      <c r="DA1048369" s="91"/>
      <c r="DB1048369" s="91"/>
      <c r="DC1048369" s="91"/>
      <c r="DD1048369" s="91"/>
      <c r="DE1048369" s="91"/>
      <c r="DF1048369" s="91"/>
      <c r="DG1048369" s="91"/>
      <c r="DH1048369" s="91"/>
      <c r="DI1048369" s="91"/>
      <c r="DJ1048369" s="91"/>
      <c r="DK1048369" s="158"/>
      <c r="DL1048369" s="158"/>
      <c r="DM1048369" s="158"/>
    </row>
    <row r="1048370" spans="92:117" x14ac:dyDescent="0.35">
      <c r="CN1048370" s="91"/>
      <c r="CO1048370" s="91"/>
      <c r="CP1048370" s="91"/>
      <c r="CQ1048370" s="91"/>
      <c r="CR1048370" s="91"/>
      <c r="CS1048370" s="91"/>
      <c r="CT1048370" s="91"/>
      <c r="CU1048370" s="91"/>
      <c r="CV1048370" s="91"/>
      <c r="CW1048370" s="91"/>
      <c r="CX1048370" s="91"/>
      <c r="CY1048370" s="91"/>
      <c r="CZ1048370" s="91"/>
      <c r="DA1048370" s="91"/>
      <c r="DB1048370" s="91"/>
      <c r="DC1048370" s="91"/>
      <c r="DD1048370" s="91"/>
      <c r="DE1048370" s="91"/>
      <c r="DF1048370" s="91"/>
      <c r="DG1048370" s="91"/>
      <c r="DH1048370" s="91"/>
      <c r="DI1048370" s="91"/>
      <c r="DJ1048370" s="91"/>
      <c r="DK1048370" s="158"/>
      <c r="DL1048370" s="158"/>
      <c r="DM1048370" s="158"/>
    </row>
    <row r="1048371" spans="92:117" x14ac:dyDescent="0.35">
      <c r="CN1048371" s="91"/>
      <c r="CO1048371" s="91"/>
      <c r="CP1048371" s="91"/>
      <c r="CQ1048371" s="91"/>
      <c r="CR1048371" s="91"/>
      <c r="CS1048371" s="91"/>
      <c r="CT1048371" s="91"/>
      <c r="CU1048371" s="91"/>
      <c r="CV1048371" s="91"/>
      <c r="CW1048371" s="91"/>
      <c r="CX1048371" s="91"/>
      <c r="CY1048371" s="91"/>
      <c r="CZ1048371" s="91"/>
      <c r="DA1048371" s="91"/>
      <c r="DB1048371" s="91"/>
      <c r="DC1048371" s="91"/>
      <c r="DD1048371" s="91"/>
      <c r="DE1048371" s="91"/>
      <c r="DF1048371" s="91"/>
      <c r="DG1048371" s="91"/>
      <c r="DH1048371" s="91"/>
      <c r="DI1048371" s="91"/>
      <c r="DJ1048371" s="91"/>
      <c r="DK1048371" s="158"/>
      <c r="DL1048371" s="158"/>
      <c r="DM1048371" s="158"/>
    </row>
    <row r="1048372" spans="92:117" x14ac:dyDescent="0.35">
      <c r="CN1048372" s="91"/>
      <c r="CO1048372" s="91"/>
      <c r="CP1048372" s="91"/>
      <c r="CQ1048372" s="91"/>
      <c r="CR1048372" s="91"/>
      <c r="CS1048372" s="91"/>
      <c r="CT1048372" s="91"/>
      <c r="CU1048372" s="91"/>
      <c r="CV1048372" s="91"/>
      <c r="CW1048372" s="91"/>
      <c r="CX1048372" s="91"/>
      <c r="CY1048372" s="91"/>
      <c r="CZ1048372" s="91"/>
      <c r="DA1048372" s="91"/>
      <c r="DB1048372" s="91"/>
      <c r="DC1048372" s="91"/>
      <c r="DD1048372" s="91"/>
      <c r="DE1048372" s="91"/>
      <c r="DF1048372" s="91"/>
      <c r="DG1048372" s="91"/>
      <c r="DH1048372" s="91"/>
      <c r="DI1048372" s="91"/>
      <c r="DJ1048372" s="91"/>
      <c r="DK1048372" s="158"/>
      <c r="DL1048372" s="158"/>
      <c r="DM1048372" s="158"/>
    </row>
    <row r="1048373" spans="92:117" x14ac:dyDescent="0.35">
      <c r="CN1048373" s="91"/>
      <c r="CO1048373" s="91"/>
      <c r="CP1048373" s="91"/>
      <c r="CQ1048373" s="91"/>
      <c r="CR1048373" s="91"/>
      <c r="CS1048373" s="91"/>
      <c r="CT1048373" s="91"/>
      <c r="CU1048373" s="91"/>
      <c r="CV1048373" s="91"/>
      <c r="CW1048373" s="91"/>
      <c r="CX1048373" s="91"/>
      <c r="CY1048373" s="91"/>
      <c r="CZ1048373" s="91"/>
      <c r="DA1048373" s="91"/>
      <c r="DB1048373" s="91"/>
      <c r="DC1048373" s="91"/>
      <c r="DD1048373" s="91"/>
      <c r="DE1048373" s="91"/>
      <c r="DF1048373" s="91"/>
      <c r="DG1048373" s="91"/>
      <c r="DH1048373" s="91"/>
      <c r="DI1048373" s="91"/>
      <c r="DJ1048373" s="91"/>
      <c r="DK1048373" s="158"/>
      <c r="DL1048373" s="158"/>
      <c r="DM1048373" s="158"/>
    </row>
    <row r="1048374" spans="92:117" x14ac:dyDescent="0.35">
      <c r="CN1048374" s="91"/>
      <c r="CO1048374" s="91"/>
      <c r="CP1048374" s="91"/>
      <c r="CQ1048374" s="91"/>
      <c r="CR1048374" s="91"/>
      <c r="CS1048374" s="91"/>
      <c r="CT1048374" s="91"/>
      <c r="CU1048374" s="91"/>
      <c r="CV1048374" s="91"/>
      <c r="CW1048374" s="91"/>
      <c r="CX1048374" s="91"/>
      <c r="CY1048374" s="91"/>
      <c r="CZ1048374" s="91"/>
      <c r="DA1048374" s="91"/>
      <c r="DB1048374" s="91"/>
      <c r="DC1048374" s="91"/>
      <c r="DD1048374" s="91"/>
      <c r="DE1048374" s="91"/>
      <c r="DF1048374" s="91"/>
      <c r="DG1048374" s="91"/>
      <c r="DH1048374" s="91"/>
      <c r="DI1048374" s="91"/>
      <c r="DJ1048374" s="91"/>
      <c r="DK1048374" s="158"/>
      <c r="DL1048374" s="158"/>
      <c r="DM1048374" s="158"/>
    </row>
    <row r="1048375" spans="92:117" x14ac:dyDescent="0.35">
      <c r="CN1048375" s="91"/>
      <c r="CO1048375" s="91"/>
      <c r="CP1048375" s="91"/>
      <c r="CQ1048375" s="91"/>
      <c r="CR1048375" s="91"/>
      <c r="CS1048375" s="91"/>
      <c r="CT1048375" s="91"/>
      <c r="CU1048375" s="91"/>
      <c r="CV1048375" s="91"/>
      <c r="CW1048375" s="91"/>
      <c r="CX1048375" s="91"/>
      <c r="CY1048375" s="91"/>
      <c r="CZ1048375" s="91"/>
      <c r="DA1048375" s="91"/>
      <c r="DB1048375" s="91"/>
      <c r="DC1048375" s="91"/>
      <c r="DD1048375" s="91"/>
      <c r="DE1048375" s="91"/>
      <c r="DF1048375" s="91"/>
      <c r="DG1048375" s="91"/>
      <c r="DH1048375" s="91"/>
      <c r="DI1048375" s="91"/>
      <c r="DJ1048375" s="91"/>
      <c r="DK1048375" s="158"/>
      <c r="DL1048375" s="158"/>
      <c r="DM1048375" s="158"/>
    </row>
    <row r="1048376" spans="92:117" x14ac:dyDescent="0.35">
      <c r="CN1048376" s="91"/>
      <c r="CO1048376" s="91"/>
      <c r="CP1048376" s="91"/>
      <c r="CQ1048376" s="91"/>
      <c r="CR1048376" s="91"/>
      <c r="CS1048376" s="91"/>
      <c r="CT1048376" s="91"/>
      <c r="CU1048376" s="91"/>
      <c r="CV1048376" s="91"/>
      <c r="CW1048376" s="91"/>
      <c r="CX1048376" s="91"/>
      <c r="CY1048376" s="91"/>
      <c r="CZ1048376" s="91"/>
      <c r="DA1048376" s="91"/>
      <c r="DB1048376" s="91"/>
      <c r="DC1048376" s="91"/>
      <c r="DD1048376" s="91"/>
      <c r="DE1048376" s="91"/>
      <c r="DF1048376" s="91"/>
      <c r="DG1048376" s="91"/>
      <c r="DH1048376" s="91"/>
      <c r="DI1048376" s="91"/>
      <c r="DJ1048376" s="91"/>
      <c r="DK1048376" s="158"/>
      <c r="DL1048376" s="158"/>
      <c r="DM1048376" s="158"/>
    </row>
    <row r="1048377" spans="92:117" x14ac:dyDescent="0.35">
      <c r="CN1048377" s="91"/>
      <c r="CO1048377" s="91"/>
      <c r="CP1048377" s="91"/>
      <c r="CQ1048377" s="91"/>
      <c r="CR1048377" s="91"/>
      <c r="CS1048377" s="91"/>
      <c r="CT1048377" s="91"/>
      <c r="CU1048377" s="91"/>
      <c r="CV1048377" s="91"/>
      <c r="CW1048377" s="91"/>
      <c r="CX1048377" s="91"/>
      <c r="CY1048377" s="91"/>
      <c r="CZ1048377" s="91"/>
      <c r="DA1048377" s="91"/>
      <c r="DB1048377" s="91"/>
      <c r="DC1048377" s="91"/>
      <c r="DD1048377" s="91"/>
      <c r="DE1048377" s="91"/>
      <c r="DF1048377" s="91"/>
      <c r="DG1048377" s="91"/>
      <c r="DH1048377" s="91"/>
      <c r="DI1048377" s="91"/>
      <c r="DJ1048377" s="91"/>
      <c r="DK1048377" s="158"/>
      <c r="DL1048377" s="158"/>
      <c r="DM1048377" s="158"/>
    </row>
    <row r="1048378" spans="92:117" x14ac:dyDescent="0.35">
      <c r="CN1048378" s="91"/>
      <c r="CO1048378" s="91"/>
      <c r="CP1048378" s="91"/>
      <c r="CQ1048378" s="91"/>
      <c r="CR1048378" s="91"/>
      <c r="CS1048378" s="91"/>
      <c r="CT1048378" s="91"/>
      <c r="CU1048378" s="91"/>
      <c r="CV1048378" s="91"/>
      <c r="CW1048378" s="91"/>
      <c r="CX1048378" s="91"/>
      <c r="CY1048378" s="91"/>
      <c r="CZ1048378" s="91"/>
      <c r="DA1048378" s="91"/>
      <c r="DB1048378" s="91"/>
      <c r="DC1048378" s="91"/>
      <c r="DD1048378" s="91"/>
      <c r="DE1048378" s="91"/>
      <c r="DF1048378" s="91"/>
      <c r="DG1048378" s="91"/>
      <c r="DH1048378" s="91"/>
      <c r="DI1048378" s="91"/>
      <c r="DJ1048378" s="91"/>
      <c r="DK1048378" s="158"/>
      <c r="DL1048378" s="158"/>
      <c r="DM1048378" s="158"/>
    </row>
    <row r="1048379" spans="92:117" x14ac:dyDescent="0.35">
      <c r="CN1048379" s="91"/>
      <c r="CO1048379" s="91"/>
      <c r="CP1048379" s="91"/>
      <c r="CQ1048379" s="91"/>
      <c r="CR1048379" s="91"/>
      <c r="CS1048379" s="91"/>
      <c r="CT1048379" s="91"/>
      <c r="CU1048379" s="91"/>
      <c r="CV1048379" s="91"/>
      <c r="CW1048379" s="91"/>
      <c r="CX1048379" s="91"/>
      <c r="CY1048379" s="91"/>
      <c r="CZ1048379" s="91"/>
      <c r="DA1048379" s="91"/>
      <c r="DB1048379" s="91"/>
      <c r="DC1048379" s="91"/>
      <c r="DD1048379" s="91"/>
      <c r="DE1048379" s="91"/>
      <c r="DF1048379" s="91"/>
      <c r="DG1048379" s="91"/>
      <c r="DH1048379" s="91"/>
      <c r="DI1048379" s="91"/>
      <c r="DJ1048379" s="91"/>
      <c r="DK1048379" s="158"/>
      <c r="DL1048379" s="158"/>
      <c r="DM1048379" s="158"/>
    </row>
    <row r="1048380" spans="92:117" x14ac:dyDescent="0.35">
      <c r="CN1048380" s="91"/>
      <c r="CO1048380" s="91"/>
      <c r="CP1048380" s="91"/>
      <c r="CQ1048380" s="91"/>
      <c r="CR1048380" s="91"/>
      <c r="CS1048380" s="91"/>
      <c r="CT1048380" s="91"/>
      <c r="CU1048380" s="91"/>
      <c r="CV1048380" s="91"/>
      <c r="CW1048380" s="91"/>
      <c r="CX1048380" s="91"/>
      <c r="CY1048380" s="91"/>
      <c r="CZ1048380" s="91"/>
      <c r="DA1048380" s="91"/>
      <c r="DB1048380" s="91"/>
      <c r="DC1048380" s="91"/>
      <c r="DD1048380" s="91"/>
      <c r="DE1048380" s="91"/>
      <c r="DF1048380" s="91"/>
      <c r="DG1048380" s="91"/>
      <c r="DH1048380" s="91"/>
      <c r="DI1048380" s="91"/>
      <c r="DJ1048380" s="91"/>
      <c r="DK1048380" s="158"/>
      <c r="DL1048380" s="158"/>
      <c r="DM1048380" s="158"/>
    </row>
    <row r="1048381" spans="92:117" x14ac:dyDescent="0.35">
      <c r="CN1048381" s="91"/>
      <c r="CO1048381" s="91"/>
      <c r="CP1048381" s="91"/>
      <c r="CQ1048381" s="91"/>
      <c r="CR1048381" s="91"/>
      <c r="CS1048381" s="91"/>
      <c r="CT1048381" s="91"/>
      <c r="CU1048381" s="91"/>
      <c r="CV1048381" s="91"/>
      <c r="CW1048381" s="91"/>
      <c r="CX1048381" s="91"/>
      <c r="CY1048381" s="91"/>
      <c r="CZ1048381" s="91"/>
      <c r="DA1048381" s="91"/>
      <c r="DB1048381" s="91"/>
      <c r="DC1048381" s="91"/>
      <c r="DD1048381" s="91"/>
      <c r="DE1048381" s="91"/>
      <c r="DF1048381" s="91"/>
      <c r="DG1048381" s="91"/>
      <c r="DH1048381" s="91"/>
      <c r="DI1048381" s="91"/>
      <c r="DJ1048381" s="91"/>
      <c r="DK1048381" s="158"/>
      <c r="DL1048381" s="158"/>
      <c r="DM1048381" s="158"/>
    </row>
    <row r="1048382" spans="92:117" x14ac:dyDescent="0.35">
      <c r="CN1048382" s="91"/>
      <c r="CO1048382" s="91"/>
      <c r="CP1048382" s="91"/>
      <c r="CQ1048382" s="91"/>
      <c r="CR1048382" s="91"/>
      <c r="CS1048382" s="91"/>
      <c r="CT1048382" s="91"/>
      <c r="CU1048382" s="91"/>
      <c r="CV1048382" s="91"/>
      <c r="CW1048382" s="91"/>
      <c r="CX1048382" s="91"/>
      <c r="CY1048382" s="91"/>
      <c r="CZ1048382" s="91"/>
      <c r="DA1048382" s="91"/>
      <c r="DB1048382" s="91"/>
      <c r="DC1048382" s="91"/>
      <c r="DD1048382" s="91"/>
      <c r="DE1048382" s="91"/>
      <c r="DF1048382" s="91"/>
      <c r="DG1048382" s="91"/>
      <c r="DH1048382" s="91"/>
      <c r="DI1048382" s="91"/>
      <c r="DJ1048382" s="91"/>
      <c r="DK1048382" s="158"/>
      <c r="DL1048382" s="158"/>
      <c r="DM1048382" s="158"/>
    </row>
    <row r="1048383" spans="92:117" x14ac:dyDescent="0.35">
      <c r="CN1048383" s="91"/>
      <c r="CO1048383" s="91"/>
      <c r="CP1048383" s="91"/>
      <c r="CQ1048383" s="91"/>
      <c r="CR1048383" s="91"/>
      <c r="CS1048383" s="91"/>
      <c r="CT1048383" s="91"/>
      <c r="CU1048383" s="91"/>
      <c r="CV1048383" s="91"/>
      <c r="CW1048383" s="91"/>
      <c r="CX1048383" s="91"/>
      <c r="CY1048383" s="91"/>
      <c r="CZ1048383" s="91"/>
      <c r="DA1048383" s="91"/>
      <c r="DB1048383" s="91"/>
      <c r="DC1048383" s="91"/>
      <c r="DD1048383" s="91"/>
      <c r="DE1048383" s="91"/>
      <c r="DF1048383" s="91"/>
      <c r="DG1048383" s="91"/>
      <c r="DH1048383" s="91"/>
      <c r="DI1048383" s="91"/>
      <c r="DJ1048383" s="91"/>
      <c r="DK1048383" s="158"/>
      <c r="DL1048383" s="158"/>
      <c r="DM1048383" s="158"/>
    </row>
    <row r="1048384" spans="92:117" x14ac:dyDescent="0.35">
      <c r="CN1048384" s="91"/>
      <c r="CO1048384" s="91"/>
      <c r="CP1048384" s="91"/>
      <c r="CQ1048384" s="91"/>
      <c r="CR1048384" s="91"/>
      <c r="CS1048384" s="91"/>
      <c r="CT1048384" s="91"/>
      <c r="CU1048384" s="91"/>
      <c r="CV1048384" s="91"/>
      <c r="CW1048384" s="91"/>
      <c r="CX1048384" s="91"/>
      <c r="CY1048384" s="91"/>
      <c r="CZ1048384" s="91"/>
      <c r="DA1048384" s="91"/>
      <c r="DB1048384" s="91"/>
      <c r="DC1048384" s="91"/>
      <c r="DD1048384" s="91"/>
      <c r="DE1048384" s="91"/>
      <c r="DF1048384" s="91"/>
      <c r="DG1048384" s="91"/>
      <c r="DH1048384" s="91"/>
      <c r="DI1048384" s="91"/>
      <c r="DJ1048384" s="91"/>
      <c r="DK1048384" s="158"/>
      <c r="DL1048384" s="158"/>
      <c r="DM1048384" s="158"/>
    </row>
    <row r="1048385" spans="92:117" x14ac:dyDescent="0.35">
      <c r="CN1048385" s="91"/>
      <c r="CO1048385" s="91"/>
      <c r="CP1048385" s="91"/>
      <c r="CQ1048385" s="91"/>
      <c r="CR1048385" s="91"/>
      <c r="CS1048385" s="91"/>
      <c r="CT1048385" s="91"/>
      <c r="CU1048385" s="91"/>
      <c r="CV1048385" s="91"/>
      <c r="CW1048385" s="91"/>
      <c r="CX1048385" s="91"/>
      <c r="CY1048385" s="91"/>
      <c r="CZ1048385" s="91"/>
      <c r="DA1048385" s="91"/>
      <c r="DB1048385" s="91"/>
      <c r="DC1048385" s="91"/>
      <c r="DD1048385" s="91"/>
      <c r="DE1048385" s="91"/>
      <c r="DF1048385" s="91"/>
      <c r="DG1048385" s="91"/>
      <c r="DH1048385" s="91"/>
      <c r="DI1048385" s="91"/>
      <c r="DJ1048385" s="91"/>
      <c r="DK1048385" s="158"/>
      <c r="DL1048385" s="158"/>
      <c r="DM1048385" s="158"/>
    </row>
    <row r="1048386" spans="92:117" x14ac:dyDescent="0.35">
      <c r="CN1048386" s="91"/>
      <c r="CO1048386" s="91"/>
      <c r="CP1048386" s="91"/>
      <c r="CQ1048386" s="91"/>
      <c r="CR1048386" s="91"/>
      <c r="CS1048386" s="91"/>
      <c r="CT1048386" s="91"/>
      <c r="CU1048386" s="91"/>
      <c r="CV1048386" s="91"/>
      <c r="CW1048386" s="91"/>
      <c r="CX1048386" s="91"/>
      <c r="CY1048386" s="91"/>
      <c r="CZ1048386" s="91"/>
      <c r="DA1048386" s="91"/>
      <c r="DB1048386" s="91"/>
      <c r="DC1048386" s="91"/>
      <c r="DD1048386" s="91"/>
      <c r="DE1048386" s="91"/>
      <c r="DF1048386" s="91"/>
      <c r="DG1048386" s="91"/>
      <c r="DH1048386" s="91"/>
      <c r="DI1048386" s="91"/>
      <c r="DJ1048386" s="91"/>
      <c r="DK1048386" s="158"/>
      <c r="DL1048386" s="158"/>
      <c r="DM1048386" s="158"/>
    </row>
    <row r="1048387" spans="92:117" x14ac:dyDescent="0.35">
      <c r="CN1048387" s="91"/>
      <c r="CO1048387" s="91"/>
      <c r="CP1048387" s="91"/>
      <c r="CQ1048387" s="91"/>
      <c r="CR1048387" s="91"/>
      <c r="CS1048387" s="91"/>
      <c r="CT1048387" s="91"/>
      <c r="CU1048387" s="91"/>
      <c r="CV1048387" s="91"/>
      <c r="CW1048387" s="91"/>
      <c r="CX1048387" s="91"/>
      <c r="CY1048387" s="91"/>
      <c r="CZ1048387" s="91"/>
      <c r="DA1048387" s="91"/>
      <c r="DB1048387" s="91"/>
      <c r="DC1048387" s="91"/>
      <c r="DD1048387" s="91"/>
      <c r="DE1048387" s="91"/>
      <c r="DF1048387" s="91"/>
      <c r="DG1048387" s="91"/>
      <c r="DH1048387" s="91"/>
      <c r="DI1048387" s="91"/>
      <c r="DJ1048387" s="91"/>
      <c r="DK1048387" s="158"/>
      <c r="DL1048387" s="158"/>
      <c r="DM1048387" s="158"/>
    </row>
    <row r="1048388" spans="92:117" x14ac:dyDescent="0.35">
      <c r="CN1048388" s="91"/>
      <c r="CO1048388" s="91"/>
      <c r="CP1048388" s="91"/>
      <c r="CQ1048388" s="91"/>
      <c r="CR1048388" s="91"/>
      <c r="CS1048388" s="91"/>
      <c r="CT1048388" s="91"/>
      <c r="CU1048388" s="91"/>
      <c r="CV1048388" s="91"/>
      <c r="CW1048388" s="91"/>
      <c r="CX1048388" s="91"/>
      <c r="CY1048388" s="91"/>
      <c r="CZ1048388" s="91"/>
      <c r="DA1048388" s="91"/>
      <c r="DB1048388" s="91"/>
      <c r="DC1048388" s="91"/>
      <c r="DD1048388" s="91"/>
      <c r="DE1048388" s="91"/>
      <c r="DF1048388" s="91"/>
      <c r="DG1048388" s="91"/>
      <c r="DH1048388" s="91"/>
      <c r="DI1048388" s="91"/>
      <c r="DJ1048388" s="91"/>
      <c r="DK1048388" s="158"/>
      <c r="DL1048388" s="158"/>
      <c r="DM1048388" s="158"/>
    </row>
    <row r="1048389" spans="92:117" x14ac:dyDescent="0.35">
      <c r="CN1048389" s="91"/>
      <c r="CO1048389" s="91"/>
      <c r="CP1048389" s="91"/>
      <c r="CQ1048389" s="91"/>
      <c r="CR1048389" s="91"/>
      <c r="CS1048389" s="91"/>
      <c r="CT1048389" s="91"/>
      <c r="CU1048389" s="91"/>
      <c r="CV1048389" s="91"/>
      <c r="CW1048389" s="91"/>
      <c r="CX1048389" s="91"/>
      <c r="CY1048389" s="91"/>
      <c r="CZ1048389" s="91"/>
      <c r="DA1048389" s="91"/>
      <c r="DB1048389" s="91"/>
      <c r="DC1048389" s="91"/>
      <c r="DD1048389" s="91"/>
      <c r="DE1048389" s="91"/>
      <c r="DF1048389" s="91"/>
      <c r="DG1048389" s="91"/>
      <c r="DH1048389" s="91"/>
      <c r="DI1048389" s="91"/>
      <c r="DJ1048389" s="91"/>
      <c r="DK1048389" s="158"/>
      <c r="DL1048389" s="158"/>
      <c r="DM1048389" s="158"/>
    </row>
    <row r="1048390" spans="92:117" x14ac:dyDescent="0.35">
      <c r="CN1048390" s="91"/>
      <c r="CO1048390" s="91"/>
      <c r="CP1048390" s="91"/>
      <c r="CQ1048390" s="91"/>
      <c r="CR1048390" s="91"/>
      <c r="CS1048390" s="91"/>
      <c r="CT1048390" s="91"/>
      <c r="CU1048390" s="91"/>
      <c r="CV1048390" s="91"/>
      <c r="CW1048390" s="91"/>
      <c r="CX1048390" s="91"/>
      <c r="CY1048390" s="91"/>
      <c r="CZ1048390" s="91"/>
      <c r="DA1048390" s="91"/>
      <c r="DB1048390" s="91"/>
      <c r="DC1048390" s="91"/>
      <c r="DD1048390" s="91"/>
      <c r="DE1048390" s="91"/>
      <c r="DF1048390" s="91"/>
      <c r="DG1048390" s="91"/>
      <c r="DH1048390" s="91"/>
      <c r="DI1048390" s="91"/>
      <c r="DJ1048390" s="91"/>
      <c r="DK1048390" s="158"/>
      <c r="DL1048390" s="158"/>
      <c r="DM1048390" s="158"/>
    </row>
    <row r="1048391" spans="92:117" x14ac:dyDescent="0.35">
      <c r="CN1048391" s="91"/>
      <c r="CO1048391" s="91"/>
      <c r="CP1048391" s="91"/>
      <c r="CQ1048391" s="91"/>
      <c r="CR1048391" s="91"/>
      <c r="CS1048391" s="91"/>
      <c r="CT1048391" s="91"/>
      <c r="CU1048391" s="91"/>
      <c r="CV1048391" s="91"/>
      <c r="CW1048391" s="91"/>
      <c r="CX1048391" s="91"/>
      <c r="CY1048391" s="91"/>
      <c r="CZ1048391" s="91"/>
      <c r="DA1048391" s="91"/>
      <c r="DB1048391" s="91"/>
      <c r="DC1048391" s="91"/>
      <c r="DD1048391" s="91"/>
      <c r="DE1048391" s="91"/>
      <c r="DF1048391" s="91"/>
      <c r="DG1048391" s="91"/>
      <c r="DH1048391" s="91"/>
      <c r="DI1048391" s="91"/>
      <c r="DJ1048391" s="91"/>
      <c r="DK1048391" s="158"/>
      <c r="DL1048391" s="158"/>
      <c r="DM1048391" s="158"/>
    </row>
    <row r="1048392" spans="92:117" x14ac:dyDescent="0.35">
      <c r="CN1048392" s="91"/>
      <c r="CO1048392" s="91"/>
      <c r="CP1048392" s="91"/>
      <c r="CQ1048392" s="91"/>
      <c r="CR1048392" s="91"/>
      <c r="CS1048392" s="91"/>
      <c r="CT1048392" s="91"/>
      <c r="CU1048392" s="91"/>
      <c r="CV1048392" s="91"/>
      <c r="CW1048392" s="91"/>
      <c r="CX1048392" s="91"/>
      <c r="CY1048392" s="91"/>
      <c r="CZ1048392" s="91"/>
      <c r="DA1048392" s="91"/>
      <c r="DB1048392" s="91"/>
      <c r="DC1048392" s="91"/>
      <c r="DD1048392" s="91"/>
      <c r="DE1048392" s="91"/>
      <c r="DF1048392" s="91"/>
      <c r="DG1048392" s="91"/>
      <c r="DH1048392" s="91"/>
      <c r="DI1048392" s="91"/>
      <c r="DJ1048392" s="91"/>
      <c r="DK1048392" s="158"/>
      <c r="DL1048392" s="158"/>
      <c r="DM1048392" s="158"/>
    </row>
    <row r="1048393" spans="92:117" x14ac:dyDescent="0.35">
      <c r="CN1048393" s="91"/>
      <c r="CO1048393" s="91"/>
      <c r="CP1048393" s="91"/>
      <c r="CQ1048393" s="91"/>
      <c r="CR1048393" s="91"/>
      <c r="CS1048393" s="91"/>
      <c r="CT1048393" s="91"/>
      <c r="CU1048393" s="91"/>
      <c r="CV1048393" s="91"/>
      <c r="CW1048393" s="91"/>
      <c r="CX1048393" s="91"/>
      <c r="CY1048393" s="91"/>
      <c r="CZ1048393" s="91"/>
      <c r="DA1048393" s="91"/>
      <c r="DB1048393" s="91"/>
      <c r="DC1048393" s="91"/>
      <c r="DD1048393" s="91"/>
      <c r="DE1048393" s="91"/>
      <c r="DF1048393" s="91"/>
      <c r="DG1048393" s="91"/>
      <c r="DH1048393" s="91"/>
      <c r="DI1048393" s="91"/>
      <c r="DJ1048393" s="91"/>
      <c r="DK1048393" s="158"/>
      <c r="DL1048393" s="158"/>
      <c r="DM1048393" s="158"/>
    </row>
    <row r="1048394" spans="92:117" x14ac:dyDescent="0.35">
      <c r="CN1048394" s="91"/>
      <c r="CO1048394" s="91"/>
      <c r="CP1048394" s="91"/>
      <c r="CQ1048394" s="91"/>
      <c r="CR1048394" s="91"/>
      <c r="CS1048394" s="91"/>
      <c r="CT1048394" s="91"/>
      <c r="CU1048394" s="91"/>
      <c r="CV1048394" s="91"/>
      <c r="CW1048394" s="91"/>
      <c r="CX1048394" s="91"/>
      <c r="CY1048394" s="91"/>
      <c r="CZ1048394" s="91"/>
      <c r="DA1048394" s="91"/>
      <c r="DB1048394" s="91"/>
      <c r="DC1048394" s="91"/>
      <c r="DD1048394" s="91"/>
      <c r="DE1048394" s="91"/>
      <c r="DF1048394" s="91"/>
      <c r="DG1048394" s="91"/>
      <c r="DH1048394" s="91"/>
      <c r="DI1048394" s="91"/>
      <c r="DJ1048394" s="91"/>
      <c r="DK1048394" s="158"/>
      <c r="DL1048394" s="158"/>
      <c r="DM1048394" s="158"/>
    </row>
    <row r="1048395" spans="92:117" x14ac:dyDescent="0.35">
      <c r="CN1048395" s="91"/>
      <c r="CO1048395" s="91"/>
      <c r="CP1048395" s="91"/>
      <c r="CQ1048395" s="91"/>
      <c r="CR1048395" s="91"/>
      <c r="CS1048395" s="91"/>
      <c r="CT1048395" s="91"/>
      <c r="CU1048395" s="91"/>
      <c r="CV1048395" s="91"/>
      <c r="CW1048395" s="91"/>
      <c r="CX1048395" s="91"/>
      <c r="CY1048395" s="91"/>
      <c r="CZ1048395" s="91"/>
      <c r="DA1048395" s="91"/>
      <c r="DB1048395" s="91"/>
      <c r="DC1048395" s="91"/>
      <c r="DD1048395" s="91"/>
      <c r="DE1048395" s="91"/>
      <c r="DF1048395" s="91"/>
      <c r="DG1048395" s="91"/>
      <c r="DH1048395" s="91"/>
      <c r="DI1048395" s="91"/>
      <c r="DJ1048395" s="91"/>
      <c r="DK1048395" s="158"/>
      <c r="DL1048395" s="158"/>
      <c r="DM1048395" s="158"/>
    </row>
    <row r="1048396" spans="92:117" x14ac:dyDescent="0.35">
      <c r="CN1048396" s="91"/>
      <c r="CO1048396" s="91"/>
      <c r="CP1048396" s="91"/>
      <c r="CQ1048396" s="91"/>
      <c r="CR1048396" s="91"/>
      <c r="CS1048396" s="91"/>
      <c r="CT1048396" s="91"/>
      <c r="CU1048396" s="91"/>
      <c r="CV1048396" s="91"/>
      <c r="CW1048396" s="91"/>
      <c r="CX1048396" s="91"/>
      <c r="CY1048396" s="91"/>
      <c r="CZ1048396" s="91"/>
      <c r="DA1048396" s="91"/>
      <c r="DB1048396" s="91"/>
      <c r="DC1048396" s="91"/>
      <c r="DD1048396" s="91"/>
      <c r="DE1048396" s="91"/>
      <c r="DF1048396" s="91"/>
      <c r="DG1048396" s="91"/>
      <c r="DH1048396" s="91"/>
      <c r="DI1048396" s="91"/>
      <c r="DJ1048396" s="91"/>
      <c r="DK1048396" s="158"/>
      <c r="DL1048396" s="158"/>
      <c r="DM1048396" s="158"/>
    </row>
    <row r="1048397" spans="92:117" x14ac:dyDescent="0.35">
      <c r="CN1048397" s="91"/>
      <c r="CO1048397" s="91"/>
      <c r="CP1048397" s="91"/>
      <c r="CQ1048397" s="91"/>
      <c r="CR1048397" s="91"/>
      <c r="CS1048397" s="91"/>
      <c r="CT1048397" s="91"/>
      <c r="CU1048397" s="91"/>
      <c r="CV1048397" s="91"/>
      <c r="CW1048397" s="91"/>
      <c r="CX1048397" s="91"/>
      <c r="CY1048397" s="91"/>
      <c r="CZ1048397" s="91"/>
      <c r="DA1048397" s="91"/>
      <c r="DB1048397" s="91"/>
      <c r="DC1048397" s="91"/>
      <c r="DD1048397" s="91"/>
      <c r="DE1048397" s="91"/>
      <c r="DF1048397" s="91"/>
      <c r="DG1048397" s="91"/>
      <c r="DH1048397" s="91"/>
      <c r="DI1048397" s="91"/>
      <c r="DJ1048397" s="91"/>
      <c r="DK1048397" s="158"/>
      <c r="DL1048397" s="158"/>
      <c r="DM1048397" s="158"/>
    </row>
    <row r="1048398" spans="92:117" x14ac:dyDescent="0.35">
      <c r="CN1048398" s="91"/>
      <c r="CO1048398" s="91"/>
      <c r="CP1048398" s="91"/>
      <c r="CQ1048398" s="91"/>
      <c r="CR1048398" s="91"/>
      <c r="CS1048398" s="91"/>
      <c r="CT1048398" s="91"/>
      <c r="CU1048398" s="91"/>
      <c r="CV1048398" s="91"/>
      <c r="CW1048398" s="91"/>
      <c r="CX1048398" s="91"/>
      <c r="CY1048398" s="91"/>
      <c r="CZ1048398" s="91"/>
      <c r="DA1048398" s="91"/>
      <c r="DB1048398" s="91"/>
      <c r="DC1048398" s="91"/>
      <c r="DD1048398" s="91"/>
      <c r="DE1048398" s="91"/>
      <c r="DF1048398" s="91"/>
      <c r="DG1048398" s="91"/>
      <c r="DH1048398" s="91"/>
      <c r="DI1048398" s="91"/>
      <c r="DJ1048398" s="91"/>
      <c r="DK1048398" s="158"/>
      <c r="DL1048398" s="158"/>
      <c r="DM1048398" s="158"/>
    </row>
    <row r="1048399" spans="92:117" x14ac:dyDescent="0.35">
      <c r="CN1048399" s="91"/>
      <c r="CO1048399" s="91"/>
      <c r="CP1048399" s="91"/>
      <c r="CQ1048399" s="91"/>
      <c r="CR1048399" s="91"/>
      <c r="CS1048399" s="91"/>
      <c r="CT1048399" s="91"/>
      <c r="CU1048399" s="91"/>
      <c r="CV1048399" s="91"/>
      <c r="CW1048399" s="91"/>
      <c r="CX1048399" s="91"/>
      <c r="CY1048399" s="91"/>
      <c r="CZ1048399" s="91"/>
      <c r="DA1048399" s="91"/>
      <c r="DB1048399" s="91"/>
      <c r="DC1048399" s="91"/>
      <c r="DD1048399" s="91"/>
      <c r="DE1048399" s="91"/>
      <c r="DF1048399" s="91"/>
      <c r="DG1048399" s="91"/>
      <c r="DH1048399" s="91"/>
      <c r="DI1048399" s="91"/>
      <c r="DJ1048399" s="91"/>
      <c r="DK1048399" s="158"/>
      <c r="DL1048399" s="158"/>
      <c r="DM1048399" s="158"/>
    </row>
    <row r="1048400" spans="92:117" x14ac:dyDescent="0.35">
      <c r="CN1048400" s="91"/>
      <c r="CO1048400" s="91"/>
      <c r="CP1048400" s="91"/>
      <c r="CQ1048400" s="91"/>
      <c r="CR1048400" s="91"/>
      <c r="CS1048400" s="91"/>
      <c r="CT1048400" s="91"/>
      <c r="CU1048400" s="91"/>
      <c r="CV1048400" s="91"/>
      <c r="CW1048400" s="91"/>
      <c r="CX1048400" s="91"/>
      <c r="CY1048400" s="91"/>
      <c r="CZ1048400" s="91"/>
      <c r="DA1048400" s="91"/>
      <c r="DB1048400" s="91"/>
      <c r="DC1048400" s="91"/>
      <c r="DD1048400" s="91"/>
      <c r="DE1048400" s="91"/>
      <c r="DF1048400" s="91"/>
      <c r="DG1048400" s="91"/>
      <c r="DH1048400" s="91"/>
      <c r="DI1048400" s="91"/>
      <c r="DJ1048400" s="91"/>
      <c r="DK1048400" s="158"/>
      <c r="DL1048400" s="158"/>
      <c r="DM1048400" s="158"/>
    </row>
    <row r="1048401" spans="92:117" x14ac:dyDescent="0.35">
      <c r="CN1048401" s="91"/>
      <c r="CO1048401" s="91"/>
      <c r="CP1048401" s="91"/>
      <c r="CQ1048401" s="91"/>
      <c r="CR1048401" s="91"/>
      <c r="CS1048401" s="91"/>
      <c r="CT1048401" s="91"/>
      <c r="CU1048401" s="91"/>
      <c r="CV1048401" s="91"/>
      <c r="CW1048401" s="91"/>
      <c r="CX1048401" s="91"/>
      <c r="CY1048401" s="91"/>
      <c r="CZ1048401" s="91"/>
      <c r="DA1048401" s="91"/>
      <c r="DB1048401" s="91"/>
      <c r="DC1048401" s="91"/>
      <c r="DD1048401" s="91"/>
      <c r="DE1048401" s="91"/>
      <c r="DF1048401" s="91"/>
      <c r="DG1048401" s="91"/>
      <c r="DH1048401" s="91"/>
      <c r="DI1048401" s="91"/>
      <c r="DJ1048401" s="91"/>
      <c r="DK1048401" s="158"/>
      <c r="DL1048401" s="158"/>
      <c r="DM1048401" s="158"/>
    </row>
    <row r="1048402" spans="92:117" x14ac:dyDescent="0.35">
      <c r="CN1048402" s="91"/>
      <c r="CO1048402" s="91"/>
      <c r="CP1048402" s="91"/>
      <c r="CQ1048402" s="91"/>
      <c r="CR1048402" s="91"/>
      <c r="CS1048402" s="91"/>
      <c r="CT1048402" s="91"/>
      <c r="CU1048402" s="91"/>
      <c r="CV1048402" s="91"/>
      <c r="CW1048402" s="91"/>
      <c r="CX1048402" s="91"/>
      <c r="CY1048402" s="91"/>
      <c r="CZ1048402" s="91"/>
      <c r="DA1048402" s="91"/>
      <c r="DB1048402" s="91"/>
      <c r="DC1048402" s="91"/>
      <c r="DD1048402" s="91"/>
      <c r="DE1048402" s="91"/>
      <c r="DF1048402" s="91"/>
      <c r="DG1048402" s="91"/>
      <c r="DH1048402" s="91"/>
      <c r="DI1048402" s="91"/>
      <c r="DJ1048402" s="91"/>
      <c r="DK1048402" s="158"/>
      <c r="DL1048402" s="158"/>
      <c r="DM1048402" s="158"/>
    </row>
    <row r="1048403" spans="92:117" x14ac:dyDescent="0.35">
      <c r="CN1048403" s="91"/>
      <c r="CO1048403" s="91"/>
      <c r="CP1048403" s="91"/>
      <c r="CQ1048403" s="91"/>
      <c r="CR1048403" s="91"/>
      <c r="CS1048403" s="91"/>
      <c r="CT1048403" s="91"/>
      <c r="CU1048403" s="91"/>
      <c r="CV1048403" s="91"/>
      <c r="CW1048403" s="91"/>
      <c r="CX1048403" s="91"/>
      <c r="CY1048403" s="91"/>
      <c r="CZ1048403" s="91"/>
      <c r="DA1048403" s="91"/>
      <c r="DB1048403" s="91"/>
      <c r="DC1048403" s="91"/>
      <c r="DD1048403" s="91"/>
      <c r="DE1048403" s="91"/>
      <c r="DF1048403" s="91"/>
      <c r="DG1048403" s="91"/>
      <c r="DH1048403" s="91"/>
      <c r="DI1048403" s="91"/>
      <c r="DJ1048403" s="91"/>
      <c r="DK1048403" s="158"/>
      <c r="DL1048403" s="158"/>
      <c r="DM1048403" s="158"/>
    </row>
    <row r="1048404" spans="92:117" x14ac:dyDescent="0.35">
      <c r="CN1048404" s="91"/>
      <c r="CO1048404" s="91"/>
      <c r="CP1048404" s="91"/>
      <c r="CQ1048404" s="91"/>
      <c r="CR1048404" s="91"/>
      <c r="CS1048404" s="91"/>
      <c r="CT1048404" s="91"/>
      <c r="CU1048404" s="91"/>
      <c r="CV1048404" s="91"/>
      <c r="CW1048404" s="91"/>
      <c r="CX1048404" s="91"/>
      <c r="CY1048404" s="91"/>
      <c r="CZ1048404" s="91"/>
      <c r="DA1048404" s="91"/>
      <c r="DB1048404" s="91"/>
      <c r="DC1048404" s="91"/>
      <c r="DD1048404" s="91"/>
      <c r="DE1048404" s="91"/>
      <c r="DF1048404" s="91"/>
      <c r="DG1048404" s="91"/>
      <c r="DH1048404" s="91"/>
      <c r="DI1048404" s="91"/>
      <c r="DJ1048404" s="91"/>
      <c r="DK1048404" s="158"/>
      <c r="DL1048404" s="158"/>
      <c r="DM1048404" s="158"/>
    </row>
    <row r="1048405" spans="92:117" x14ac:dyDescent="0.35">
      <c r="CN1048405" s="91"/>
      <c r="CO1048405" s="91"/>
      <c r="CP1048405" s="91"/>
      <c r="CQ1048405" s="91"/>
      <c r="CR1048405" s="91"/>
      <c r="CS1048405" s="91"/>
      <c r="CT1048405" s="91"/>
      <c r="CU1048405" s="91"/>
      <c r="CV1048405" s="91"/>
      <c r="CW1048405" s="91"/>
      <c r="CX1048405" s="91"/>
      <c r="CY1048405" s="91"/>
      <c r="CZ1048405" s="91"/>
      <c r="DA1048405" s="91"/>
      <c r="DB1048405" s="91"/>
      <c r="DC1048405" s="91"/>
      <c r="DD1048405" s="91"/>
      <c r="DE1048405" s="91"/>
      <c r="DF1048405" s="91"/>
      <c r="DG1048405" s="91"/>
      <c r="DH1048405" s="91"/>
      <c r="DI1048405" s="91"/>
      <c r="DJ1048405" s="91"/>
      <c r="DK1048405" s="158"/>
      <c r="DL1048405" s="158"/>
      <c r="DM1048405" s="158"/>
    </row>
    <row r="1048406" spans="92:117" x14ac:dyDescent="0.35">
      <c r="CN1048406" s="91"/>
      <c r="CO1048406" s="91"/>
      <c r="CP1048406" s="91"/>
      <c r="CQ1048406" s="91"/>
      <c r="CR1048406" s="91"/>
      <c r="CS1048406" s="91"/>
      <c r="CT1048406" s="91"/>
      <c r="CU1048406" s="91"/>
      <c r="CV1048406" s="91"/>
      <c r="CW1048406" s="91"/>
      <c r="CX1048406" s="91"/>
      <c r="CY1048406" s="91"/>
      <c r="CZ1048406" s="91"/>
      <c r="DA1048406" s="91"/>
      <c r="DB1048406" s="91"/>
      <c r="DC1048406" s="91"/>
      <c r="DD1048406" s="91"/>
      <c r="DE1048406" s="91"/>
      <c r="DF1048406" s="91"/>
      <c r="DG1048406" s="91"/>
      <c r="DH1048406" s="91"/>
      <c r="DI1048406" s="91"/>
      <c r="DJ1048406" s="91"/>
      <c r="DK1048406" s="158"/>
      <c r="DL1048406" s="158"/>
      <c r="DM1048406" s="158"/>
    </row>
    <row r="1048407" spans="92:117" x14ac:dyDescent="0.35">
      <c r="CN1048407" s="91"/>
      <c r="CO1048407" s="91"/>
      <c r="CP1048407" s="91"/>
      <c r="CQ1048407" s="91"/>
      <c r="CR1048407" s="91"/>
      <c r="CS1048407" s="91"/>
      <c r="CT1048407" s="91"/>
      <c r="CU1048407" s="91"/>
      <c r="CV1048407" s="91"/>
      <c r="CW1048407" s="91"/>
      <c r="CX1048407" s="91"/>
      <c r="CY1048407" s="91"/>
      <c r="CZ1048407" s="91"/>
      <c r="DA1048407" s="91"/>
      <c r="DB1048407" s="91"/>
      <c r="DC1048407" s="91"/>
      <c r="DD1048407" s="91"/>
      <c r="DE1048407" s="91"/>
      <c r="DF1048407" s="91"/>
      <c r="DG1048407" s="91"/>
      <c r="DH1048407" s="91"/>
      <c r="DI1048407" s="91"/>
      <c r="DJ1048407" s="91"/>
      <c r="DK1048407" s="158"/>
      <c r="DL1048407" s="158"/>
      <c r="DM1048407" s="158"/>
    </row>
    <row r="1048408" spans="92:117" x14ac:dyDescent="0.35">
      <c r="CN1048408" s="91"/>
      <c r="CO1048408" s="91"/>
      <c r="CP1048408" s="91"/>
      <c r="CQ1048408" s="91"/>
      <c r="CR1048408" s="91"/>
      <c r="CS1048408" s="91"/>
      <c r="CT1048408" s="91"/>
      <c r="CU1048408" s="91"/>
      <c r="CV1048408" s="91"/>
      <c r="CW1048408" s="91"/>
      <c r="CX1048408" s="91"/>
      <c r="CY1048408" s="91"/>
      <c r="CZ1048408" s="91"/>
      <c r="DA1048408" s="91"/>
      <c r="DB1048408" s="91"/>
      <c r="DC1048408" s="91"/>
      <c r="DD1048408" s="91"/>
      <c r="DE1048408" s="91"/>
      <c r="DF1048408" s="91"/>
      <c r="DG1048408" s="91"/>
      <c r="DH1048408" s="91"/>
      <c r="DI1048408" s="91"/>
      <c r="DJ1048408" s="91"/>
      <c r="DK1048408" s="158"/>
      <c r="DL1048408" s="158"/>
      <c r="DM1048408" s="158"/>
    </row>
    <row r="1048409" spans="92:117" x14ac:dyDescent="0.35">
      <c r="CN1048409" s="91"/>
      <c r="CO1048409" s="91"/>
      <c r="CP1048409" s="91"/>
      <c r="CQ1048409" s="91"/>
      <c r="CR1048409" s="91"/>
      <c r="CS1048409" s="91"/>
      <c r="CT1048409" s="91"/>
      <c r="CU1048409" s="91"/>
      <c r="CV1048409" s="91"/>
      <c r="CW1048409" s="91"/>
      <c r="CX1048409" s="91"/>
      <c r="CY1048409" s="91"/>
      <c r="CZ1048409" s="91"/>
      <c r="DA1048409" s="91"/>
      <c r="DB1048409" s="91"/>
      <c r="DC1048409" s="91"/>
      <c r="DD1048409" s="91"/>
      <c r="DE1048409" s="91"/>
      <c r="DF1048409" s="91"/>
      <c r="DG1048409" s="91"/>
      <c r="DH1048409" s="91"/>
      <c r="DI1048409" s="91"/>
      <c r="DJ1048409" s="91"/>
      <c r="DK1048409" s="158"/>
      <c r="DL1048409" s="158"/>
      <c r="DM1048409" s="158"/>
    </row>
    <row r="1048410" spans="92:117" x14ac:dyDescent="0.35">
      <c r="CN1048410" s="91"/>
      <c r="CO1048410" s="91"/>
      <c r="CP1048410" s="91"/>
      <c r="CQ1048410" s="91"/>
      <c r="CR1048410" s="91"/>
      <c r="CS1048410" s="91"/>
      <c r="CT1048410" s="91"/>
      <c r="CU1048410" s="91"/>
      <c r="CV1048410" s="91"/>
      <c r="CW1048410" s="91"/>
      <c r="CX1048410" s="91"/>
      <c r="CY1048410" s="91"/>
      <c r="CZ1048410" s="91"/>
      <c r="DA1048410" s="91"/>
      <c r="DB1048410" s="91"/>
      <c r="DC1048410" s="91"/>
      <c r="DD1048410" s="91"/>
      <c r="DE1048410" s="91"/>
      <c r="DF1048410" s="91"/>
      <c r="DG1048410" s="91"/>
      <c r="DH1048410" s="91"/>
      <c r="DI1048410" s="91"/>
      <c r="DJ1048410" s="91"/>
      <c r="DK1048410" s="158"/>
      <c r="DL1048410" s="158"/>
      <c r="DM1048410" s="158"/>
    </row>
  </sheetData>
  <autoFilter ref="A2:EB285" xr:uid="{6C054BFA-7153-4A01-A38F-7622FD26BF44}">
    <filterColumn colId="0">
      <filters>
        <filter val="GC"/>
      </filters>
    </filterColumn>
    <filterColumn colId="6">
      <filters>
        <filter val="Base"/>
      </filters>
    </filterColumn>
  </autoFilter>
  <sortState xmlns:xlrd2="http://schemas.microsoft.com/office/spreadsheetml/2017/richdata2" ref="A156:EA250">
    <sortCondition ref="A3:A285"/>
    <sortCondition ref="B3:B285"/>
    <sortCondition ref="D3:D285"/>
  </sortState>
  <mergeCells count="12">
    <mergeCell ref="CU1:CV1"/>
    <mergeCell ref="CO1:CS1"/>
    <mergeCell ref="CI1:CM1"/>
    <mergeCell ref="CA1:CG1"/>
    <mergeCell ref="BU1:BY1"/>
    <mergeCell ref="BM1:BS1"/>
    <mergeCell ref="K1:N1"/>
    <mergeCell ref="AR1:AW1"/>
    <mergeCell ref="AJ1:AL1"/>
    <mergeCell ref="AY1:BC1"/>
    <mergeCell ref="BE1:BK1"/>
    <mergeCell ref="AN1:AP1"/>
  </mergeCells>
  <phoneticPr fontId="22" type="noConversion"/>
  <dataValidations count="1">
    <dataValidation type="list" allowBlank="1" showInputMessage="1" showErrorMessage="1" sqref="J34 P3:P283 AC3:AC284 AC287:AC1048576 P301:P1048576 J255 J65 P287:P289 L118:L120 B233:B1048576 B3:B231 F252:F253 F23 F152 F20:F21 F4:F5 F149 F154:F155 F159 F175 F243 F58 F90 F246 F167 F249 I285:I1048576 F291:F302 F304:F1048576 C1:C2 C296:C1048576" xr:uid="{942CA150-E2DF-459C-85BB-F1FA9C17E09B}">
      <formula1>#REF!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&amp;R&amp;"Calibri"&amp;10&amp;K000000Business Use&amp;1#</oddHead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984EAF9-FAB6-42DB-A854-0050826F0656}">
          <x14:formula1>
            <xm:f>'C:\Users\yang.ya.5\OneDrive - Procter and Gamble\Asia F&amp;HC CSM FY1920\06_3yr capital outlook\Dec-20 submission to Laura\[Asia FC 3yr Capital Outlook (FY2021-FY2223)_submission to Laura.xlsx]Drop-down menu'!#REF!</xm:f>
          </x14:formula1>
          <xm:sqref>C85:C86 C195 C136:C137 C181 C214:C217 I35:I38 C234:C245 F254:F286 F22 I3:I10 F156:F158 F3 I228:I229 I16 I22:I24 C228:C231 F6:F19 F244:F245 I27:I33 F133:F148 F160:F166 I20 F59:F86 F153 F150:F151 C110 F250:F251 F168:F174 C41 F88:F89 C90 C95:C99 C92:C93 F233:F242 C282:C283 C43:C48 F91:F130 C248 F247:F248 C250:C278 C101 C50:C55 C220:C226 F24:F57 F176:F231</xm:sqref>
        </x14:dataValidation>
        <x14:dataValidation type="list" allowBlank="1" showInputMessage="1" showErrorMessage="1" xr:uid="{901D3580-3ABA-4E2D-8947-7DC25F469697}">
          <x14:formula1>
            <xm:f>'https://pgone.sharepoint.com/sites/ASIAFHCCSM/Shared Documents/General/Asia FHC CSM FY2021/05_Monthly FF and spending track/11_May FF/APAC/[Asia FC 3yr Capital Outlook (FY2021-FY2223)_HDL AA+GC need to add number.xlsx]Drop-down menu'!#REF!</xm:f>
          </x14:formula1>
          <xm:sqref>C49 C42 C30 C32:C40</xm:sqref>
        </x14:dataValidation>
        <x14:dataValidation type="list" allowBlank="1" showInputMessage="1" showErrorMessage="1" xr:uid="{6F8BAD9D-8A9B-46F7-9691-B54CBEB6EACC}">
          <x14:formula1>
            <xm:f>'C:\Users\yang.ya.5\OneDrive - Procter and Gamble\Desktop\[FE Asia FC 3yr Capital Outlook (FY2021-FY2223)_20191210 inputs.xlsx]Drop-down menu'!#REF!</xm:f>
          </x14:formula1>
          <xm:sqref>C182:C183 C246:C247 C185:C194 C227 C249 C284:C286 C279:C281 C218 C233 C65:C180 C196:C212</xm:sqref>
        </x14:dataValidation>
        <x14:dataValidation type="list" allowBlank="1" showInputMessage="1" showErrorMessage="1" xr:uid="{2B417A2E-1AB5-4147-93B4-57E56B3F3050}">
          <x14:formula1>
            <xm:f>'C:\Users\wang.ch.19\Procter and Gamble\Shen, Nami - Asia LFE Capacity Ladder\3 Years Capital Outlook\[Copy of AA FC 3yr Capital Outlook (FY2021-FY2223)_Template.xlsx]Drop-down menu'!#REF!</xm:f>
          </x14:formula1>
          <xm:sqref>C213 C130:C135 C158 C184 C219 C122 C284 C138:C142 C128 C279 C124</xm:sqref>
        </x14:dataValidation>
        <x14:dataValidation type="list" allowBlank="1" showInputMessage="1" showErrorMessage="1" xr:uid="{DE9BD21F-10F9-4159-A21E-77C7A0108218}">
          <x14:formula1>
            <xm:f>'C:\Users\yang.ya.5\OneDrive - Procter and Gamble\Desktop\[HDL Copy of Asia FC 3yr Capital Outlook (FY2021-FY2223)_.xlsx]Drop-down menu'!#REF!</xm:f>
          </x14:formula1>
          <xm:sqref>C3:C29 C31 C56:C64</xm:sqref>
        </x14:dataValidation>
        <x14:dataValidation type="list" allowBlank="1" showInputMessage="1" showErrorMessage="1" xr:uid="{9E6B0ABD-1C4A-4CC0-8F3A-499D13FFBD2C}">
          <x14:formula1>
            <xm:f>'https://pgone-my.sharepoint.com/personal/yang_ya_5_pg_com/Documents/Asia F&amp;HC CSM FY1920/11_Firm 2021/[FE firm FY2021 FF 0107_BD Workshop.xlsx]Drop-down menu'!#REF!</xm:f>
          </x14:formula1>
          <xm:sqref>F87 AH166:AH167 F131:F132</xm:sqref>
        </x14:dataValidation>
        <x14:dataValidation type="list" allowBlank="1" showInputMessage="1" showErrorMessage="1" xr:uid="{CB4BB793-6C3A-4FF9-9ABC-E3DCF58F5FAB}">
          <x14:formula1>
            <xm:f>'C:\Users\jiang.y.21\Procter and Gamble\Hamao, Masahiro - Asia FE Engineering\02 Firm\LFE FY2021 Firm\[Asia FC FY2021 Firm Submission_1st cut .xlsx]Drop-down menu'!#REF!</xm:f>
          </x14:formula1>
          <xm:sqref>E231 B232:C232 F232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2ADD-FFAD-403A-8825-8A40B268CB15}">
  <dimension ref="A1:M53"/>
  <sheetViews>
    <sheetView workbookViewId="0">
      <selection activeCell="M6" sqref="M6"/>
    </sheetView>
  </sheetViews>
  <sheetFormatPr defaultColWidth="8.86328125" defaultRowHeight="13.9" x14ac:dyDescent="0.4"/>
  <cols>
    <col min="1" max="2" width="8.86328125" style="215"/>
    <col min="3" max="3" width="48" style="215" customWidth="1"/>
    <col min="4" max="4" width="11.33203125" style="215" bestFit="1" customWidth="1"/>
    <col min="5" max="5" width="10.33203125" style="215" bestFit="1" customWidth="1"/>
    <col min="6" max="6" width="11" style="215" customWidth="1"/>
    <col min="7" max="7" width="8.6640625" style="215" customWidth="1"/>
    <col min="8" max="9" width="8.86328125" style="215"/>
    <col min="10" max="10" width="12.33203125" style="215" bestFit="1" customWidth="1"/>
    <col min="11" max="12" width="12.33203125" style="215" customWidth="1"/>
    <col min="13" max="13" width="20.53125" style="215" customWidth="1"/>
    <col min="14" max="16384" width="8.86328125" style="215"/>
  </cols>
  <sheetData>
    <row r="1" spans="1:13" ht="25.5" x14ac:dyDescent="0.4">
      <c r="A1" s="227" t="s">
        <v>1167</v>
      </c>
      <c r="B1" s="227" t="s">
        <v>1168</v>
      </c>
      <c r="C1" s="227" t="s">
        <v>1169</v>
      </c>
      <c r="D1" s="227" t="s">
        <v>1170</v>
      </c>
      <c r="E1" s="227" t="s">
        <v>46</v>
      </c>
      <c r="F1" s="227" t="s">
        <v>1171</v>
      </c>
      <c r="G1" s="228">
        <v>44276</v>
      </c>
      <c r="H1" s="228">
        <v>44307</v>
      </c>
      <c r="I1" s="228">
        <v>44337</v>
      </c>
      <c r="J1" s="228">
        <v>44368</v>
      </c>
      <c r="K1" s="229" t="s">
        <v>1172</v>
      </c>
      <c r="L1" s="230" t="s">
        <v>1173</v>
      </c>
    </row>
    <row r="2" spans="1:13" x14ac:dyDescent="0.4">
      <c r="A2" s="216" t="s">
        <v>1174</v>
      </c>
      <c r="B2" s="216" t="s">
        <v>464</v>
      </c>
      <c r="C2" s="225" t="s">
        <v>1175</v>
      </c>
      <c r="D2" s="216" t="s">
        <v>1176</v>
      </c>
      <c r="E2" s="217">
        <v>90</v>
      </c>
      <c r="F2" s="216"/>
      <c r="G2" s="216">
        <v>27</v>
      </c>
      <c r="H2" s="216">
        <v>0</v>
      </c>
      <c r="I2" s="216">
        <v>0</v>
      </c>
      <c r="J2" s="217">
        <v>63</v>
      </c>
      <c r="K2" s="218">
        <v>10</v>
      </c>
      <c r="L2" s="221">
        <f>E2/(E2+K2)</f>
        <v>0.9</v>
      </c>
      <c r="M2" s="219" t="s">
        <v>1177</v>
      </c>
    </row>
    <row r="3" spans="1:13" x14ac:dyDescent="0.4">
      <c r="A3" s="216" t="s">
        <v>1174</v>
      </c>
      <c r="B3" s="216" t="s">
        <v>464</v>
      </c>
      <c r="C3" s="225" t="s">
        <v>1178</v>
      </c>
      <c r="D3" s="216" t="s">
        <v>1179</v>
      </c>
      <c r="E3" s="217">
        <v>75</v>
      </c>
      <c r="F3" s="216"/>
      <c r="G3" s="216">
        <v>22.5</v>
      </c>
      <c r="H3" s="216">
        <v>0</v>
      </c>
      <c r="I3" s="216">
        <v>0</v>
      </c>
      <c r="J3" s="217">
        <v>52.5</v>
      </c>
      <c r="K3" s="218">
        <v>10</v>
      </c>
      <c r="L3" s="221">
        <f t="shared" ref="L3:L8" si="0">E3/(E3+K3)</f>
        <v>0.88235294117647056</v>
      </c>
      <c r="M3" s="219" t="s">
        <v>1177</v>
      </c>
    </row>
    <row r="4" spans="1:13" x14ac:dyDescent="0.4">
      <c r="A4" s="216" t="s">
        <v>1174</v>
      </c>
      <c r="B4" s="216" t="s">
        <v>464</v>
      </c>
      <c r="C4" s="225" t="s">
        <v>1180</v>
      </c>
      <c r="D4" s="216" t="s">
        <v>1179</v>
      </c>
      <c r="E4" s="217">
        <v>80</v>
      </c>
      <c r="F4" s="216">
        <v>0</v>
      </c>
      <c r="G4" s="216">
        <v>20</v>
      </c>
      <c r="H4" s="216">
        <v>20</v>
      </c>
      <c r="I4" s="216">
        <v>20</v>
      </c>
      <c r="J4" s="217">
        <v>20</v>
      </c>
      <c r="K4" s="218">
        <v>120</v>
      </c>
      <c r="L4" s="221">
        <f t="shared" si="0"/>
        <v>0.4</v>
      </c>
      <c r="M4" s="219" t="s">
        <v>1177</v>
      </c>
    </row>
    <row r="5" spans="1:13" ht="38.25" x14ac:dyDescent="0.4">
      <c r="A5" s="216" t="s">
        <v>1174</v>
      </c>
      <c r="B5" s="216" t="s">
        <v>464</v>
      </c>
      <c r="C5" s="225" t="s">
        <v>1181</v>
      </c>
      <c r="D5" s="216" t="s">
        <v>1179</v>
      </c>
      <c r="E5" s="217">
        <v>45</v>
      </c>
      <c r="F5" s="216">
        <v>0</v>
      </c>
      <c r="G5" s="216">
        <v>0</v>
      </c>
      <c r="H5" s="216">
        <v>15</v>
      </c>
      <c r="I5" s="216">
        <v>15</v>
      </c>
      <c r="J5" s="217">
        <v>15</v>
      </c>
      <c r="K5" s="218">
        <v>555</v>
      </c>
      <c r="L5" s="221">
        <f t="shared" si="0"/>
        <v>7.4999999999999997E-2</v>
      </c>
      <c r="M5" s="219" t="s">
        <v>1182</v>
      </c>
    </row>
    <row r="6" spans="1:13" x14ac:dyDescent="0.4">
      <c r="A6" s="216" t="s">
        <v>1174</v>
      </c>
      <c r="B6" s="216" t="s">
        <v>464</v>
      </c>
      <c r="C6" s="233" t="s">
        <v>1183</v>
      </c>
      <c r="D6" s="216" t="s">
        <v>1179</v>
      </c>
      <c r="E6" s="217">
        <v>48</v>
      </c>
      <c r="F6" s="216">
        <v>0</v>
      </c>
      <c r="G6" s="216">
        <v>0</v>
      </c>
      <c r="H6" s="216">
        <v>0</v>
      </c>
      <c r="I6" s="216">
        <v>24</v>
      </c>
      <c r="J6" s="217">
        <v>24</v>
      </c>
      <c r="K6" s="218">
        <v>112</v>
      </c>
      <c r="L6" s="221">
        <f t="shared" si="0"/>
        <v>0.3</v>
      </c>
      <c r="M6" s="219" t="s">
        <v>361</v>
      </c>
    </row>
    <row r="7" spans="1:13" ht="25.5" x14ac:dyDescent="0.4">
      <c r="A7" s="216" t="s">
        <v>1174</v>
      </c>
      <c r="B7" s="216" t="s">
        <v>472</v>
      </c>
      <c r="C7" s="233" t="s">
        <v>1184</v>
      </c>
      <c r="D7" s="216" t="s">
        <v>1185</v>
      </c>
      <c r="E7" s="217">
        <v>55.433333333333337</v>
      </c>
      <c r="F7" s="216"/>
      <c r="G7" s="216">
        <v>15</v>
      </c>
      <c r="H7" s="216">
        <v>11.1</v>
      </c>
      <c r="I7" s="216">
        <v>20</v>
      </c>
      <c r="J7" s="217">
        <v>9.3333333333333339</v>
      </c>
      <c r="K7" s="218">
        <v>45</v>
      </c>
      <c r="L7" s="221">
        <f t="shared" si="0"/>
        <v>0.55194158645867908</v>
      </c>
      <c r="M7" s="219" t="s">
        <v>1186</v>
      </c>
    </row>
    <row r="8" spans="1:13" ht="25.5" x14ac:dyDescent="0.4">
      <c r="A8" s="216" t="s">
        <v>1174</v>
      </c>
      <c r="B8" s="216" t="s">
        <v>472</v>
      </c>
      <c r="C8" s="240" t="s">
        <v>1187</v>
      </c>
      <c r="D8" s="216" t="s">
        <v>1185</v>
      </c>
      <c r="E8" s="217">
        <v>80</v>
      </c>
      <c r="F8" s="216"/>
      <c r="G8" s="216">
        <v>0</v>
      </c>
      <c r="H8" s="216">
        <v>16</v>
      </c>
      <c r="I8" s="216">
        <v>24</v>
      </c>
      <c r="J8" s="217">
        <v>40</v>
      </c>
      <c r="K8" s="231">
        <f>E8-F8-G8-H8-I8-J8</f>
        <v>0</v>
      </c>
      <c r="L8" s="221">
        <f t="shared" si="0"/>
        <v>1</v>
      </c>
      <c r="M8" s="219" t="s">
        <v>1177</v>
      </c>
    </row>
    <row r="9" spans="1:13" x14ac:dyDescent="0.4">
      <c r="A9" s="216"/>
      <c r="B9" s="216"/>
      <c r="C9" s="225" t="s">
        <v>1188</v>
      </c>
      <c r="D9" s="216" t="s">
        <v>1179</v>
      </c>
      <c r="E9" s="217">
        <v>30</v>
      </c>
      <c r="F9" s="216"/>
      <c r="G9" s="216">
        <v>0</v>
      </c>
      <c r="H9" s="216">
        <v>0</v>
      </c>
      <c r="I9" s="216">
        <v>0</v>
      </c>
      <c r="J9" s="217">
        <v>30</v>
      </c>
      <c r="K9" s="220">
        <v>70</v>
      </c>
      <c r="L9" s="221"/>
      <c r="M9" s="219"/>
    </row>
    <row r="10" spans="1:13" x14ac:dyDescent="0.4">
      <c r="A10" s="219"/>
      <c r="B10" s="219"/>
      <c r="C10" s="219" t="s">
        <v>1189</v>
      </c>
      <c r="D10" s="219"/>
      <c r="E10" s="223">
        <f>SUM(E2:E9)</f>
        <v>503.43333333333334</v>
      </c>
      <c r="F10" s="219"/>
      <c r="G10" s="219"/>
      <c r="H10" s="219"/>
      <c r="I10" s="219"/>
      <c r="J10" s="219"/>
      <c r="K10" s="223">
        <f>SUM(K2:K9)</f>
        <v>922</v>
      </c>
      <c r="L10" s="222">
        <f>SUM(E2:E8)/(SUM(E2:E8)+SUM(K2:K8))</f>
        <v>0.35719135880089531</v>
      </c>
      <c r="M10" s="219"/>
    </row>
    <row r="13" spans="1:13" ht="27.75" x14ac:dyDescent="0.4">
      <c r="C13" s="215" t="s">
        <v>1190</v>
      </c>
      <c r="D13" s="224"/>
    </row>
    <row r="14" spans="1:13" x14ac:dyDescent="0.4">
      <c r="C14" s="215" t="s">
        <v>1191</v>
      </c>
      <c r="D14" s="232"/>
    </row>
    <row r="15" spans="1:13" x14ac:dyDescent="0.4">
      <c r="C15" s="215" t="s">
        <v>1192</v>
      </c>
      <c r="D15" s="226"/>
    </row>
    <row r="19" spans="1:8" ht="51" x14ac:dyDescent="0.4">
      <c r="A19" s="216" t="s">
        <v>1193</v>
      </c>
      <c r="B19" s="216" t="s">
        <v>54</v>
      </c>
      <c r="C19" s="216" t="s">
        <v>1169</v>
      </c>
      <c r="D19" s="216" t="s">
        <v>1194</v>
      </c>
      <c r="E19" s="216" t="s">
        <v>1195</v>
      </c>
      <c r="F19" s="216" t="s">
        <v>1196</v>
      </c>
      <c r="G19" s="216" t="s">
        <v>1197</v>
      </c>
      <c r="H19" s="216" t="s">
        <v>1198</v>
      </c>
    </row>
    <row r="20" spans="1:8" ht="14.75" customHeight="1" x14ac:dyDescent="0.4">
      <c r="A20" s="216" t="s">
        <v>15</v>
      </c>
      <c r="B20" s="265" t="s">
        <v>1199</v>
      </c>
      <c r="C20" s="216" t="s">
        <v>1200</v>
      </c>
      <c r="D20" s="217">
        <v>201.06485963213947</v>
      </c>
      <c r="E20" s="241">
        <v>0.75</v>
      </c>
      <c r="F20" s="217">
        <v>150.79864472410461</v>
      </c>
      <c r="G20" s="216"/>
      <c r="H20" s="216"/>
    </row>
    <row r="21" spans="1:8" ht="25.5" x14ac:dyDescent="0.4">
      <c r="A21" s="216" t="s">
        <v>15</v>
      </c>
      <c r="B21" s="266"/>
      <c r="C21" s="216" t="s">
        <v>1201</v>
      </c>
      <c r="D21" s="217">
        <v>100.53242981606974</v>
      </c>
      <c r="E21" s="241">
        <v>0.5</v>
      </c>
      <c r="F21" s="217">
        <v>50.266214908034868</v>
      </c>
      <c r="G21" s="216"/>
      <c r="H21" s="216"/>
    </row>
    <row r="22" spans="1:8" ht="25.25" customHeight="1" x14ac:dyDescent="0.4">
      <c r="A22" s="216" t="s">
        <v>15</v>
      </c>
      <c r="B22" s="266"/>
      <c r="C22" s="216" t="s">
        <v>1202</v>
      </c>
      <c r="D22" s="217">
        <v>201.06485963213947</v>
      </c>
      <c r="E22" s="241">
        <v>0.75</v>
      </c>
      <c r="F22" s="217">
        <v>150.79864472410461</v>
      </c>
      <c r="G22" s="216"/>
      <c r="H22" s="216"/>
    </row>
    <row r="23" spans="1:8" ht="25.5" x14ac:dyDescent="0.4">
      <c r="A23" s="216" t="s">
        <v>15</v>
      </c>
      <c r="B23" s="266"/>
      <c r="C23" s="216" t="s">
        <v>1203</v>
      </c>
      <c r="D23" s="217">
        <v>20.106485963213949</v>
      </c>
      <c r="E23" s="241">
        <v>1</v>
      </c>
      <c r="F23" s="217">
        <v>20.106485963213949</v>
      </c>
      <c r="G23" s="216"/>
      <c r="H23" s="216"/>
    </row>
    <row r="24" spans="1:8" ht="14.75" customHeight="1" x14ac:dyDescent="0.4">
      <c r="A24" s="216" t="s">
        <v>15</v>
      </c>
      <c r="B24" s="266"/>
      <c r="C24" s="216" t="s">
        <v>1204</v>
      </c>
      <c r="D24" s="217">
        <v>201.06485963213947</v>
      </c>
      <c r="E24" s="241">
        <v>0.75</v>
      </c>
      <c r="F24" s="217">
        <v>150.79864472410461</v>
      </c>
      <c r="G24" s="216"/>
      <c r="H24" s="216"/>
    </row>
    <row r="25" spans="1:8" x14ac:dyDescent="0.4">
      <c r="A25" s="216" t="s">
        <v>15</v>
      </c>
      <c r="B25" s="266"/>
      <c r="C25" s="216" t="s">
        <v>1205</v>
      </c>
      <c r="D25" s="217">
        <v>100.53242981606974</v>
      </c>
      <c r="E25" s="241">
        <v>0.75</v>
      </c>
      <c r="F25" s="217">
        <v>75.399322362052303</v>
      </c>
      <c r="G25" s="216"/>
      <c r="H25" s="216"/>
    </row>
    <row r="26" spans="1:8" ht="14.75" customHeight="1" x14ac:dyDescent="0.4">
      <c r="A26" s="216" t="s">
        <v>15</v>
      </c>
      <c r="B26" s="266"/>
      <c r="C26" s="216" t="s">
        <v>1206</v>
      </c>
      <c r="D26" s="217">
        <v>100.53242981606974</v>
      </c>
      <c r="E26" s="241">
        <v>0.5</v>
      </c>
      <c r="F26" s="217">
        <v>50.266214908034868</v>
      </c>
      <c r="G26" s="216"/>
      <c r="H26" s="216"/>
    </row>
    <row r="27" spans="1:8" ht="14.75" customHeight="1" x14ac:dyDescent="0.4">
      <c r="A27" s="216" t="s">
        <v>15</v>
      </c>
      <c r="B27" s="266"/>
      <c r="C27" s="216" t="s">
        <v>1207</v>
      </c>
      <c r="D27" s="217">
        <v>100.53242981606974</v>
      </c>
      <c r="E27" s="241">
        <v>0.5</v>
      </c>
      <c r="F27" s="217">
        <v>50.266214908034868</v>
      </c>
      <c r="G27" s="216"/>
      <c r="H27" s="216"/>
    </row>
    <row r="28" spans="1:8" ht="25.5" x14ac:dyDescent="0.4">
      <c r="A28" s="216" t="s">
        <v>15</v>
      </c>
      <c r="B28" s="266"/>
      <c r="C28" s="216" t="s">
        <v>1208</v>
      </c>
      <c r="D28" s="217">
        <v>201.06485963213947</v>
      </c>
      <c r="E28" s="241">
        <v>0.75</v>
      </c>
      <c r="F28" s="217">
        <v>150.79864472410461</v>
      </c>
      <c r="G28" s="216"/>
      <c r="H28" s="216"/>
    </row>
    <row r="29" spans="1:8" x14ac:dyDescent="0.4">
      <c r="A29" s="216" t="s">
        <v>20</v>
      </c>
      <c r="B29" s="266"/>
      <c r="C29" s="216" t="s">
        <v>1209</v>
      </c>
      <c r="D29" s="217">
        <v>35.000025480000012</v>
      </c>
      <c r="E29" s="241">
        <v>0.9</v>
      </c>
      <c r="F29" s="217">
        <v>31.500022932000011</v>
      </c>
      <c r="G29" s="216"/>
      <c r="H29" s="216"/>
    </row>
    <row r="30" spans="1:8" x14ac:dyDescent="0.4">
      <c r="A30" s="216" t="s">
        <v>20</v>
      </c>
      <c r="B30" s="267"/>
      <c r="C30" s="216" t="s">
        <v>1210</v>
      </c>
      <c r="D30" s="217">
        <v>250.00018200000008</v>
      </c>
      <c r="E30" s="241">
        <v>0.9</v>
      </c>
      <c r="F30" s="217">
        <v>225.00016380000008</v>
      </c>
      <c r="G30" s="216"/>
      <c r="H30" s="216"/>
    </row>
    <row r="31" spans="1:8" x14ac:dyDescent="0.4">
      <c r="A31" s="216" t="s">
        <v>20</v>
      </c>
      <c r="B31" s="216"/>
      <c r="C31" s="216" t="s">
        <v>1211</v>
      </c>
      <c r="D31" s="217">
        <v>9.0000065520000021</v>
      </c>
      <c r="E31" s="241">
        <v>1</v>
      </c>
      <c r="F31" s="217">
        <v>9.0000065520000021</v>
      </c>
      <c r="G31" s="216"/>
      <c r="H31" s="216"/>
    </row>
    <row r="32" spans="1:8" x14ac:dyDescent="0.4">
      <c r="A32" s="216" t="s">
        <v>15</v>
      </c>
      <c r="B32" s="216"/>
      <c r="C32" s="216" t="s">
        <v>1212</v>
      </c>
      <c r="D32" s="216">
        <v>100</v>
      </c>
      <c r="E32" s="241">
        <v>0.5</v>
      </c>
      <c r="F32" s="217">
        <v>50</v>
      </c>
      <c r="G32" s="216"/>
      <c r="H32" s="216"/>
    </row>
    <row r="33" spans="1:8" ht="25.5" x14ac:dyDescent="0.4">
      <c r="A33" s="216" t="s">
        <v>15</v>
      </c>
      <c r="B33" s="216"/>
      <c r="C33" s="216" t="s">
        <v>1213</v>
      </c>
      <c r="D33" s="217">
        <v>201.06485963213947</v>
      </c>
      <c r="E33" s="241">
        <v>0.75</v>
      </c>
      <c r="F33" s="217">
        <v>150.79864472410461</v>
      </c>
      <c r="G33" s="216"/>
      <c r="H33" s="216"/>
    </row>
    <row r="34" spans="1:8" x14ac:dyDescent="0.4">
      <c r="A34" s="216" t="s">
        <v>15</v>
      </c>
      <c r="B34" s="216"/>
      <c r="C34" s="216" t="s">
        <v>1214</v>
      </c>
      <c r="D34" s="217">
        <v>100.53242981606974</v>
      </c>
      <c r="E34" s="241">
        <v>0.75</v>
      </c>
      <c r="F34" s="217">
        <v>75.399322362052303</v>
      </c>
      <c r="G34" s="216"/>
      <c r="H34" s="216"/>
    </row>
    <row r="35" spans="1:8" x14ac:dyDescent="0.4">
      <c r="A35" s="216" t="s">
        <v>15</v>
      </c>
      <c r="B35" s="216"/>
      <c r="C35" s="216" t="s">
        <v>1215</v>
      </c>
      <c r="D35" s="217">
        <v>201.06485963213947</v>
      </c>
      <c r="E35" s="241">
        <v>0.75</v>
      </c>
      <c r="F35" s="217">
        <v>150.79864472410461</v>
      </c>
      <c r="G35" s="216"/>
      <c r="H35" s="216"/>
    </row>
    <row r="36" spans="1:8" x14ac:dyDescent="0.4">
      <c r="A36" s="216" t="s">
        <v>20</v>
      </c>
      <c r="B36" s="216"/>
      <c r="C36" s="216" t="s">
        <v>1216</v>
      </c>
      <c r="D36" s="217">
        <v>50.00003640000002</v>
      </c>
      <c r="E36" s="241">
        <v>0.5</v>
      </c>
      <c r="F36" s="217">
        <v>25.00001820000001</v>
      </c>
      <c r="G36" s="216"/>
      <c r="H36" s="216"/>
    </row>
    <row r="37" spans="1:8" x14ac:dyDescent="0.4">
      <c r="A37" s="216" t="s">
        <v>20</v>
      </c>
      <c r="B37" s="216"/>
      <c r="C37" s="216" t="s">
        <v>1217</v>
      </c>
      <c r="D37" s="217">
        <v>30.000021840000009</v>
      </c>
      <c r="E37" s="241">
        <v>1</v>
      </c>
      <c r="F37" s="217">
        <v>30.000021840000009</v>
      </c>
      <c r="G37" s="216"/>
      <c r="H37" s="216"/>
    </row>
    <row r="38" spans="1:8" x14ac:dyDescent="0.4">
      <c r="A38" s="216" t="s">
        <v>20</v>
      </c>
      <c r="B38" s="216"/>
      <c r="C38" s="216" t="s">
        <v>1218</v>
      </c>
      <c r="D38" s="217">
        <v>100.00007280000004</v>
      </c>
      <c r="E38" s="241">
        <v>0.75</v>
      </c>
      <c r="F38" s="217">
        <v>75.000054600000027</v>
      </c>
      <c r="G38" s="216"/>
      <c r="H38" s="216"/>
    </row>
    <row r="39" spans="1:8" x14ac:dyDescent="0.4">
      <c r="A39" s="216" t="s">
        <v>20</v>
      </c>
      <c r="B39" s="216"/>
      <c r="C39" s="216" t="s">
        <v>1219</v>
      </c>
      <c r="D39" s="217">
        <v>40.000029120000015</v>
      </c>
      <c r="E39" s="241">
        <v>0.75</v>
      </c>
      <c r="F39" s="217">
        <v>30.000021840000009</v>
      </c>
      <c r="G39" s="216"/>
      <c r="H39" s="216"/>
    </row>
    <row r="40" spans="1:8" x14ac:dyDescent="0.4">
      <c r="A40" s="216" t="s">
        <v>20</v>
      </c>
      <c r="B40" s="216"/>
      <c r="C40" s="216" t="s">
        <v>1220</v>
      </c>
      <c r="D40" s="217">
        <v>14.000010192000007</v>
      </c>
      <c r="E40" s="241">
        <v>1</v>
      </c>
      <c r="F40" s="217">
        <v>14.000010192000007</v>
      </c>
      <c r="G40" s="216"/>
      <c r="H40" s="216"/>
    </row>
    <row r="41" spans="1:8" ht="25.5" x14ac:dyDescent="0.4">
      <c r="A41" s="216" t="s">
        <v>1221</v>
      </c>
      <c r="B41" s="216"/>
      <c r="C41" s="216" t="s">
        <v>1222</v>
      </c>
      <c r="D41" s="217">
        <v>50.00003640000002</v>
      </c>
      <c r="E41" s="241">
        <v>1</v>
      </c>
      <c r="F41" s="217">
        <v>50.00003640000002</v>
      </c>
      <c r="G41" s="216"/>
      <c r="H41" s="216"/>
    </row>
    <row r="42" spans="1:8" ht="25.5" x14ac:dyDescent="0.4">
      <c r="A42" s="216" t="s">
        <v>15</v>
      </c>
      <c r="B42" s="216"/>
      <c r="C42" s="216" t="s">
        <v>1223</v>
      </c>
      <c r="D42" s="217">
        <v>201.06485963213947</v>
      </c>
      <c r="E42" s="241">
        <v>0.75</v>
      </c>
      <c r="F42" s="217">
        <v>150.79864472410461</v>
      </c>
      <c r="G42" s="216"/>
      <c r="H42" s="216"/>
    </row>
    <row r="43" spans="1:8" ht="25.5" x14ac:dyDescent="0.4">
      <c r="A43" s="216" t="s">
        <v>15</v>
      </c>
      <c r="B43" s="216"/>
      <c r="C43" s="216" t="s">
        <v>1224</v>
      </c>
      <c r="D43" s="217">
        <v>100.53242981606974</v>
      </c>
      <c r="E43" s="241">
        <v>0.75</v>
      </c>
      <c r="F43" s="217">
        <v>75.399322362052303</v>
      </c>
      <c r="G43" s="216"/>
      <c r="H43" s="216"/>
    </row>
    <row r="44" spans="1:8" ht="25.5" x14ac:dyDescent="0.4">
      <c r="A44" s="216" t="s">
        <v>1221</v>
      </c>
      <c r="B44" s="216"/>
      <c r="C44" s="216" t="s">
        <v>1225</v>
      </c>
      <c r="D44" s="217">
        <v>55.000040040000016</v>
      </c>
      <c r="E44" s="241">
        <v>1</v>
      </c>
      <c r="F44" s="217">
        <v>55.000040040000016</v>
      </c>
      <c r="G44" s="216"/>
      <c r="H44" s="216"/>
    </row>
    <row r="45" spans="1:8" x14ac:dyDescent="0.4">
      <c r="A45" s="216" t="s">
        <v>20</v>
      </c>
      <c r="B45" s="216"/>
      <c r="C45" s="216" t="s">
        <v>1226</v>
      </c>
      <c r="D45" s="217">
        <v>60.000043680000019</v>
      </c>
      <c r="E45" s="241">
        <v>0.9</v>
      </c>
      <c r="F45" s="217">
        <v>54.00003931200002</v>
      </c>
      <c r="G45" s="216"/>
      <c r="H45" s="216"/>
    </row>
    <row r="46" spans="1:8" x14ac:dyDescent="0.4">
      <c r="A46" s="216" t="s">
        <v>15</v>
      </c>
      <c r="B46" s="216"/>
      <c r="C46" s="216" t="s">
        <v>1227</v>
      </c>
      <c r="D46" s="217">
        <v>191.01161665053249</v>
      </c>
      <c r="E46" s="241">
        <v>0.75</v>
      </c>
      <c r="F46" s="217">
        <v>143.25871248789937</v>
      </c>
      <c r="G46" s="216"/>
      <c r="H46" s="216"/>
    </row>
    <row r="47" spans="1:8" ht="14.45" customHeight="1" x14ac:dyDescent="0.4">
      <c r="A47" s="216" t="s">
        <v>1228</v>
      </c>
      <c r="B47" s="216"/>
      <c r="C47" s="216"/>
      <c r="D47" s="217">
        <v>720</v>
      </c>
      <c r="E47" s="241">
        <f>F47/D47</f>
        <v>0.96250000000000002</v>
      </c>
      <c r="F47" s="217">
        <v>693</v>
      </c>
      <c r="G47" s="216"/>
      <c r="H47" s="216"/>
    </row>
    <row r="48" spans="1:8" ht="25.5" x14ac:dyDescent="0.4">
      <c r="A48" s="216" t="s">
        <v>15</v>
      </c>
      <c r="B48" s="265" t="s">
        <v>1229</v>
      </c>
      <c r="C48" s="216" t="s">
        <v>1230</v>
      </c>
      <c r="D48" s="217">
        <v>65.346079380445332</v>
      </c>
      <c r="E48" s="241">
        <v>0.75</v>
      </c>
      <c r="F48" s="217">
        <v>49.009559535333999</v>
      </c>
      <c r="G48" s="216"/>
      <c r="H48" s="216"/>
    </row>
    <row r="49" spans="1:8" x14ac:dyDescent="0.4">
      <c r="A49" s="216" t="s">
        <v>15</v>
      </c>
      <c r="B49" s="266"/>
      <c r="C49" s="216" t="s">
        <v>1231</v>
      </c>
      <c r="D49" s="217">
        <v>50.266214908034868</v>
      </c>
      <c r="E49" s="241">
        <v>0.75</v>
      </c>
      <c r="F49" s="217">
        <v>37.699661181026151</v>
      </c>
      <c r="G49" s="216"/>
      <c r="H49" s="216"/>
    </row>
    <row r="50" spans="1:8" ht="25.5" x14ac:dyDescent="0.4">
      <c r="A50" s="216" t="s">
        <v>15</v>
      </c>
      <c r="B50" s="266"/>
      <c r="C50" s="216" t="s">
        <v>1232</v>
      </c>
      <c r="D50" s="217">
        <v>50.266214908034868</v>
      </c>
      <c r="E50" s="241">
        <v>0.75</v>
      </c>
      <c r="F50" s="217">
        <v>37.699661181026151</v>
      </c>
      <c r="G50" s="216"/>
      <c r="H50" s="216"/>
    </row>
    <row r="51" spans="1:8" ht="25.25" customHeight="1" x14ac:dyDescent="0.4">
      <c r="A51" s="216" t="s">
        <v>15</v>
      </c>
      <c r="B51" s="266"/>
      <c r="C51" s="216" t="s">
        <v>1233</v>
      </c>
      <c r="D51" s="216">
        <v>100</v>
      </c>
      <c r="E51" s="241">
        <v>0.5</v>
      </c>
      <c r="F51" s="217">
        <v>50</v>
      </c>
      <c r="G51" s="216"/>
      <c r="H51" s="216"/>
    </row>
    <row r="52" spans="1:8" ht="25.25" customHeight="1" x14ac:dyDescent="0.4">
      <c r="A52" s="216" t="s">
        <v>20</v>
      </c>
      <c r="B52" s="266"/>
      <c r="C52" s="216" t="s">
        <v>1234</v>
      </c>
      <c r="D52" s="217">
        <v>70.000050960000024</v>
      </c>
      <c r="E52" s="241">
        <v>0.9</v>
      </c>
      <c r="F52" s="217">
        <v>63.000045864000022</v>
      </c>
      <c r="G52" s="216"/>
      <c r="H52" s="216"/>
    </row>
    <row r="53" spans="1:8" ht="25.5" x14ac:dyDescent="0.4">
      <c r="A53" s="216" t="s">
        <v>1235</v>
      </c>
      <c r="B53" s="267"/>
      <c r="C53" s="216"/>
      <c r="D53" s="217">
        <v>681</v>
      </c>
      <c r="E53" s="241">
        <f>F53/D53</f>
        <v>0.70190895741556536</v>
      </c>
      <c r="F53" s="217">
        <v>478</v>
      </c>
      <c r="G53" s="216"/>
      <c r="H53" s="216"/>
    </row>
  </sheetData>
  <sortState xmlns:xlrd2="http://schemas.microsoft.com/office/spreadsheetml/2017/richdata2" ref="A20:H53">
    <sortCondition ref="C20"/>
  </sortState>
  <mergeCells count="2">
    <mergeCell ref="B20:B30"/>
    <mergeCell ref="B48:B53"/>
  </mergeCells>
  <phoneticPr fontId="22" type="noConversion"/>
  <pageMargins left="0.7" right="0.7" top="0.75" bottom="0.75" header="0.3" footer="0.3"/>
  <pageSetup orientation="portrait" horizontalDpi="90" verticalDpi="90" r:id="rId1"/>
  <headerFooter>
    <oddHeader>&amp;R&amp;"Calibri"&amp;10&amp;K000000Business Use&amp;1#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F787-67D9-42DD-B2CA-6037430FAFFE}">
  <sheetPr filterMode="1"/>
  <dimension ref="B2:Q328"/>
  <sheetViews>
    <sheetView topLeftCell="F28" workbookViewId="0">
      <selection activeCell="K85" sqref="K85"/>
    </sheetView>
  </sheetViews>
  <sheetFormatPr defaultRowHeight="13.9" x14ac:dyDescent="0.4"/>
  <cols>
    <col min="2" max="2" width="8.46484375" bestFit="1" customWidth="1"/>
    <col min="4" max="4" width="9.33203125" style="81"/>
    <col min="10" max="10" width="26.6640625" customWidth="1"/>
    <col min="11" max="11" width="68.46484375" bestFit="1" customWidth="1"/>
    <col min="12" max="12" width="22.6640625" bestFit="1" customWidth="1"/>
  </cols>
  <sheetData>
    <row r="2" spans="2:17" x14ac:dyDescent="0.4">
      <c r="B2" s="16" t="s">
        <v>82</v>
      </c>
    </row>
    <row r="3" spans="2:17" x14ac:dyDescent="0.4">
      <c r="B3" s="105" t="s">
        <v>167</v>
      </c>
      <c r="C3" s="106">
        <v>50000</v>
      </c>
    </row>
    <row r="4" spans="2:17" x14ac:dyDescent="0.4">
      <c r="B4" s="7" t="s">
        <v>126</v>
      </c>
      <c r="C4" s="106">
        <v>128668</v>
      </c>
    </row>
    <row r="5" spans="2:17" ht="18" x14ac:dyDescent="0.4">
      <c r="B5" s="7" t="s">
        <v>117</v>
      </c>
      <c r="C5" s="106">
        <v>330357</v>
      </c>
      <c r="G5" s="36" t="s">
        <v>657</v>
      </c>
      <c r="H5" s="36" t="s">
        <v>660</v>
      </c>
      <c r="I5" s="36" t="s">
        <v>27</v>
      </c>
      <c r="J5" s="16" t="s">
        <v>886</v>
      </c>
      <c r="K5" s="33" t="s">
        <v>887</v>
      </c>
      <c r="L5" s="33" t="s">
        <v>114</v>
      </c>
      <c r="M5" s="39">
        <v>0</v>
      </c>
      <c r="N5" s="40">
        <v>0.5</v>
      </c>
      <c r="O5" s="39">
        <v>0</v>
      </c>
      <c r="Q5" s="107">
        <v>22.5</v>
      </c>
    </row>
    <row r="6" spans="2:17" ht="18" x14ac:dyDescent="0.4">
      <c r="B6" s="105" t="s">
        <v>1236</v>
      </c>
      <c r="C6" s="106">
        <v>2975400</v>
      </c>
      <c r="G6" s="36" t="s">
        <v>97</v>
      </c>
      <c r="H6" s="36" t="s">
        <v>654</v>
      </c>
      <c r="I6" s="36" t="s">
        <v>20</v>
      </c>
      <c r="J6" s="36" t="s">
        <v>193</v>
      </c>
      <c r="K6" s="38" t="s">
        <v>655</v>
      </c>
      <c r="L6" s="38" t="s">
        <v>114</v>
      </c>
      <c r="M6" s="45">
        <v>22500</v>
      </c>
      <c r="N6" s="46">
        <v>0.9</v>
      </c>
      <c r="O6" s="37">
        <v>20250</v>
      </c>
      <c r="Q6" s="108">
        <v>4</v>
      </c>
    </row>
    <row r="7" spans="2:17" ht="18" hidden="1" x14ac:dyDescent="0.4">
      <c r="B7" s="7" t="s">
        <v>136</v>
      </c>
      <c r="C7" s="106">
        <v>448842.60000000003</v>
      </c>
      <c r="G7" s="36" t="s">
        <v>657</v>
      </c>
      <c r="H7" s="36" t="s">
        <v>660</v>
      </c>
      <c r="I7" s="36" t="s">
        <v>28</v>
      </c>
      <c r="J7" s="16" t="s">
        <v>916</v>
      </c>
      <c r="K7" s="38" t="s">
        <v>917</v>
      </c>
      <c r="M7" s="45">
        <v>8700</v>
      </c>
      <c r="N7" s="40">
        <v>0.75</v>
      </c>
      <c r="O7" s="45">
        <v>6525</v>
      </c>
      <c r="Q7" s="108">
        <v>3</v>
      </c>
    </row>
    <row r="8" spans="2:17" ht="18" hidden="1" x14ac:dyDescent="0.4">
      <c r="B8" s="7" t="s">
        <v>297</v>
      </c>
      <c r="C8" s="106">
        <v>0</v>
      </c>
      <c r="G8" s="36" t="s">
        <v>657</v>
      </c>
      <c r="H8" s="36" t="s">
        <v>660</v>
      </c>
      <c r="I8" s="36" t="s">
        <v>671</v>
      </c>
      <c r="J8" s="36" t="s">
        <v>193</v>
      </c>
      <c r="K8" s="38" t="s">
        <v>997</v>
      </c>
      <c r="L8" s="38" t="s">
        <v>114</v>
      </c>
      <c r="M8" s="37">
        <v>5000</v>
      </c>
      <c r="N8" s="46">
        <v>0.9</v>
      </c>
      <c r="O8" s="37">
        <v>4500</v>
      </c>
      <c r="Q8" s="108">
        <v>2.2000000000000002</v>
      </c>
    </row>
    <row r="9" spans="2:17" ht="18" hidden="1" x14ac:dyDescent="0.4">
      <c r="B9" s="7" t="s">
        <v>300</v>
      </c>
      <c r="C9" s="106">
        <v>1000000</v>
      </c>
      <c r="G9" s="36" t="s">
        <v>657</v>
      </c>
      <c r="H9" s="36" t="s">
        <v>660</v>
      </c>
      <c r="I9" s="36" t="s">
        <v>27</v>
      </c>
      <c r="J9" s="16" t="s">
        <v>675</v>
      </c>
      <c r="K9" s="33" t="s">
        <v>682</v>
      </c>
      <c r="M9" s="39">
        <v>5000</v>
      </c>
      <c r="N9" s="40">
        <v>0.5</v>
      </c>
      <c r="O9" s="39">
        <v>2500</v>
      </c>
      <c r="Q9" s="108">
        <v>2</v>
      </c>
    </row>
    <row r="10" spans="2:17" ht="18" x14ac:dyDescent="0.4">
      <c r="B10" s="7" t="s">
        <v>306</v>
      </c>
      <c r="C10" s="106">
        <v>800000</v>
      </c>
      <c r="G10" s="36" t="s">
        <v>97</v>
      </c>
      <c r="H10" s="36" t="s">
        <v>29</v>
      </c>
      <c r="I10" s="36" t="s">
        <v>20</v>
      </c>
      <c r="J10" s="36" t="s">
        <v>193</v>
      </c>
      <c r="K10" s="38" t="s">
        <v>370</v>
      </c>
      <c r="L10" s="38" t="s">
        <v>100</v>
      </c>
      <c r="M10" s="45">
        <v>4000</v>
      </c>
      <c r="N10" s="46">
        <v>0.5</v>
      </c>
      <c r="O10" s="39">
        <v>2000</v>
      </c>
      <c r="Q10" s="108">
        <v>1.2</v>
      </c>
    </row>
    <row r="11" spans="2:17" ht="18" hidden="1" x14ac:dyDescent="0.4">
      <c r="B11" s="7" t="s">
        <v>313</v>
      </c>
      <c r="C11" s="106">
        <v>0</v>
      </c>
      <c r="G11" s="36" t="s">
        <v>657</v>
      </c>
      <c r="H11" s="36" t="s">
        <v>660</v>
      </c>
      <c r="I11" s="36" t="s">
        <v>20</v>
      </c>
      <c r="J11" s="16" t="s">
        <v>862</v>
      </c>
      <c r="K11" s="38" t="s">
        <v>863</v>
      </c>
      <c r="M11" s="45">
        <v>4000</v>
      </c>
      <c r="N11" s="40">
        <v>0.9</v>
      </c>
      <c r="O11" s="37">
        <v>3600</v>
      </c>
      <c r="Q11" s="108">
        <v>1</v>
      </c>
    </row>
    <row r="12" spans="2:17" ht="18" hidden="1" x14ac:dyDescent="0.4">
      <c r="B12" s="7" t="s">
        <v>319</v>
      </c>
      <c r="C12" s="106">
        <v>300000</v>
      </c>
      <c r="G12" s="36" t="s">
        <v>657</v>
      </c>
      <c r="H12" s="36" t="s">
        <v>660</v>
      </c>
      <c r="I12" s="36" t="s">
        <v>20</v>
      </c>
      <c r="J12" s="34"/>
      <c r="K12" s="84" t="s">
        <v>1237</v>
      </c>
      <c r="M12" s="82">
        <v>4000</v>
      </c>
      <c r="N12" s="85">
        <v>0.5</v>
      </c>
      <c r="O12" s="82">
        <v>2000</v>
      </c>
      <c r="Q12" s="108">
        <v>1</v>
      </c>
    </row>
    <row r="13" spans="2:17" ht="18" x14ac:dyDescent="0.4">
      <c r="B13" s="7" t="s">
        <v>323</v>
      </c>
      <c r="C13" s="106">
        <v>0</v>
      </c>
      <c r="G13" s="36" t="s">
        <v>97</v>
      </c>
      <c r="H13" s="36" t="s">
        <v>29</v>
      </c>
      <c r="I13" s="36" t="s">
        <v>27</v>
      </c>
      <c r="J13" s="36" t="s">
        <v>363</v>
      </c>
      <c r="K13" s="33" t="s">
        <v>364</v>
      </c>
      <c r="L13" s="38" t="s">
        <v>114</v>
      </c>
      <c r="M13" s="39">
        <v>3000</v>
      </c>
      <c r="N13" s="40">
        <v>0.9</v>
      </c>
      <c r="O13" s="39">
        <v>2700</v>
      </c>
      <c r="Q13" s="108">
        <v>0.6</v>
      </c>
    </row>
    <row r="14" spans="2:17" ht="18" hidden="1" x14ac:dyDescent="0.4">
      <c r="B14" s="105" t="s">
        <v>328</v>
      </c>
      <c r="C14" s="106">
        <v>75000</v>
      </c>
      <c r="G14" s="36" t="s">
        <v>657</v>
      </c>
      <c r="H14" s="36" t="s">
        <v>660</v>
      </c>
      <c r="I14" s="36" t="s">
        <v>27</v>
      </c>
      <c r="J14" s="16" t="s">
        <v>903</v>
      </c>
      <c r="K14" s="33" t="s">
        <v>904</v>
      </c>
      <c r="L14" s="38" t="s">
        <v>110</v>
      </c>
      <c r="M14" s="39">
        <v>2300</v>
      </c>
      <c r="N14" s="40">
        <v>0.5</v>
      </c>
      <c r="O14" s="39">
        <v>1150</v>
      </c>
      <c r="Q14" s="108">
        <v>0.6</v>
      </c>
    </row>
    <row r="15" spans="2:17" ht="18" x14ac:dyDescent="0.4">
      <c r="B15" s="7" t="s">
        <v>1238</v>
      </c>
      <c r="C15" s="106">
        <v>337500</v>
      </c>
      <c r="G15" s="36" t="s">
        <v>97</v>
      </c>
      <c r="H15" s="36" t="s">
        <v>29</v>
      </c>
      <c r="I15" s="36" t="s">
        <v>20</v>
      </c>
      <c r="J15" s="36" t="s">
        <v>193</v>
      </c>
      <c r="K15" s="99" t="s">
        <v>372</v>
      </c>
      <c r="L15" s="38" t="s">
        <v>114</v>
      </c>
      <c r="M15" s="45">
        <v>2200</v>
      </c>
      <c r="N15" s="46">
        <v>0.9</v>
      </c>
      <c r="O15" s="39">
        <v>1980</v>
      </c>
      <c r="Q15" s="108">
        <v>0.7</v>
      </c>
    </row>
    <row r="16" spans="2:17" x14ac:dyDescent="0.4">
      <c r="B16" s="7" t="s">
        <v>190</v>
      </c>
      <c r="C16" s="106">
        <v>646556</v>
      </c>
      <c r="G16" s="36" t="s">
        <v>657</v>
      </c>
      <c r="H16" s="36" t="s">
        <v>29</v>
      </c>
      <c r="I16" s="36" t="s">
        <v>20</v>
      </c>
      <c r="J16" s="15" t="s">
        <v>261</v>
      </c>
      <c r="K16" s="38" t="s">
        <v>1239</v>
      </c>
      <c r="M16" s="45">
        <v>2000</v>
      </c>
      <c r="N16" s="46">
        <v>0.9</v>
      </c>
      <c r="O16" s="37">
        <v>1800</v>
      </c>
    </row>
    <row r="17" spans="2:15" hidden="1" x14ac:dyDescent="0.4">
      <c r="B17" s="105" t="s">
        <v>187</v>
      </c>
      <c r="C17" s="106">
        <v>211730</v>
      </c>
      <c r="G17" s="36" t="s">
        <v>657</v>
      </c>
      <c r="H17" s="36" t="s">
        <v>660</v>
      </c>
      <c r="I17" s="36" t="s">
        <v>27</v>
      </c>
      <c r="J17" s="16" t="s">
        <v>896</v>
      </c>
      <c r="K17" s="38" t="s">
        <v>897</v>
      </c>
      <c r="M17" s="37">
        <v>1500</v>
      </c>
      <c r="N17" s="46">
        <v>0.9</v>
      </c>
      <c r="O17" s="37">
        <v>1350</v>
      </c>
    </row>
    <row r="18" spans="2:15" hidden="1" x14ac:dyDescent="0.4">
      <c r="B18" s="7" t="s">
        <v>1240</v>
      </c>
      <c r="C18" s="106">
        <v>350097</v>
      </c>
      <c r="G18" s="36" t="s">
        <v>657</v>
      </c>
      <c r="H18" s="36" t="s">
        <v>660</v>
      </c>
      <c r="I18" s="36" t="s">
        <v>28</v>
      </c>
      <c r="J18" s="16" t="s">
        <v>692</v>
      </c>
      <c r="K18" s="33" t="s">
        <v>693</v>
      </c>
      <c r="L18" s="38" t="s">
        <v>114</v>
      </c>
      <c r="M18" s="39">
        <v>1400</v>
      </c>
      <c r="N18" s="46">
        <v>0.5</v>
      </c>
      <c r="O18" s="45">
        <v>700</v>
      </c>
    </row>
    <row r="19" spans="2:15" x14ac:dyDescent="0.4">
      <c r="B19" s="7" t="s">
        <v>1241</v>
      </c>
      <c r="C19" s="106">
        <v>568000</v>
      </c>
      <c r="G19" s="36" t="s">
        <v>97</v>
      </c>
      <c r="H19" s="36" t="s">
        <v>584</v>
      </c>
      <c r="I19" s="36" t="s">
        <v>20</v>
      </c>
      <c r="J19" s="16"/>
      <c r="K19" s="84" t="s">
        <v>652</v>
      </c>
      <c r="L19" s="87" t="s">
        <v>110</v>
      </c>
      <c r="M19" s="45">
        <v>1200</v>
      </c>
      <c r="N19" s="46">
        <v>0.75</v>
      </c>
      <c r="O19" s="37">
        <v>900</v>
      </c>
    </row>
    <row r="20" spans="2:15" x14ac:dyDescent="0.4">
      <c r="B20" s="7" t="s">
        <v>241</v>
      </c>
      <c r="C20" s="106">
        <v>600000</v>
      </c>
      <c r="G20" s="36" t="s">
        <v>97</v>
      </c>
      <c r="H20" s="36" t="s">
        <v>29</v>
      </c>
      <c r="I20" s="36" t="s">
        <v>27</v>
      </c>
      <c r="J20" s="36" t="s">
        <v>323</v>
      </c>
      <c r="K20" s="33" t="s">
        <v>324</v>
      </c>
      <c r="L20" s="38" t="s">
        <v>114</v>
      </c>
      <c r="M20" s="39">
        <v>1000</v>
      </c>
      <c r="N20" s="40">
        <v>0.9</v>
      </c>
      <c r="O20" s="39">
        <v>900</v>
      </c>
    </row>
    <row r="21" spans="2:15" x14ac:dyDescent="0.4">
      <c r="B21" s="7" t="s">
        <v>124</v>
      </c>
      <c r="C21" s="106">
        <v>9974</v>
      </c>
      <c r="G21" s="36" t="s">
        <v>97</v>
      </c>
      <c r="H21" s="36" t="s">
        <v>29</v>
      </c>
      <c r="I21" s="36" t="s">
        <v>27</v>
      </c>
      <c r="J21" s="36" t="s">
        <v>297</v>
      </c>
      <c r="K21" s="33" t="s">
        <v>1242</v>
      </c>
      <c r="L21" s="84" t="s">
        <v>175</v>
      </c>
      <c r="M21" s="45">
        <v>600</v>
      </c>
      <c r="N21" s="46">
        <v>0.9</v>
      </c>
      <c r="O21" s="39">
        <v>540</v>
      </c>
    </row>
    <row r="22" spans="2:15" x14ac:dyDescent="0.4">
      <c r="B22" s="7" t="s">
        <v>252</v>
      </c>
      <c r="C22" s="106">
        <v>202500</v>
      </c>
      <c r="G22" s="83" t="s">
        <v>97</v>
      </c>
      <c r="H22" s="83" t="s">
        <v>391</v>
      </c>
      <c r="I22" s="83" t="s">
        <v>172</v>
      </c>
      <c r="J22" s="83" t="s">
        <v>193</v>
      </c>
      <c r="K22" s="84" t="s">
        <v>577</v>
      </c>
      <c r="L22" s="38" t="s">
        <v>114</v>
      </c>
      <c r="M22" s="73">
        <v>500</v>
      </c>
      <c r="N22" s="72">
        <v>0.9</v>
      </c>
      <c r="O22" s="71">
        <v>450</v>
      </c>
    </row>
    <row r="23" spans="2:15" x14ac:dyDescent="0.4">
      <c r="B23" s="7" t="s">
        <v>257</v>
      </c>
      <c r="C23" s="106">
        <v>502500</v>
      </c>
      <c r="G23" s="36" t="s">
        <v>97</v>
      </c>
      <c r="H23" s="36" t="s">
        <v>29</v>
      </c>
      <c r="I23" s="83" t="s">
        <v>20</v>
      </c>
      <c r="J23" s="50"/>
      <c r="K23" s="84" t="s">
        <v>378</v>
      </c>
      <c r="M23" s="82">
        <v>500</v>
      </c>
      <c r="N23" s="85">
        <v>0.9</v>
      </c>
      <c r="O23" s="82">
        <v>450</v>
      </c>
    </row>
    <row r="24" spans="2:15" hidden="1" x14ac:dyDescent="0.4">
      <c r="B24" s="7" t="s">
        <v>261</v>
      </c>
      <c r="C24" s="106">
        <v>0</v>
      </c>
      <c r="G24" s="36" t="s">
        <v>657</v>
      </c>
      <c r="H24" s="36" t="s">
        <v>660</v>
      </c>
      <c r="I24" s="36" t="s">
        <v>28</v>
      </c>
      <c r="J24" s="15" t="s">
        <v>925</v>
      </c>
      <c r="K24" s="38" t="s">
        <v>926</v>
      </c>
      <c r="L24" s="33" t="s">
        <v>114</v>
      </c>
      <c r="M24" s="45">
        <v>300</v>
      </c>
      <c r="N24" s="46">
        <v>0.9</v>
      </c>
      <c r="O24" s="45">
        <v>270</v>
      </c>
    </row>
    <row r="25" spans="2:15" hidden="1" x14ac:dyDescent="0.4">
      <c r="B25" s="7" t="s">
        <v>269</v>
      </c>
      <c r="C25" s="106">
        <v>720000</v>
      </c>
      <c r="G25" s="36" t="s">
        <v>657</v>
      </c>
      <c r="H25" s="36" t="s">
        <v>660</v>
      </c>
      <c r="I25" s="36" t="s">
        <v>20</v>
      </c>
      <c r="J25" s="16" t="s">
        <v>876</v>
      </c>
      <c r="K25" s="38" t="s">
        <v>877</v>
      </c>
      <c r="M25" s="45">
        <v>300</v>
      </c>
      <c r="N25" s="40">
        <v>0.9</v>
      </c>
      <c r="O25" s="37">
        <v>270</v>
      </c>
    </row>
    <row r="26" spans="2:15" x14ac:dyDescent="0.4">
      <c r="B26" s="7" t="s">
        <v>278</v>
      </c>
      <c r="C26" s="106">
        <v>375000</v>
      </c>
      <c r="G26" s="36" t="s">
        <v>97</v>
      </c>
      <c r="H26" s="36" t="s">
        <v>391</v>
      </c>
      <c r="I26" s="36" t="s">
        <v>15</v>
      </c>
      <c r="J26" s="51" t="s">
        <v>363</v>
      </c>
      <c r="K26" s="38" t="s">
        <v>572</v>
      </c>
      <c r="L26" s="38" t="s">
        <v>114</v>
      </c>
      <c r="M26" s="76">
        <v>200</v>
      </c>
      <c r="N26" s="93">
        <v>0.9</v>
      </c>
      <c r="O26" s="76">
        <v>180</v>
      </c>
    </row>
    <row r="27" spans="2:15" x14ac:dyDescent="0.4">
      <c r="B27" s="105" t="s">
        <v>286</v>
      </c>
      <c r="C27" s="106">
        <v>300000</v>
      </c>
      <c r="G27" s="36" t="s">
        <v>97</v>
      </c>
      <c r="H27" s="36" t="s">
        <v>584</v>
      </c>
      <c r="I27" s="36" t="s">
        <v>172</v>
      </c>
      <c r="J27" s="36" t="s">
        <v>193</v>
      </c>
      <c r="K27" s="38" t="s">
        <v>651</v>
      </c>
      <c r="L27" s="38" t="s">
        <v>114</v>
      </c>
      <c r="M27" s="45">
        <v>200</v>
      </c>
      <c r="N27" s="46">
        <v>0.9</v>
      </c>
      <c r="O27" s="37">
        <v>180</v>
      </c>
    </row>
    <row r="28" spans="2:15" x14ac:dyDescent="0.4">
      <c r="B28" s="7" t="s">
        <v>1005</v>
      </c>
      <c r="C28" s="106">
        <v>150000</v>
      </c>
      <c r="G28" s="36" t="s">
        <v>97</v>
      </c>
      <c r="H28" s="36" t="s">
        <v>391</v>
      </c>
      <c r="I28" s="36" t="s">
        <v>15</v>
      </c>
      <c r="J28" s="51" t="s">
        <v>363</v>
      </c>
      <c r="K28" s="38" t="s">
        <v>1243</v>
      </c>
      <c r="L28" s="38" t="s">
        <v>100</v>
      </c>
      <c r="M28" s="76">
        <v>175</v>
      </c>
      <c r="N28" s="93">
        <v>0.5</v>
      </c>
      <c r="O28" s="76">
        <v>87.5</v>
      </c>
    </row>
    <row r="29" spans="2:15" x14ac:dyDescent="0.4">
      <c r="B29" s="7" t="s">
        <v>108</v>
      </c>
      <c r="C29" s="106">
        <v>29923</v>
      </c>
      <c r="G29" s="36" t="s">
        <v>97</v>
      </c>
      <c r="H29" s="36" t="s">
        <v>391</v>
      </c>
      <c r="I29" s="36" t="s">
        <v>15</v>
      </c>
      <c r="J29" s="51" t="s">
        <v>363</v>
      </c>
      <c r="K29" s="38" t="s">
        <v>566</v>
      </c>
      <c r="L29" s="33" t="s">
        <v>114</v>
      </c>
      <c r="M29" s="76">
        <v>110</v>
      </c>
      <c r="N29" s="93">
        <v>0.5</v>
      </c>
      <c r="O29" s="76">
        <v>55</v>
      </c>
    </row>
    <row r="30" spans="2:15" hidden="1" x14ac:dyDescent="0.4">
      <c r="B30" s="7" t="s">
        <v>232</v>
      </c>
      <c r="C30" s="106">
        <v>5040000</v>
      </c>
      <c r="G30" s="36" t="s">
        <v>657</v>
      </c>
      <c r="H30" s="36" t="s">
        <v>660</v>
      </c>
      <c r="I30" s="36" t="s">
        <v>28</v>
      </c>
      <c r="J30" s="15" t="s">
        <v>935</v>
      </c>
      <c r="K30" s="38" t="s">
        <v>936</v>
      </c>
      <c r="L30" s="38" t="s">
        <v>110</v>
      </c>
      <c r="M30" s="45">
        <v>100</v>
      </c>
      <c r="N30" s="46">
        <v>0.9</v>
      </c>
      <c r="O30" s="45">
        <v>90</v>
      </c>
    </row>
    <row r="31" spans="2:15" hidden="1" x14ac:dyDescent="0.4">
      <c r="B31" s="105" t="s">
        <v>1244</v>
      </c>
      <c r="C31" s="106">
        <v>1892700</v>
      </c>
      <c r="G31" s="36" t="s">
        <v>657</v>
      </c>
      <c r="H31" s="36" t="s">
        <v>660</v>
      </c>
      <c r="I31" s="36" t="s">
        <v>27</v>
      </c>
      <c r="J31" s="36" t="s">
        <v>889</v>
      </c>
      <c r="K31" s="38" t="s">
        <v>890</v>
      </c>
      <c r="L31" s="38" t="s">
        <v>175</v>
      </c>
      <c r="M31" s="39">
        <v>0</v>
      </c>
      <c r="N31" s="52">
        <v>0.5</v>
      </c>
      <c r="O31" s="39">
        <v>0</v>
      </c>
    </row>
    <row r="32" spans="2:15" hidden="1" x14ac:dyDescent="0.4">
      <c r="B32" s="7" t="s">
        <v>296</v>
      </c>
      <c r="C32" s="106">
        <v>150000</v>
      </c>
      <c r="G32" s="36" t="s">
        <v>97</v>
      </c>
      <c r="H32" s="36" t="s">
        <v>29</v>
      </c>
      <c r="I32" s="36" t="s">
        <v>27</v>
      </c>
      <c r="J32" s="36" t="s">
        <v>313</v>
      </c>
      <c r="K32" s="33" t="s">
        <v>314</v>
      </c>
      <c r="L32" s="38" t="s">
        <v>114</v>
      </c>
      <c r="M32" s="39">
        <v>0</v>
      </c>
      <c r="N32" s="40">
        <v>0.9</v>
      </c>
      <c r="O32" s="39">
        <v>0</v>
      </c>
    </row>
    <row r="33" spans="2:15" hidden="1" x14ac:dyDescent="0.4">
      <c r="B33" s="7" t="s">
        <v>145</v>
      </c>
      <c r="C33" s="106">
        <v>1933344.9000000001</v>
      </c>
      <c r="G33" s="36" t="s">
        <v>97</v>
      </c>
      <c r="H33" s="36" t="s">
        <v>391</v>
      </c>
      <c r="I33" s="36" t="s">
        <v>20</v>
      </c>
      <c r="J33" s="36" t="s">
        <v>493</v>
      </c>
      <c r="K33" s="99" t="s">
        <v>494</v>
      </c>
      <c r="L33" s="38" t="s">
        <v>110</v>
      </c>
      <c r="M33" s="45">
        <v>0</v>
      </c>
      <c r="N33" s="46">
        <v>0</v>
      </c>
      <c r="O33" s="37">
        <v>0</v>
      </c>
    </row>
    <row r="34" spans="2:15" hidden="1" x14ac:dyDescent="0.4">
      <c r="B34" s="7" t="s">
        <v>335</v>
      </c>
      <c r="C34" s="106">
        <v>125000</v>
      </c>
      <c r="G34" s="36" t="s">
        <v>97</v>
      </c>
      <c r="H34" s="36" t="s">
        <v>584</v>
      </c>
      <c r="I34" s="36" t="s">
        <v>20</v>
      </c>
      <c r="J34" s="36" t="s">
        <v>623</v>
      </c>
      <c r="K34" s="38" t="s">
        <v>624</v>
      </c>
      <c r="L34" s="50" t="s">
        <v>114</v>
      </c>
      <c r="M34" s="45">
        <v>0</v>
      </c>
      <c r="N34" s="46">
        <v>0.9</v>
      </c>
      <c r="O34" s="37">
        <v>0</v>
      </c>
    </row>
    <row r="35" spans="2:15" hidden="1" x14ac:dyDescent="0.4">
      <c r="B35" s="7" t="s">
        <v>1245</v>
      </c>
      <c r="C35" s="106">
        <v>637500</v>
      </c>
      <c r="G35" s="36" t="s">
        <v>657</v>
      </c>
      <c r="H35" s="36" t="s">
        <v>660</v>
      </c>
      <c r="I35" s="36" t="s">
        <v>27</v>
      </c>
      <c r="J35" s="16" t="s">
        <v>193</v>
      </c>
      <c r="K35" s="33" t="s">
        <v>970</v>
      </c>
      <c r="M35" s="39">
        <v>0</v>
      </c>
      <c r="N35" s="40">
        <v>0</v>
      </c>
      <c r="O35" s="39">
        <v>0</v>
      </c>
    </row>
    <row r="36" spans="2:15" hidden="1" x14ac:dyDescent="0.4">
      <c r="B36" s="7" t="s">
        <v>338</v>
      </c>
      <c r="C36" s="106">
        <v>150000</v>
      </c>
      <c r="G36" s="36" t="s">
        <v>657</v>
      </c>
      <c r="H36" s="36" t="s">
        <v>660</v>
      </c>
      <c r="I36" s="36" t="s">
        <v>20</v>
      </c>
      <c r="J36" s="36" t="s">
        <v>193</v>
      </c>
      <c r="K36" s="38" t="s">
        <v>973</v>
      </c>
      <c r="M36" s="45">
        <v>0</v>
      </c>
      <c r="N36" s="46">
        <v>0</v>
      </c>
      <c r="O36" s="37">
        <v>0</v>
      </c>
    </row>
    <row r="37" spans="2:15" x14ac:dyDescent="0.4">
      <c r="B37" s="7" t="s">
        <v>1246</v>
      </c>
      <c r="C37" s="106">
        <v>1081000</v>
      </c>
    </row>
    <row r="38" spans="2:15" x14ac:dyDescent="0.4">
      <c r="B38" s="7" t="s">
        <v>1247</v>
      </c>
      <c r="C38" s="106">
        <v>531000</v>
      </c>
    </row>
    <row r="39" spans="2:15" x14ac:dyDescent="0.4">
      <c r="B39" s="16"/>
      <c r="I39" s="36" t="s">
        <v>654</v>
      </c>
      <c r="J39" s="36" t="s">
        <v>20</v>
      </c>
      <c r="K39" s="36" t="s">
        <v>193</v>
      </c>
      <c r="L39" s="38" t="s">
        <v>655</v>
      </c>
      <c r="M39" s="76">
        <v>22500</v>
      </c>
    </row>
    <row r="40" spans="2:15" x14ac:dyDescent="0.4">
      <c r="B40" s="16"/>
      <c r="I40" s="36" t="s">
        <v>1085</v>
      </c>
      <c r="J40" s="36" t="s">
        <v>28</v>
      </c>
      <c r="K40" s="16" t="s">
        <v>1137</v>
      </c>
      <c r="L40" s="38" t="s">
        <v>1248</v>
      </c>
      <c r="M40" s="39">
        <v>5500</v>
      </c>
    </row>
    <row r="41" spans="2:15" x14ac:dyDescent="0.4">
      <c r="B41" s="16"/>
      <c r="I41" s="36" t="s">
        <v>29</v>
      </c>
      <c r="J41" s="83" t="s">
        <v>20</v>
      </c>
      <c r="K41" s="50"/>
      <c r="L41" s="84" t="s">
        <v>378</v>
      </c>
      <c r="M41" s="82">
        <v>500</v>
      </c>
    </row>
    <row r="42" spans="2:15" x14ac:dyDescent="0.4">
      <c r="B42" s="16"/>
      <c r="I42" s="36" t="s">
        <v>29</v>
      </c>
      <c r="J42" s="36" t="s">
        <v>20</v>
      </c>
      <c r="K42" s="36" t="s">
        <v>193</v>
      </c>
      <c r="L42" s="38" t="s">
        <v>370</v>
      </c>
      <c r="M42" s="45">
        <v>4000</v>
      </c>
    </row>
    <row r="43" spans="2:15" x14ac:dyDescent="0.4">
      <c r="B43" s="16"/>
      <c r="I43" s="36" t="s">
        <v>584</v>
      </c>
      <c r="J43" s="36" t="s">
        <v>172</v>
      </c>
      <c r="K43" s="36" t="s">
        <v>193</v>
      </c>
      <c r="L43" s="38" t="s">
        <v>651</v>
      </c>
      <c r="M43" s="45">
        <v>200</v>
      </c>
    </row>
    <row r="44" spans="2:15" x14ac:dyDescent="0.4">
      <c r="B44" s="16"/>
      <c r="I44" s="36" t="s">
        <v>29</v>
      </c>
      <c r="J44" s="36" t="s">
        <v>20</v>
      </c>
      <c r="K44" s="36" t="s">
        <v>193</v>
      </c>
      <c r="L44" s="99" t="s">
        <v>372</v>
      </c>
      <c r="M44" s="45">
        <v>2200</v>
      </c>
    </row>
    <row r="45" spans="2:15" x14ac:dyDescent="0.4">
      <c r="B45" s="16"/>
      <c r="I45" s="36" t="s">
        <v>391</v>
      </c>
      <c r="J45" s="36" t="s">
        <v>15</v>
      </c>
      <c r="K45" s="51" t="s">
        <v>363</v>
      </c>
      <c r="L45" s="38" t="s">
        <v>1243</v>
      </c>
      <c r="M45" s="45">
        <v>175</v>
      </c>
    </row>
    <row r="46" spans="2:15" x14ac:dyDescent="0.4">
      <c r="B46" s="16"/>
      <c r="I46" s="36" t="s">
        <v>1085</v>
      </c>
      <c r="J46" s="36" t="s">
        <v>27</v>
      </c>
      <c r="K46" s="103" t="s">
        <v>363</v>
      </c>
      <c r="L46" s="38" t="s">
        <v>1152</v>
      </c>
      <c r="M46" s="39">
        <v>400</v>
      </c>
    </row>
    <row r="47" spans="2:15" x14ac:dyDescent="0.4">
      <c r="B47" s="16"/>
      <c r="I47" s="36" t="s">
        <v>391</v>
      </c>
      <c r="J47" s="36" t="s">
        <v>15</v>
      </c>
      <c r="K47" s="51" t="s">
        <v>363</v>
      </c>
      <c r="L47" s="38" t="s">
        <v>572</v>
      </c>
      <c r="M47" s="45">
        <v>200</v>
      </c>
    </row>
    <row r="48" spans="2:15" x14ac:dyDescent="0.4">
      <c r="B48" s="16"/>
      <c r="I48" s="36" t="s">
        <v>29</v>
      </c>
      <c r="J48" s="36" t="s">
        <v>27</v>
      </c>
      <c r="K48" s="36" t="s">
        <v>323</v>
      </c>
      <c r="L48" s="33" t="s">
        <v>324</v>
      </c>
      <c r="M48" s="39">
        <v>1000</v>
      </c>
    </row>
    <row r="49" spans="2:15" x14ac:dyDescent="0.4">
      <c r="B49" s="16"/>
      <c r="I49" s="36" t="s">
        <v>29</v>
      </c>
      <c r="J49" s="36" t="s">
        <v>27</v>
      </c>
      <c r="K49" s="36" t="s">
        <v>363</v>
      </c>
      <c r="L49" s="33" t="s">
        <v>364</v>
      </c>
      <c r="M49" s="39">
        <v>3000</v>
      </c>
    </row>
    <row r="50" spans="2:15" x14ac:dyDescent="0.4">
      <c r="B50" s="16"/>
      <c r="I50" s="36" t="s">
        <v>391</v>
      </c>
      <c r="J50" s="36" t="s">
        <v>15</v>
      </c>
      <c r="K50" s="51" t="s">
        <v>363</v>
      </c>
      <c r="L50" s="38" t="s">
        <v>566</v>
      </c>
      <c r="M50" s="45">
        <v>110</v>
      </c>
    </row>
    <row r="51" spans="2:15" x14ac:dyDescent="0.4">
      <c r="B51" s="16"/>
      <c r="I51" s="36" t="s">
        <v>584</v>
      </c>
      <c r="J51" s="36" t="s">
        <v>20</v>
      </c>
      <c r="K51" s="16"/>
      <c r="L51" s="84" t="s">
        <v>652</v>
      </c>
      <c r="M51" s="45">
        <v>1200</v>
      </c>
    </row>
    <row r="52" spans="2:15" x14ac:dyDescent="0.4">
      <c r="B52" s="16"/>
      <c r="I52" s="83" t="s">
        <v>391</v>
      </c>
      <c r="J52" s="83" t="s">
        <v>172</v>
      </c>
      <c r="K52" s="83" t="s">
        <v>193</v>
      </c>
      <c r="L52" s="84" t="s">
        <v>577</v>
      </c>
      <c r="M52" s="73">
        <v>500</v>
      </c>
    </row>
    <row r="53" spans="2:15" x14ac:dyDescent="0.4">
      <c r="B53" s="16"/>
      <c r="I53" s="36" t="s">
        <v>29</v>
      </c>
      <c r="J53" s="36" t="s">
        <v>27</v>
      </c>
      <c r="K53" s="36" t="s">
        <v>297</v>
      </c>
      <c r="L53" s="33" t="s">
        <v>1242</v>
      </c>
      <c r="M53" s="45">
        <v>600</v>
      </c>
    </row>
    <row r="54" spans="2:15" ht="18" x14ac:dyDescent="0.4">
      <c r="B54" s="16"/>
      <c r="F54" s="36" t="s">
        <v>97</v>
      </c>
      <c r="G54" s="36" t="s">
        <v>654</v>
      </c>
      <c r="H54" s="36" t="s">
        <v>20</v>
      </c>
      <c r="I54" s="36" t="s">
        <v>193</v>
      </c>
      <c r="J54" s="38" t="s">
        <v>655</v>
      </c>
      <c r="K54" s="38" t="s">
        <v>114</v>
      </c>
      <c r="L54" s="45">
        <v>22500</v>
      </c>
      <c r="O54" s="107">
        <v>22.5</v>
      </c>
    </row>
    <row r="55" spans="2:15" ht="18" x14ac:dyDescent="0.4">
      <c r="B55" s="16"/>
      <c r="F55" s="36" t="s">
        <v>97</v>
      </c>
      <c r="G55" s="36" t="s">
        <v>29</v>
      </c>
      <c r="H55" s="36" t="s">
        <v>20</v>
      </c>
      <c r="I55" s="36" t="s">
        <v>193</v>
      </c>
      <c r="J55" s="38" t="s">
        <v>370</v>
      </c>
      <c r="K55" s="33" t="s">
        <v>114</v>
      </c>
      <c r="L55" s="45">
        <v>4000</v>
      </c>
      <c r="O55" s="108">
        <v>4</v>
      </c>
    </row>
    <row r="56" spans="2:15" ht="18" x14ac:dyDescent="0.4">
      <c r="B56" s="16"/>
      <c r="F56" s="36" t="s">
        <v>97</v>
      </c>
      <c r="G56" s="36" t="s">
        <v>29</v>
      </c>
      <c r="H56" s="36" t="s">
        <v>27</v>
      </c>
      <c r="I56" s="36" t="s">
        <v>363</v>
      </c>
      <c r="J56" s="33" t="s">
        <v>364</v>
      </c>
      <c r="K56" s="33" t="s">
        <v>114</v>
      </c>
      <c r="L56" s="39">
        <v>3000</v>
      </c>
      <c r="O56" s="108">
        <v>3</v>
      </c>
    </row>
    <row r="57" spans="2:15" ht="18" x14ac:dyDescent="0.4">
      <c r="B57" s="16"/>
      <c r="F57" s="36" t="s">
        <v>97</v>
      </c>
      <c r="G57" s="36" t="s">
        <v>29</v>
      </c>
      <c r="H57" s="36" t="s">
        <v>20</v>
      </c>
      <c r="I57" s="36" t="s">
        <v>193</v>
      </c>
      <c r="J57" s="99" t="s">
        <v>372</v>
      </c>
      <c r="K57" s="33" t="s">
        <v>114</v>
      </c>
      <c r="L57" s="45">
        <v>2200</v>
      </c>
      <c r="O57" s="108">
        <v>2.2000000000000002</v>
      </c>
    </row>
    <row r="58" spans="2:15" ht="18" x14ac:dyDescent="0.4">
      <c r="B58" s="16"/>
      <c r="F58" s="36" t="s">
        <v>97</v>
      </c>
      <c r="G58" s="36" t="s">
        <v>584</v>
      </c>
      <c r="H58" s="36" t="s">
        <v>20</v>
      </c>
      <c r="I58" s="16"/>
      <c r="J58" s="84" t="s">
        <v>652</v>
      </c>
      <c r="K58" s="38" t="s">
        <v>114</v>
      </c>
      <c r="L58" s="45">
        <v>1200</v>
      </c>
      <c r="O58" s="108">
        <v>1.2</v>
      </c>
    </row>
    <row r="59" spans="2:15" ht="18" x14ac:dyDescent="0.4">
      <c r="B59" s="16"/>
      <c r="F59" s="36" t="s">
        <v>97</v>
      </c>
      <c r="G59" s="36" t="s">
        <v>29</v>
      </c>
      <c r="H59" s="36" t="s">
        <v>27</v>
      </c>
      <c r="I59" s="36" t="s">
        <v>323</v>
      </c>
      <c r="J59" s="33" t="s">
        <v>324</v>
      </c>
      <c r="K59" s="38" t="s">
        <v>110</v>
      </c>
      <c r="L59" s="39">
        <v>1000</v>
      </c>
      <c r="O59" s="108">
        <v>1</v>
      </c>
    </row>
    <row r="60" spans="2:15" ht="18" x14ac:dyDescent="0.4">
      <c r="B60" s="16"/>
      <c r="F60" s="36" t="s">
        <v>97</v>
      </c>
      <c r="G60" s="36" t="s">
        <v>29</v>
      </c>
      <c r="H60" s="36" t="s">
        <v>27</v>
      </c>
      <c r="I60" s="36" t="s">
        <v>297</v>
      </c>
      <c r="J60" s="33" t="s">
        <v>1242</v>
      </c>
      <c r="K60" s="33" t="s">
        <v>114</v>
      </c>
      <c r="L60" s="45">
        <v>600</v>
      </c>
      <c r="O60" s="108">
        <v>0.6</v>
      </c>
    </row>
    <row r="61" spans="2:15" ht="18" x14ac:dyDescent="0.4">
      <c r="B61" s="16"/>
      <c r="F61" s="83" t="s">
        <v>97</v>
      </c>
      <c r="G61" s="83" t="s">
        <v>391</v>
      </c>
      <c r="H61" s="83" t="s">
        <v>172</v>
      </c>
      <c r="I61" s="83" t="s">
        <v>193</v>
      </c>
      <c r="J61" s="84" t="s">
        <v>577</v>
      </c>
      <c r="K61" s="84" t="s">
        <v>175</v>
      </c>
      <c r="L61" s="73">
        <v>500</v>
      </c>
      <c r="O61" s="108">
        <v>0.5</v>
      </c>
    </row>
    <row r="62" spans="2:15" ht="18" x14ac:dyDescent="0.4">
      <c r="B62" s="16"/>
      <c r="F62" s="36" t="s">
        <v>97</v>
      </c>
      <c r="G62" s="36" t="s">
        <v>29</v>
      </c>
      <c r="H62" s="83" t="s">
        <v>20</v>
      </c>
      <c r="I62" s="50"/>
      <c r="J62" s="84" t="s">
        <v>378</v>
      </c>
      <c r="K62" s="50" t="s">
        <v>114</v>
      </c>
      <c r="L62" s="82">
        <v>500</v>
      </c>
      <c r="O62" s="108">
        <v>0.5</v>
      </c>
    </row>
    <row r="63" spans="2:15" ht="18" x14ac:dyDescent="0.4">
      <c r="B63" s="16"/>
      <c r="F63" s="36" t="s">
        <v>97</v>
      </c>
      <c r="G63" s="36" t="s">
        <v>391</v>
      </c>
      <c r="H63" s="36" t="s">
        <v>15</v>
      </c>
      <c r="I63" s="51" t="s">
        <v>363</v>
      </c>
      <c r="J63" s="38" t="s">
        <v>572</v>
      </c>
      <c r="K63" s="38" t="s">
        <v>114</v>
      </c>
      <c r="L63" s="76">
        <v>200</v>
      </c>
      <c r="O63" s="108">
        <v>0.7</v>
      </c>
    </row>
    <row r="64" spans="2:15" x14ac:dyDescent="0.4">
      <c r="B64" s="16"/>
      <c r="F64" s="36" t="s">
        <v>97</v>
      </c>
      <c r="G64" s="36" t="s">
        <v>584</v>
      </c>
      <c r="H64" s="36" t="s">
        <v>172</v>
      </c>
      <c r="I64" s="36" t="s">
        <v>193</v>
      </c>
      <c r="J64" s="38" t="s">
        <v>651</v>
      </c>
      <c r="K64" s="38" t="s">
        <v>175</v>
      </c>
      <c r="L64" s="45">
        <v>200</v>
      </c>
    </row>
    <row r="65" spans="2:12" x14ac:dyDescent="0.4">
      <c r="B65" s="16"/>
      <c r="F65" s="36" t="s">
        <v>97</v>
      </c>
      <c r="G65" s="36" t="s">
        <v>391</v>
      </c>
      <c r="H65" s="36" t="s">
        <v>15</v>
      </c>
      <c r="I65" s="51" t="s">
        <v>363</v>
      </c>
      <c r="J65" s="38" t="s">
        <v>1243</v>
      </c>
      <c r="K65" s="38" t="s">
        <v>114</v>
      </c>
      <c r="L65" s="76">
        <v>175</v>
      </c>
    </row>
    <row r="66" spans="2:12" x14ac:dyDescent="0.4">
      <c r="B66" s="16"/>
      <c r="F66" s="36" t="s">
        <v>97</v>
      </c>
      <c r="G66" s="36" t="s">
        <v>391</v>
      </c>
      <c r="H66" s="36" t="s">
        <v>15</v>
      </c>
      <c r="I66" s="51" t="s">
        <v>363</v>
      </c>
      <c r="J66" s="38" t="s">
        <v>566</v>
      </c>
      <c r="K66" s="38" t="s">
        <v>114</v>
      </c>
      <c r="L66" s="76">
        <v>110</v>
      </c>
    </row>
    <row r="67" spans="2:12" x14ac:dyDescent="0.4">
      <c r="B67" s="16"/>
      <c r="F67" s="36" t="s">
        <v>97</v>
      </c>
      <c r="G67" s="36" t="s">
        <v>29</v>
      </c>
      <c r="H67" s="36" t="s">
        <v>27</v>
      </c>
      <c r="I67" s="36" t="s">
        <v>313</v>
      </c>
      <c r="J67" s="33" t="s">
        <v>314</v>
      </c>
      <c r="K67" s="38" t="s">
        <v>110</v>
      </c>
      <c r="L67" s="39">
        <v>0</v>
      </c>
    </row>
    <row r="68" spans="2:12" x14ac:dyDescent="0.4">
      <c r="B68" s="16"/>
      <c r="F68" s="36" t="s">
        <v>97</v>
      </c>
      <c r="G68" s="36" t="s">
        <v>391</v>
      </c>
      <c r="H68" s="36" t="s">
        <v>20</v>
      </c>
      <c r="I68" s="36" t="s">
        <v>493</v>
      </c>
      <c r="J68" s="99" t="s">
        <v>494</v>
      </c>
      <c r="K68" s="38" t="s">
        <v>114</v>
      </c>
      <c r="L68" s="45">
        <v>0</v>
      </c>
    </row>
    <row r="69" spans="2:12" x14ac:dyDescent="0.4">
      <c r="B69" s="16"/>
      <c r="F69" s="36" t="s">
        <v>97</v>
      </c>
      <c r="G69" s="36" t="s">
        <v>584</v>
      </c>
      <c r="H69" s="36" t="s">
        <v>20</v>
      </c>
      <c r="I69" s="36" t="s">
        <v>623</v>
      </c>
      <c r="J69" s="38" t="s">
        <v>624</v>
      </c>
      <c r="K69" s="38" t="s">
        <v>114</v>
      </c>
      <c r="L69" s="45">
        <v>0</v>
      </c>
    </row>
    <row r="70" spans="2:12" x14ac:dyDescent="0.4">
      <c r="B70" s="16"/>
    </row>
    <row r="71" spans="2:12" x14ac:dyDescent="0.4">
      <c r="B71" s="16"/>
    </row>
    <row r="72" spans="2:12" x14ac:dyDescent="0.4">
      <c r="B72" s="16"/>
    </row>
    <row r="73" spans="2:12" x14ac:dyDescent="0.4">
      <c r="B73" s="16"/>
    </row>
    <row r="74" spans="2:12" x14ac:dyDescent="0.4">
      <c r="B74" s="16"/>
    </row>
    <row r="75" spans="2:12" x14ac:dyDescent="0.4">
      <c r="B75" s="16"/>
    </row>
    <row r="76" spans="2:12" x14ac:dyDescent="0.4">
      <c r="B76" s="16"/>
    </row>
    <row r="77" spans="2:12" x14ac:dyDescent="0.4">
      <c r="B77" s="16"/>
    </row>
    <row r="78" spans="2:12" x14ac:dyDescent="0.4">
      <c r="B78" s="16"/>
    </row>
    <row r="79" spans="2:12" x14ac:dyDescent="0.4">
      <c r="B79" s="16"/>
    </row>
    <row r="80" spans="2:12" x14ac:dyDescent="0.4">
      <c r="B80" s="15"/>
    </row>
    <row r="81" spans="2:2" x14ac:dyDescent="0.4">
      <c r="B81" s="15"/>
    </row>
    <row r="82" spans="2:2" x14ac:dyDescent="0.4">
      <c r="B82" s="15"/>
    </row>
    <row r="83" spans="2:2" x14ac:dyDescent="0.4">
      <c r="B83" s="16"/>
    </row>
    <row r="84" spans="2:2" x14ac:dyDescent="0.4">
      <c r="B84" s="16"/>
    </row>
    <row r="85" spans="2:2" x14ac:dyDescent="0.4">
      <c r="B85" s="16"/>
    </row>
    <row r="86" spans="2:2" x14ac:dyDescent="0.4">
      <c r="B86" s="16"/>
    </row>
    <row r="87" spans="2:2" x14ac:dyDescent="0.4">
      <c r="B87" s="15"/>
    </row>
    <row r="88" spans="2:2" x14ac:dyDescent="0.4">
      <c r="B88" s="16"/>
    </row>
    <row r="89" spans="2:2" x14ac:dyDescent="0.4">
      <c r="B89" s="16"/>
    </row>
    <row r="90" spans="2:2" x14ac:dyDescent="0.4">
      <c r="B90" s="16"/>
    </row>
    <row r="91" spans="2:2" x14ac:dyDescent="0.4">
      <c r="B91" s="16"/>
    </row>
    <row r="92" spans="2:2" x14ac:dyDescent="0.4">
      <c r="B92" s="16"/>
    </row>
    <row r="93" spans="2:2" x14ac:dyDescent="0.4">
      <c r="B93" s="16"/>
    </row>
    <row r="94" spans="2:2" x14ac:dyDescent="0.4">
      <c r="B94" s="94"/>
    </row>
    <row r="95" spans="2:2" x14ac:dyDescent="0.4">
      <c r="B95" s="16"/>
    </row>
    <row r="96" spans="2:2" x14ac:dyDescent="0.4">
      <c r="B96" s="16"/>
    </row>
    <row r="97" spans="2:2" x14ac:dyDescent="0.4">
      <c r="B97" s="16"/>
    </row>
    <row r="98" spans="2:2" x14ac:dyDescent="0.4">
      <c r="B98" s="16"/>
    </row>
    <row r="99" spans="2:2" x14ac:dyDescent="0.4">
      <c r="B99" s="16"/>
    </row>
    <row r="100" spans="2:2" x14ac:dyDescent="0.4">
      <c r="B100" s="16"/>
    </row>
    <row r="101" spans="2:2" x14ac:dyDescent="0.4">
      <c r="B101" s="16"/>
    </row>
    <row r="102" spans="2:2" x14ac:dyDescent="0.4">
      <c r="B102" s="16"/>
    </row>
    <row r="103" spans="2:2" x14ac:dyDescent="0.4">
      <c r="B103" s="16"/>
    </row>
    <row r="104" spans="2:2" x14ac:dyDescent="0.4">
      <c r="B104" s="16"/>
    </row>
    <row r="105" spans="2:2" x14ac:dyDescent="0.4">
      <c r="B105" s="16"/>
    </row>
    <row r="106" spans="2:2" x14ac:dyDescent="0.4">
      <c r="B106" s="16"/>
    </row>
    <row r="107" spans="2:2" x14ac:dyDescent="0.4">
      <c r="B107" s="16"/>
    </row>
    <row r="108" spans="2:2" x14ac:dyDescent="0.4">
      <c r="B108" s="15"/>
    </row>
    <row r="109" spans="2:2" x14ac:dyDescent="0.4">
      <c r="B109" s="16"/>
    </row>
    <row r="110" spans="2:2" x14ac:dyDescent="0.4">
      <c r="B110" s="16"/>
    </row>
    <row r="111" spans="2:2" x14ac:dyDescent="0.4">
      <c r="B111" s="15"/>
    </row>
    <row r="112" spans="2:2" x14ac:dyDescent="0.4">
      <c r="B112" s="15"/>
    </row>
    <row r="113" spans="2:2" x14ac:dyDescent="0.4">
      <c r="B113" s="16"/>
    </row>
    <row r="114" spans="2:2" x14ac:dyDescent="0.4">
      <c r="B114" s="16"/>
    </row>
    <row r="115" spans="2:2" x14ac:dyDescent="0.4">
      <c r="B115" s="15"/>
    </row>
    <row r="116" spans="2:2" x14ac:dyDescent="0.4">
      <c r="B116" s="15"/>
    </row>
    <row r="117" spans="2:2" x14ac:dyDescent="0.4">
      <c r="B117" s="15"/>
    </row>
    <row r="118" spans="2:2" x14ac:dyDescent="0.4">
      <c r="B118" s="16"/>
    </row>
    <row r="119" spans="2:2" x14ac:dyDescent="0.4">
      <c r="B119" s="16"/>
    </row>
    <row r="120" spans="2:2" x14ac:dyDescent="0.4">
      <c r="B120" s="15"/>
    </row>
    <row r="121" spans="2:2" x14ac:dyDescent="0.4">
      <c r="B121" s="16"/>
    </row>
    <row r="122" spans="2:2" x14ac:dyDescent="0.4">
      <c r="B122" s="16"/>
    </row>
    <row r="123" spans="2:2" x14ac:dyDescent="0.4">
      <c r="B123" s="15"/>
    </row>
    <row r="124" spans="2:2" x14ac:dyDescent="0.4">
      <c r="B124" s="15"/>
    </row>
    <row r="125" spans="2:2" x14ac:dyDescent="0.4">
      <c r="B125" s="16"/>
    </row>
    <row r="126" spans="2:2" x14ac:dyDescent="0.4">
      <c r="B126" s="15"/>
    </row>
    <row r="127" spans="2:2" x14ac:dyDescent="0.4">
      <c r="B127" s="16"/>
    </row>
    <row r="128" spans="2:2" x14ac:dyDescent="0.4">
      <c r="B128" s="95"/>
    </row>
    <row r="129" spans="2:2" x14ac:dyDescent="0.4">
      <c r="B129" s="16"/>
    </row>
    <row r="130" spans="2:2" x14ac:dyDescent="0.4">
      <c r="B130" s="16"/>
    </row>
    <row r="131" spans="2:2" x14ac:dyDescent="0.4">
      <c r="B131" s="16"/>
    </row>
    <row r="132" spans="2:2" x14ac:dyDescent="0.4">
      <c r="B132" s="16"/>
    </row>
    <row r="133" spans="2:2" x14ac:dyDescent="0.4">
      <c r="B133" s="16"/>
    </row>
    <row r="134" spans="2:2" x14ac:dyDescent="0.4">
      <c r="B134" s="16"/>
    </row>
    <row r="135" spans="2:2" x14ac:dyDescent="0.4">
      <c r="B135" s="16"/>
    </row>
    <row r="136" spans="2:2" x14ac:dyDescent="0.4">
      <c r="B136" s="16"/>
    </row>
    <row r="137" spans="2:2" x14ac:dyDescent="0.4">
      <c r="B137" s="16"/>
    </row>
    <row r="138" spans="2:2" x14ac:dyDescent="0.4">
      <c r="B138" s="16"/>
    </row>
    <row r="139" spans="2:2" x14ac:dyDescent="0.4">
      <c r="B139" s="16"/>
    </row>
    <row r="140" spans="2:2" x14ac:dyDescent="0.4">
      <c r="B140" s="16"/>
    </row>
    <row r="141" spans="2:2" x14ac:dyDescent="0.4">
      <c r="B141" s="16"/>
    </row>
    <row r="142" spans="2:2" x14ac:dyDescent="0.4">
      <c r="B142" s="16"/>
    </row>
    <row r="143" spans="2:2" x14ac:dyDescent="0.4">
      <c r="B143" s="16"/>
    </row>
    <row r="144" spans="2:2" x14ac:dyDescent="0.4">
      <c r="B144" s="16"/>
    </row>
    <row r="145" spans="2:2" x14ac:dyDescent="0.4">
      <c r="B145" s="96"/>
    </row>
    <row r="146" spans="2:2" x14ac:dyDescent="0.4">
      <c r="B146" s="16"/>
    </row>
    <row r="147" spans="2:2" x14ac:dyDescent="0.4">
      <c r="B147" s="95"/>
    </row>
    <row r="148" spans="2:2" x14ac:dyDescent="0.4">
      <c r="B148" s="16"/>
    </row>
    <row r="149" spans="2:2" x14ac:dyDescent="0.4">
      <c r="B149" s="16"/>
    </row>
    <row r="150" spans="2:2" x14ac:dyDescent="0.4">
      <c r="B150" s="16"/>
    </row>
    <row r="151" spans="2:2" x14ac:dyDescent="0.4">
      <c r="B151" s="16"/>
    </row>
    <row r="152" spans="2:2" x14ac:dyDescent="0.4">
      <c r="B152" s="16"/>
    </row>
    <row r="153" spans="2:2" x14ac:dyDescent="0.4">
      <c r="B153" s="16"/>
    </row>
    <row r="154" spans="2:2" x14ac:dyDescent="0.4">
      <c r="B154" s="16"/>
    </row>
    <row r="155" spans="2:2" x14ac:dyDescent="0.4">
      <c r="B155" s="16"/>
    </row>
    <row r="156" spans="2:2" x14ac:dyDescent="0.4">
      <c r="B156" s="16"/>
    </row>
    <row r="157" spans="2:2" x14ac:dyDescent="0.4">
      <c r="B157" s="16"/>
    </row>
    <row r="158" spans="2:2" x14ac:dyDescent="0.4">
      <c r="B158" s="16"/>
    </row>
    <row r="159" spans="2:2" x14ac:dyDescent="0.4">
      <c r="B159" s="15"/>
    </row>
    <row r="160" spans="2:2" x14ac:dyDescent="0.4">
      <c r="B160" s="15"/>
    </row>
    <row r="161" spans="2:2" x14ac:dyDescent="0.4">
      <c r="B161" s="15"/>
    </row>
    <row r="162" spans="2:2" x14ac:dyDescent="0.4">
      <c r="B162" s="15"/>
    </row>
    <row r="163" spans="2:2" x14ac:dyDescent="0.4">
      <c r="B163" s="15"/>
    </row>
    <row r="164" spans="2:2" x14ac:dyDescent="0.4">
      <c r="B164" s="15"/>
    </row>
    <row r="165" spans="2:2" x14ac:dyDescent="0.4">
      <c r="B165" s="15"/>
    </row>
    <row r="166" spans="2:2" x14ac:dyDescent="0.4">
      <c r="B166" s="15"/>
    </row>
    <row r="167" spans="2:2" x14ac:dyDescent="0.4">
      <c r="B167" s="15"/>
    </row>
    <row r="168" spans="2:2" x14ac:dyDescent="0.4">
      <c r="B168" s="15"/>
    </row>
    <row r="169" spans="2:2" x14ac:dyDescent="0.4">
      <c r="B169" s="15"/>
    </row>
    <row r="170" spans="2:2" x14ac:dyDescent="0.4">
      <c r="B170" s="15"/>
    </row>
    <row r="171" spans="2:2" x14ac:dyDescent="0.4">
      <c r="B171" s="15"/>
    </row>
    <row r="172" spans="2:2" x14ac:dyDescent="0.4">
      <c r="B172" s="15"/>
    </row>
    <row r="173" spans="2:2" x14ac:dyDescent="0.4">
      <c r="B173" s="16"/>
    </row>
    <row r="174" spans="2:2" x14ac:dyDescent="0.4">
      <c r="B174" s="16"/>
    </row>
    <row r="175" spans="2:2" x14ac:dyDescent="0.4">
      <c r="B175" s="16"/>
    </row>
    <row r="176" spans="2:2" x14ac:dyDescent="0.4">
      <c r="B176" s="16"/>
    </row>
    <row r="177" spans="2:2" x14ac:dyDescent="0.4">
      <c r="B177" s="16"/>
    </row>
    <row r="178" spans="2:2" x14ac:dyDescent="0.4">
      <c r="B178" s="16"/>
    </row>
    <row r="179" spans="2:2" x14ac:dyDescent="0.4">
      <c r="B179" s="16"/>
    </row>
    <row r="180" spans="2:2" x14ac:dyDescent="0.4">
      <c r="B180" s="16"/>
    </row>
    <row r="181" spans="2:2" x14ac:dyDescent="0.4">
      <c r="B181" s="16"/>
    </row>
    <row r="182" spans="2:2" x14ac:dyDescent="0.4">
      <c r="B182" s="16"/>
    </row>
    <row r="183" spans="2:2" x14ac:dyDescent="0.4">
      <c r="B183" s="16"/>
    </row>
    <row r="184" spans="2:2" x14ac:dyDescent="0.4">
      <c r="B184" s="16"/>
    </row>
    <row r="185" spans="2:2" x14ac:dyDescent="0.4">
      <c r="B185" s="16"/>
    </row>
    <row r="186" spans="2:2" x14ac:dyDescent="0.4">
      <c r="B186" s="16"/>
    </row>
    <row r="187" spans="2:2" x14ac:dyDescent="0.4">
      <c r="B187" s="16"/>
    </row>
    <row r="188" spans="2:2" x14ac:dyDescent="0.4">
      <c r="B188" s="16"/>
    </row>
    <row r="189" spans="2:2" x14ac:dyDescent="0.4">
      <c r="B189" s="16"/>
    </row>
    <row r="190" spans="2:2" x14ac:dyDescent="0.4">
      <c r="B190" s="95"/>
    </row>
    <row r="191" spans="2:2" x14ac:dyDescent="0.4">
      <c r="B191" s="79"/>
    </row>
    <row r="192" spans="2:2" x14ac:dyDescent="0.4">
      <c r="B192" s="16"/>
    </row>
    <row r="193" spans="2:2" x14ac:dyDescent="0.4">
      <c r="B193" s="16"/>
    </row>
    <row r="194" spans="2:2" x14ac:dyDescent="0.4">
      <c r="B194" s="16"/>
    </row>
    <row r="195" spans="2:2" x14ac:dyDescent="0.4">
      <c r="B195" s="16"/>
    </row>
    <row r="196" spans="2:2" x14ac:dyDescent="0.4">
      <c r="B196" s="16"/>
    </row>
    <row r="197" spans="2:2" x14ac:dyDescent="0.4">
      <c r="B197" s="16"/>
    </row>
    <row r="198" spans="2:2" x14ac:dyDescent="0.4">
      <c r="B198" s="16"/>
    </row>
    <row r="199" spans="2:2" x14ac:dyDescent="0.4">
      <c r="B199" s="16"/>
    </row>
    <row r="200" spans="2:2" x14ac:dyDescent="0.4">
      <c r="B200" s="16"/>
    </row>
    <row r="201" spans="2:2" x14ac:dyDescent="0.4">
      <c r="B201" s="16"/>
    </row>
    <row r="202" spans="2:2" x14ac:dyDescent="0.4">
      <c r="B202" s="16"/>
    </row>
    <row r="203" spans="2:2" x14ac:dyDescent="0.4">
      <c r="B203" s="16"/>
    </row>
    <row r="204" spans="2:2" x14ac:dyDescent="0.4">
      <c r="B204" s="96"/>
    </row>
    <row r="205" spans="2:2" x14ac:dyDescent="0.4">
      <c r="B205" s="16"/>
    </row>
    <row r="206" spans="2:2" x14ac:dyDescent="0.4">
      <c r="B206" s="16"/>
    </row>
    <row r="207" spans="2:2" x14ac:dyDescent="0.4">
      <c r="B207" s="16"/>
    </row>
    <row r="208" spans="2:2" x14ac:dyDescent="0.4">
      <c r="B208" s="16"/>
    </row>
    <row r="209" spans="2:2" x14ac:dyDescent="0.4">
      <c r="B209" s="16"/>
    </row>
    <row r="210" spans="2:2" x14ac:dyDescent="0.4">
      <c r="B210" s="16"/>
    </row>
    <row r="211" spans="2:2" x14ac:dyDescent="0.4">
      <c r="B211" s="15"/>
    </row>
    <row r="212" spans="2:2" x14ac:dyDescent="0.4">
      <c r="B212" s="15"/>
    </row>
    <row r="213" spans="2:2" x14ac:dyDescent="0.4">
      <c r="B213" s="15"/>
    </row>
    <row r="214" spans="2:2" x14ac:dyDescent="0.4">
      <c r="B214" s="15"/>
    </row>
    <row r="215" spans="2:2" x14ac:dyDescent="0.4">
      <c r="B215" s="15"/>
    </row>
    <row r="216" spans="2:2" x14ac:dyDescent="0.4">
      <c r="B216" s="15"/>
    </row>
    <row r="217" spans="2:2" x14ac:dyDescent="0.4">
      <c r="B217" s="15"/>
    </row>
    <row r="218" spans="2:2" x14ac:dyDescent="0.4">
      <c r="B218" s="15"/>
    </row>
    <row r="219" spans="2:2" x14ac:dyDescent="0.4">
      <c r="B219" s="15"/>
    </row>
    <row r="220" spans="2:2" x14ac:dyDescent="0.4">
      <c r="B220" s="15"/>
    </row>
    <row r="221" spans="2:2" x14ac:dyDescent="0.4">
      <c r="B221" s="16"/>
    </row>
    <row r="222" spans="2:2" x14ac:dyDescent="0.4">
      <c r="B222" s="16"/>
    </row>
    <row r="223" spans="2:2" x14ac:dyDescent="0.4">
      <c r="B223" s="15"/>
    </row>
    <row r="224" spans="2:2" x14ac:dyDescent="0.4">
      <c r="B224" s="16"/>
    </row>
    <row r="225" spans="2:2" x14ac:dyDescent="0.4">
      <c r="B225" s="15"/>
    </row>
    <row r="226" spans="2:2" x14ac:dyDescent="0.4">
      <c r="B226" s="15"/>
    </row>
    <row r="227" spans="2:2" x14ac:dyDescent="0.4">
      <c r="B227" s="15"/>
    </row>
    <row r="228" spans="2:2" x14ac:dyDescent="0.4">
      <c r="B228" s="15"/>
    </row>
    <row r="229" spans="2:2" x14ac:dyDescent="0.4">
      <c r="B229" s="15"/>
    </row>
    <row r="230" spans="2:2" x14ac:dyDescent="0.4">
      <c r="B230" s="15"/>
    </row>
    <row r="231" spans="2:2" x14ac:dyDescent="0.4">
      <c r="B231" s="15"/>
    </row>
    <row r="232" spans="2:2" x14ac:dyDescent="0.4">
      <c r="B232" s="15"/>
    </row>
    <row r="233" spans="2:2" x14ac:dyDescent="0.4">
      <c r="B233" s="15"/>
    </row>
    <row r="234" spans="2:2" x14ac:dyDescent="0.4">
      <c r="B234" s="15"/>
    </row>
    <row r="235" spans="2:2" x14ac:dyDescent="0.4">
      <c r="B235" s="15"/>
    </row>
    <row r="236" spans="2:2" x14ac:dyDescent="0.4">
      <c r="B236" s="15"/>
    </row>
    <row r="237" spans="2:2" x14ac:dyDescent="0.4">
      <c r="B237" s="15"/>
    </row>
    <row r="238" spans="2:2" x14ac:dyDescent="0.4">
      <c r="B238" s="15"/>
    </row>
    <row r="239" spans="2:2" x14ac:dyDescent="0.4">
      <c r="B239" s="15"/>
    </row>
    <row r="240" spans="2:2" x14ac:dyDescent="0.4">
      <c r="B240" s="15"/>
    </row>
    <row r="241" spans="2:2" x14ac:dyDescent="0.4">
      <c r="B241" s="15"/>
    </row>
    <row r="242" spans="2:2" x14ac:dyDescent="0.4">
      <c r="B242" s="15"/>
    </row>
    <row r="243" spans="2:2" x14ac:dyDescent="0.4">
      <c r="B243" s="15"/>
    </row>
    <row r="244" spans="2:2" x14ac:dyDescent="0.4">
      <c r="B244" s="15"/>
    </row>
    <row r="245" spans="2:2" x14ac:dyDescent="0.4">
      <c r="B245" s="15"/>
    </row>
    <row r="246" spans="2:2" x14ac:dyDescent="0.4">
      <c r="B246" s="15"/>
    </row>
    <row r="247" spans="2:2" x14ac:dyDescent="0.4">
      <c r="B247" s="15"/>
    </row>
    <row r="248" spans="2:2" x14ac:dyDescent="0.4">
      <c r="B248" s="15"/>
    </row>
    <row r="249" spans="2:2" x14ac:dyDescent="0.4">
      <c r="B249" s="15"/>
    </row>
    <row r="250" spans="2:2" x14ac:dyDescent="0.4">
      <c r="B250" s="15"/>
    </row>
    <row r="251" spans="2:2" x14ac:dyDescent="0.4">
      <c r="B251" s="15"/>
    </row>
    <row r="252" spans="2:2" x14ac:dyDescent="0.4">
      <c r="B252" s="15"/>
    </row>
    <row r="253" spans="2:2" x14ac:dyDescent="0.4">
      <c r="B253" s="15"/>
    </row>
    <row r="254" spans="2:2" x14ac:dyDescent="0.4">
      <c r="B254" s="15"/>
    </row>
    <row r="255" spans="2:2" x14ac:dyDescent="0.4">
      <c r="B255" s="15"/>
    </row>
    <row r="256" spans="2:2" x14ac:dyDescent="0.4">
      <c r="B256" s="15"/>
    </row>
    <row r="257" spans="2:2" x14ac:dyDescent="0.4">
      <c r="B257" s="15"/>
    </row>
    <row r="258" spans="2:2" x14ac:dyDescent="0.4">
      <c r="B258" s="15"/>
    </row>
    <row r="259" spans="2:2" x14ac:dyDescent="0.4">
      <c r="B259" s="15"/>
    </row>
    <row r="260" spans="2:2" x14ac:dyDescent="0.4">
      <c r="B260" s="15"/>
    </row>
    <row r="261" spans="2:2" x14ac:dyDescent="0.4">
      <c r="B261" s="15"/>
    </row>
    <row r="262" spans="2:2" x14ac:dyDescent="0.4">
      <c r="B262" s="15"/>
    </row>
    <row r="263" spans="2:2" x14ac:dyDescent="0.4">
      <c r="B263" s="15"/>
    </row>
    <row r="264" spans="2:2" x14ac:dyDescent="0.4">
      <c r="B264" s="15"/>
    </row>
    <row r="265" spans="2:2" x14ac:dyDescent="0.4">
      <c r="B265" s="15"/>
    </row>
    <row r="266" spans="2:2" x14ac:dyDescent="0.4">
      <c r="B266" s="15"/>
    </row>
    <row r="267" spans="2:2" x14ac:dyDescent="0.4">
      <c r="B267" s="15"/>
    </row>
    <row r="268" spans="2:2" x14ac:dyDescent="0.4">
      <c r="B268" s="15"/>
    </row>
    <row r="269" spans="2:2" x14ac:dyDescent="0.4">
      <c r="B269" s="15"/>
    </row>
    <row r="270" spans="2:2" x14ac:dyDescent="0.4">
      <c r="B270" s="15"/>
    </row>
    <row r="271" spans="2:2" x14ac:dyDescent="0.4">
      <c r="B271" s="15"/>
    </row>
    <row r="272" spans="2:2" x14ac:dyDescent="0.4">
      <c r="B272" s="15"/>
    </row>
    <row r="273" spans="2:2" x14ac:dyDescent="0.4">
      <c r="B273" s="15"/>
    </row>
    <row r="274" spans="2:2" x14ac:dyDescent="0.4">
      <c r="B274" s="15"/>
    </row>
    <row r="275" spans="2:2" x14ac:dyDescent="0.4">
      <c r="B275" s="15"/>
    </row>
    <row r="276" spans="2:2" x14ac:dyDescent="0.4">
      <c r="B276" s="15"/>
    </row>
    <row r="277" spans="2:2" x14ac:dyDescent="0.4">
      <c r="B277" s="15"/>
    </row>
    <row r="278" spans="2:2" x14ac:dyDescent="0.4">
      <c r="B278" s="15"/>
    </row>
    <row r="279" spans="2:2" x14ac:dyDescent="0.4">
      <c r="B279" s="15"/>
    </row>
    <row r="280" spans="2:2" x14ac:dyDescent="0.4">
      <c r="B280" s="15"/>
    </row>
    <row r="281" spans="2:2" x14ac:dyDescent="0.4">
      <c r="B281" s="15"/>
    </row>
    <row r="282" spans="2:2" x14ac:dyDescent="0.4">
      <c r="B282" s="15"/>
    </row>
    <row r="283" spans="2:2" x14ac:dyDescent="0.4">
      <c r="B283" s="15"/>
    </row>
    <row r="284" spans="2:2" x14ac:dyDescent="0.4">
      <c r="B284" s="15"/>
    </row>
    <row r="285" spans="2:2" x14ac:dyDescent="0.4">
      <c r="B285" s="15"/>
    </row>
    <row r="286" spans="2:2" x14ac:dyDescent="0.4">
      <c r="B286" s="15"/>
    </row>
    <row r="287" spans="2:2" x14ac:dyDescent="0.4">
      <c r="B287" s="15"/>
    </row>
    <row r="288" spans="2:2" x14ac:dyDescent="0.4">
      <c r="B288" s="15"/>
    </row>
    <row r="289" spans="2:2" x14ac:dyDescent="0.4">
      <c r="B289" s="15"/>
    </row>
    <row r="290" spans="2:2" x14ac:dyDescent="0.4">
      <c r="B290" s="15"/>
    </row>
    <row r="291" spans="2:2" x14ac:dyDescent="0.4">
      <c r="B291" s="15"/>
    </row>
    <row r="292" spans="2:2" x14ac:dyDescent="0.4">
      <c r="B292" s="16"/>
    </row>
    <row r="293" spans="2:2" x14ac:dyDescent="0.4">
      <c r="B293" s="15"/>
    </row>
    <row r="294" spans="2:2" x14ac:dyDescent="0.4">
      <c r="B294" s="16"/>
    </row>
    <row r="295" spans="2:2" x14ac:dyDescent="0.4">
      <c r="B295" s="16"/>
    </row>
    <row r="296" spans="2:2" x14ac:dyDescent="0.4">
      <c r="B296" s="16"/>
    </row>
    <row r="297" spans="2:2" x14ac:dyDescent="0.4">
      <c r="B297" s="16"/>
    </row>
    <row r="298" spans="2:2" x14ac:dyDescent="0.4">
      <c r="B298" s="16"/>
    </row>
    <row r="299" spans="2:2" x14ac:dyDescent="0.4">
      <c r="B299" s="16"/>
    </row>
    <row r="300" spans="2:2" x14ac:dyDescent="0.4">
      <c r="B300" s="15"/>
    </row>
    <row r="301" spans="2:2" x14ac:dyDescent="0.4">
      <c r="B301" s="16"/>
    </row>
    <row r="302" spans="2:2" x14ac:dyDescent="0.4">
      <c r="B302" s="15"/>
    </row>
    <row r="303" spans="2:2" x14ac:dyDescent="0.4">
      <c r="B303" s="16"/>
    </row>
    <row r="304" spans="2:2" x14ac:dyDescent="0.4">
      <c r="B304" s="15"/>
    </row>
    <row r="305" spans="2:2" x14ac:dyDescent="0.4">
      <c r="B305" s="15"/>
    </row>
    <row r="306" spans="2:2" x14ac:dyDescent="0.4">
      <c r="B306" s="15"/>
    </row>
    <row r="307" spans="2:2" x14ac:dyDescent="0.4">
      <c r="B307" s="15"/>
    </row>
    <row r="308" spans="2:2" x14ac:dyDescent="0.4">
      <c r="B308" s="16"/>
    </row>
    <row r="309" spans="2:2" x14ac:dyDescent="0.4">
      <c r="B309" s="16"/>
    </row>
    <row r="310" spans="2:2" x14ac:dyDescent="0.4">
      <c r="B310" s="16"/>
    </row>
    <row r="311" spans="2:2" x14ac:dyDescent="0.4">
      <c r="B311" s="16"/>
    </row>
    <row r="312" spans="2:2" x14ac:dyDescent="0.4">
      <c r="B312" s="15"/>
    </row>
    <row r="313" spans="2:2" x14ac:dyDescent="0.4">
      <c r="B313" s="15"/>
    </row>
    <row r="314" spans="2:2" x14ac:dyDescent="0.4">
      <c r="B314" s="15"/>
    </row>
    <row r="315" spans="2:2" x14ac:dyDescent="0.4">
      <c r="B315" s="16"/>
    </row>
    <row r="316" spans="2:2" x14ac:dyDescent="0.4">
      <c r="B316" s="15"/>
    </row>
    <row r="317" spans="2:2" x14ac:dyDescent="0.4">
      <c r="B317" s="16"/>
    </row>
    <row r="318" spans="2:2" x14ac:dyDescent="0.4">
      <c r="B318" s="16"/>
    </row>
    <row r="319" spans="2:2" x14ac:dyDescent="0.4">
      <c r="B319" s="16"/>
    </row>
    <row r="320" spans="2:2" x14ac:dyDescent="0.4">
      <c r="B320" s="16"/>
    </row>
    <row r="321" spans="2:2" x14ac:dyDescent="0.4">
      <c r="B321" s="16"/>
    </row>
    <row r="322" spans="2:2" x14ac:dyDescent="0.4">
      <c r="B322" s="15"/>
    </row>
    <row r="323" spans="2:2" x14ac:dyDescent="0.4">
      <c r="B323" s="15"/>
    </row>
    <row r="324" spans="2:2" x14ac:dyDescent="0.4">
      <c r="B324" s="16"/>
    </row>
    <row r="325" spans="2:2" x14ac:dyDescent="0.4">
      <c r="B325" s="16"/>
    </row>
    <row r="326" spans="2:2" x14ac:dyDescent="0.4">
      <c r="B326" s="16"/>
    </row>
    <row r="327" spans="2:2" x14ac:dyDescent="0.4">
      <c r="B327" s="16"/>
    </row>
    <row r="328" spans="2:2" x14ac:dyDescent="0.4">
      <c r="B328" s="16"/>
    </row>
  </sheetData>
  <autoFilter ref="B5:O38" xr:uid="{82C0DE04-07EA-497B-8D54-43A7FDC3E067}">
    <filterColumn colId="6">
      <filters blank="1">
        <filter val="BD"/>
        <filter val="CBY"/>
        <filter val="JKT"/>
        <filter val="TH"/>
      </filters>
    </filterColumn>
    <filterColumn colId="11">
      <filters blank="1">
        <filter val="1,000"/>
        <filter val="1,200"/>
        <filter val="1,400"/>
        <filter val="1,500"/>
        <filter val="100"/>
        <filter val="110"/>
        <filter val="175"/>
        <filter val="2,000"/>
        <filter val="2,200"/>
        <filter val="2,300"/>
        <filter val="200"/>
        <filter val="22,500"/>
        <filter val="3,000"/>
        <filter val="300"/>
        <filter val="4,000"/>
        <filter val="5,000"/>
        <filter val="500"/>
        <filter val="600"/>
        <filter val="8,700"/>
      </filters>
    </filterColumn>
  </autoFilter>
  <sortState xmlns:xlrd2="http://schemas.microsoft.com/office/spreadsheetml/2017/richdata2" ref="F39:M69">
    <sortCondition descending="1" ref="L54"/>
  </sortState>
  <phoneticPr fontId="22" type="noConversion"/>
  <dataValidations count="1">
    <dataValidation type="list" allowBlank="1" showInputMessage="1" showErrorMessage="1" sqref="L8 H5:H34 G54:G69 I39:I53 H36" xr:uid="{9AF23110-FB3F-4195-8003-41DFCD5DF4D1}">
      <formula1>#REF!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&amp;R&amp;"Calibri"&amp;10&amp;K000000Business Use&amp;1#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079674D-A897-4A31-8686-4B5D2D9E0DF6}">
          <x14:formula1>
            <xm:f>'C:\Users\wang.ch.19\Procter and Gamble\Shen, Nami - Asia LFE Capacity Ladder\3 Years Capital Outlook\[Copy of AA FC 3yr Capital Outlook (FY2021-FY2223)_Template.xlsx]Drop-down menu'!#REF!</xm:f>
          </x14:formula1>
          <xm:sqref>I14:I16 J43:J44 H58:H60</xm:sqref>
        </x14:dataValidation>
        <x14:dataValidation type="list" allowBlank="1" showInputMessage="1" showErrorMessage="1" xr:uid="{F5CF8908-8917-4655-8F19-0044057C93FE}">
          <x14:formula1>
            <xm:f>'C:\Users\yang.ya.5\OneDrive - Procter and Gamble\Desktop\[FE Asia FC 3yr Capital Outlook (FY2021-FY2223)_20191210 inputs.xlsx]Drop-down menu'!#REF!</xm:f>
          </x14:formula1>
          <xm:sqref>I9:I27 J39:J50 H54:H68</xm:sqref>
        </x14:dataValidation>
        <x14:dataValidation type="list" allowBlank="1" showInputMessage="1" showErrorMessage="1" xr:uid="{4930FF6A-C10D-4966-87AB-167F14164D84}">
          <x14:formula1>
            <xm:f>'C:\Users\yang.ya.5\OneDrive - Procter and Gamble\Asia F&amp;HC CSM FY1920\06_3yr capital outlook\Dec-20 submission to Laura\[Asia FC 3yr Capital Outlook (FY2021-FY2223)_submission to Laura.xlsx]Drop-down menu'!#REF!</xm:f>
          </x14:formula1>
          <xm:sqref>I36 L5:L7 I10:I12 L9:L23 I28:I34 L26 J39:J41 J51:J53 K54:K68 H54:H56 H69</xm:sqref>
        </x14:dataValidation>
        <x14:dataValidation type="list" allowBlank="1" showInputMessage="1" showErrorMessage="1" xr:uid="{CFCFE989-AB2B-46C0-9E29-B57E5B1DBF06}">
          <x14:formula1>
            <xm:f>'C:\Users\jiang.y.21\Procter and Gamble\Hamao, Masahiro - Asia FE Engineering\02 Firm\LFE FY2021 Firm\[Asia FC FY2021 Firm Submission_1st cut .xlsx]Drop-down menu'!#REF!</xm:f>
          </x14:formula1>
          <xm:sqref>K34 H35:I35 L25 L51 J69</xm:sqref>
        </x14:dataValidation>
        <x14:dataValidation type="list" allowBlank="1" showInputMessage="1" showErrorMessage="1" xr:uid="{592BA892-986E-46F0-A745-8ECCF185A6BB}">
          <x14:formula1>
            <xm:f>'https://pgone.sharepoint.com/sites/ASIAFHCCSM/Shared Documents/General/Asia FHC CSM FY2021/05_Monthly FF and spending track/11_May FF/APAC/[Asia FC 3yr Capital Outlook (FY2021-FY2223)_HDL AA+GC need to add number.xlsx]Drop-down menu'!#REF!</xm:f>
          </x14:formula1>
          <xm:sqref>I5:I8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ACDD9A7D6A9846AEF15C154FD04C7F" ma:contentTypeVersion="3" ma:contentTypeDescription="Create a new document." ma:contentTypeScope="" ma:versionID="c1b1caaf41e957cc0244135f198a8e02">
  <xsd:schema xmlns:xsd="http://www.w3.org/2001/XMLSchema" xmlns:xs="http://www.w3.org/2001/XMLSchema" xmlns:p="http://schemas.microsoft.com/office/2006/metadata/properties" xmlns:ns2="e1c1f1b3-55e5-42ed-9f7d-e111adeb1642" targetNamespace="http://schemas.microsoft.com/office/2006/metadata/properties" ma:root="true" ma:fieldsID="2e16d7443d2e04d109211265d599f251" ns2:_="">
    <xsd:import namespace="e1c1f1b3-55e5-42ed-9f7d-e111adeb16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1f1b3-55e5-42ed-9f7d-e111adeb16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D0B79A-85B2-4453-9741-B70661848D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A7250B-98CE-4215-A156-0C6291C1FB83}">
  <ds:schemaRefs>
    <ds:schemaRef ds:uri="http://schemas.microsoft.com/office/2006/metadata/properties"/>
    <ds:schemaRef ds:uri="http://schemas.microsoft.com/office/infopath/2007/PartnerControls"/>
    <ds:schemaRef ds:uri="7fcaf1f0-514d-4f56-aeba-66d81b8afa23"/>
    <ds:schemaRef ds:uri="63cbf04d-b03e-4987-89d4-ea3beded6fa1"/>
  </ds:schemaRefs>
</ds:datastoreItem>
</file>

<file path=customXml/itemProps3.xml><?xml version="1.0" encoding="utf-8"?>
<ds:datastoreItem xmlns:ds="http://schemas.openxmlformats.org/officeDocument/2006/customXml" ds:itemID="{153D1E31-5CB0-462A-AAA2-D475F589E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c1f1b3-55e5-42ed-9f7d-e111adeb1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Volume Assumptions (2)</vt:lpstr>
      <vt:lpstr>Project List (2)</vt:lpstr>
      <vt:lpstr>Project List</vt:lpstr>
      <vt:lpstr>CBY AE new request</vt:lpstr>
      <vt:lpstr>May 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Yang</dc:creator>
  <cp:keywords/>
  <dc:description/>
  <cp:lastModifiedBy>松泽 李</cp:lastModifiedBy>
  <cp:revision/>
  <dcterms:created xsi:type="dcterms:W3CDTF">2019-10-10T14:16:35Z</dcterms:created>
  <dcterms:modified xsi:type="dcterms:W3CDTF">2025-06-23T12:11:53Z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0x010100EFACDD9A7D6A9846AEF15C154FD04C7F</vt:lpwstr>
  </property>
  <property fmtid="{D5CDD505-2E9C-101B-9397-08002B2CF9AE}" pid="3" name="CofWorkbookId">
    <vt:lpwstr>009f6a4e-507f-4187-976e-e6624254a266</vt:lpwstr>
  </property>
  <property fmtid="{D5CDD505-2E9C-101B-9397-08002B2CF9AE}" pid="4" name="MSIP_Label_a518e53f-798e-43aa-978d-c3fda1f3a682_Enabled">
    <vt:lpwstr>true</vt:lpwstr>
  </property>
  <property fmtid="{D5CDD505-2E9C-101B-9397-08002B2CF9AE}" pid="5" name="MSIP_Label_a518e53f-798e-43aa-978d-c3fda1f3a682_SetDate">
    <vt:lpwstr>2021-05-07T09:45:55Z</vt:lpwstr>
  </property>
  <property fmtid="{D5CDD505-2E9C-101B-9397-08002B2CF9AE}" pid="6" name="MSIP_Label_a518e53f-798e-43aa-978d-c3fda1f3a682_Method">
    <vt:lpwstr>Privileged</vt:lpwstr>
  </property>
  <property fmtid="{D5CDD505-2E9C-101B-9397-08002B2CF9AE}" pid="7" name="MSIP_Label_a518e53f-798e-43aa-978d-c3fda1f3a682_Name">
    <vt:lpwstr>PG - Internal Use</vt:lpwstr>
  </property>
  <property fmtid="{D5CDD505-2E9C-101B-9397-08002B2CF9AE}" pid="8" name="MSIP_Label_a518e53f-798e-43aa-978d-c3fda1f3a682_SiteId">
    <vt:lpwstr>3596192b-fdf5-4e2c-a6fa-acb706c963d8</vt:lpwstr>
  </property>
  <property fmtid="{D5CDD505-2E9C-101B-9397-08002B2CF9AE}" pid="9" name="MSIP_Label_a518e53f-798e-43aa-978d-c3fda1f3a682_ActionId">
    <vt:lpwstr>118bf011-a910-44e9-85b0-e85c09099267</vt:lpwstr>
  </property>
  <property fmtid="{D5CDD505-2E9C-101B-9397-08002B2CF9AE}" pid="10" name="MSIP_Label_a518e53f-798e-43aa-978d-c3fda1f3a682_ContentBits">
    <vt:lpwstr>1</vt:lpwstr>
  </property>
  <property fmtid="{D5CDD505-2E9C-101B-9397-08002B2CF9AE}" pid="11" name="MediaServiceImageTags">
    <vt:lpwstr/>
  </property>
  <property fmtid="{D5CDD505-2E9C-101B-9397-08002B2CF9AE}" pid="12" name="Order">
    <vt:r8>1201500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