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ostojic\Desktop\"/>
    </mc:Choice>
  </mc:AlternateContent>
  <xr:revisionPtr revIDLastSave="0" documentId="13_ncr:1_{879F7F65-DD94-4888-A938-6A549F995A97}" xr6:coauthVersionLast="36" xr6:coauthVersionMax="47" xr10:uidLastSave="{00000000-0000-0000-0000-000000000000}"/>
  <bookViews>
    <workbookView xWindow="0" yWindow="0" windowWidth="28800" windowHeight="11925" tabRatio="697" activeTab="2"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2'!$B$135:$J$147</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J5" i="7"/>
  <c r="J4" i="7"/>
  <c r="J3" i="7"/>
  <c r="J2" i="7"/>
  <c r="I6" i="7"/>
  <c r="I5" i="7"/>
  <c r="I4" i="7"/>
  <c r="I3" i="7"/>
  <c r="I2" i="7"/>
  <c r="H6" i="7" l="1"/>
  <c r="H5" i="7"/>
  <c r="H4" i="7"/>
  <c r="H3" i="7"/>
  <c r="H2" i="7"/>
  <c r="G6" i="7"/>
  <c r="G5" i="7"/>
  <c r="G4" i="7"/>
  <c r="G3" i="7"/>
  <c r="F6" i="7"/>
  <c r="F5" i="7"/>
  <c r="F4" i="7"/>
  <c r="F3" i="7"/>
  <c r="F2" i="7"/>
  <c r="E6" i="7"/>
  <c r="E5" i="7"/>
  <c r="E4" i="7"/>
  <c r="E3" i="7"/>
  <c r="D4" i="7"/>
  <c r="D3" i="7"/>
  <c r="D6" i="7"/>
  <c r="D5" i="7"/>
  <c r="D3" i="8"/>
  <c r="D2" i="8"/>
  <c r="C6" i="7"/>
  <c r="C5" i="7"/>
  <c r="C4" i="7"/>
  <c r="C3" i="7"/>
  <c r="B6" i="7"/>
  <c r="B5" i="7"/>
  <c r="B4" i="7"/>
  <c r="B3" i="7"/>
  <c r="D176" i="6"/>
  <c r="D182" i="6"/>
  <c r="D181" i="6"/>
  <c r="D180" i="6"/>
  <c r="D179" i="6"/>
  <c r="D178" i="6"/>
  <c r="D175" i="6"/>
  <c r="D174" i="6"/>
  <c r="D173" i="6"/>
  <c r="D172" i="6"/>
  <c r="D171" i="6"/>
  <c r="E34" i="3"/>
  <c r="E33" i="3"/>
  <c r="E32" i="3"/>
  <c r="E31" i="3"/>
  <c r="C33" i="3"/>
  <c r="C32" i="3"/>
  <c r="C31" i="3"/>
  <c r="C60" i="4" l="1"/>
  <c r="C358" i="3"/>
  <c r="C361" i="3" s="1"/>
  <c r="C349" i="3"/>
  <c r="C348" i="3"/>
  <c r="C347" i="3"/>
  <c r="C346" i="3"/>
  <c r="C345" i="3"/>
  <c r="C341" i="3"/>
  <c r="C340" i="3"/>
  <c r="C343" i="3" s="1"/>
  <c r="C320" i="3"/>
  <c r="C315" i="3"/>
  <c r="C316" i="3" s="1"/>
  <c r="C314" i="3"/>
  <c r="C342" i="3" l="1"/>
  <c r="C360" i="3"/>
  <c r="C374" i="3"/>
  <c r="C376" i="3" s="1"/>
  <c r="C359" i="3"/>
  <c r="C368" i="3" s="1"/>
  <c r="C354" i="3"/>
  <c r="C353" i="3"/>
  <c r="C344" i="3"/>
  <c r="C352" i="3"/>
  <c r="C351" i="3"/>
  <c r="C319" i="3"/>
  <c r="C318" i="3"/>
  <c r="C362" i="3" l="1"/>
  <c r="C363" i="3"/>
  <c r="C364" i="3"/>
  <c r="C365" i="3"/>
  <c r="C367" i="3"/>
  <c r="C200" i="3" l="1"/>
  <c r="C280" i="3"/>
  <c r="C282" i="3"/>
  <c r="C279" i="3"/>
  <c r="C278" i="3"/>
  <c r="C190" i="3" l="1"/>
  <c r="C183" i="3"/>
  <c r="C182" i="3"/>
  <c r="T91" i="5"/>
  <c r="S74" i="5"/>
  <c r="T82" i="5" s="1"/>
  <c r="T86" i="5" s="1"/>
  <c r="S70" i="5"/>
  <c r="S78" i="5" s="1"/>
  <c r="K58" i="5"/>
  <c r="K62" i="5" s="1"/>
  <c r="I12" i="5"/>
  <c r="I17" i="5" s="1"/>
  <c r="H6" i="5"/>
  <c r="C41" i="3"/>
  <c r="C160" i="4"/>
  <c r="C159" i="4"/>
  <c r="C158" i="4"/>
  <c r="C162" i="4" l="1"/>
  <c r="C171" i="4" s="1"/>
  <c r="C177" i="4"/>
  <c r="C183" i="4" s="1"/>
  <c r="C185" i="4" s="1"/>
  <c r="C176" i="4"/>
  <c r="C173" i="4" l="1"/>
  <c r="C172"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<sst xmlns="http://schemas.openxmlformats.org/spreadsheetml/2006/main" count="1821" uniqueCount="800">
  <si>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</si>
  <si>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</si>
  <si>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</si>
  <si>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</si>
  <si>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</si>
  <si>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</si>
  <si>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</si>
  <si>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</si>
  <si>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</si>
  <si>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</si>
  <si>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</si>
  <si>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</si>
  <si>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</si>
  <si>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</si>
  <si>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</si>
  <si>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</si>
  <si>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</si>
  <si>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</si>
  <si>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</si>
  <si>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</si>
  <si>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</si>
  <si>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</si>
  <si>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</si>
  <si>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</si>
  <si>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</si>
  <si>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</si>
  <si>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</si>
  <si>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</si>
  <si>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</si>
  <si>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</si>
  <si>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</si>
  <si>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</si>
  <si>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</si>
  <si>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</si>
  <si>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</si>
  <si>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</si>
  <si>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</si>
  <si>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</si>
  <si>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</si>
  <si>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</si>
  <si>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</si>
  <si>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</si>
  <si>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</si>
  <si>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</si>
  <si>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</si>
  <si>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</si>
  <si>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</si>
  <si>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</si>
  <si>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</si>
  <si>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</si>
  <si>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</si>
  <si>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</si>
  <si>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</si>
  <si>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</si>
  <si>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</si>
  <si>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</si>
  <si>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</si>
  <si>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</si>
  <si>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</si>
  <si>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</si>
  <si>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</si>
  <si>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</si>
  <si>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</si>
  <si>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</si>
  <si>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</si>
  <si>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</si>
  <si>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</si>
  <si>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</si>
  <si>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</si>
  <si>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</si>
  <si>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</si>
  <si>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</si>
  <si>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</si>
  <si>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</si>
  <si>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</si>
  <si>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</si>
  <si>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</si>
  <si>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</si>
  <si>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</si>
  <si>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</si>
  <si>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</si>
  <si>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</si>
  <si>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</si>
  <si>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</si>
  <si>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</si>
  <si>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</si>
  <si>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</si>
  <si>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</si>
  <si>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</si>
  <si>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</si>
  <si>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</si>
  <si>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</si>
  <si>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</si>
  <si>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</si>
  <si>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</si>
  <si>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</si>
  <si>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</si>
  <si>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</si>
  <si>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</si>
  <si>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</si>
  <si>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</si>
  <si>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</si>
  <si>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</si>
  <si>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</si>
  <si>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</si>
  <si>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</si>
  <si>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</si>
  <si>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</si>
  <si>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</si>
  <si>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</si>
  <si>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</si>
  <si>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</si>
  <si>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</si>
  <si>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</si>
  <si>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</si>
  <si>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</si>
  <si>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</si>
  <si>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</si>
  <si>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</si>
  <si>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</si>
  <si>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</si>
  <si>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</si>
  <si>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</si>
  <si>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</si>
  <si>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</si>
  <si>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</si>
  <si>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</si>
  <si>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</si>
  <si>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</si>
  <si>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</si>
  <si>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</si>
  <si>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</si>
  <si>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</si>
  <si>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</si>
  <si>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</si>
  <si>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</si>
  <si>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</si>
  <si>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</si>
  <si>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</si>
  <si>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</si>
  <si>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</si>
  <si>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</si>
  <si>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</si>
  <si>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</si>
  <si>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</si>
  <si>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</si>
  <si>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</si>
  <si>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</si>
  <si>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</si>
  <si>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</si>
  <si>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</si>
  <si>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</si>
  <si>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</si>
  <si>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</si>
  <si>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</si>
  <si>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</si>
  <si>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</si>
  <si>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</si>
  <si>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</si>
  <si>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</si>
  <si>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</si>
  <si>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</si>
  <si>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</si>
  <si>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</si>
  <si>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</si>
  <si>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</si>
  <si>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</si>
  <si>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</si>
  <si>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</si>
  <si>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</si>
  <si>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</si>
  <si>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</si>
  <si>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</si>
  <si>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</si>
  <si>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</si>
  <si>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</si>
  <si>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</si>
  <si>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</si>
  <si>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</si>
  <si>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</si>
  <si>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</si>
  <si>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</si>
  <si>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</si>
  <si>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</si>
  <si>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</si>
  <si>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</si>
  <si>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</si>
  <si>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</si>
  <si>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</si>
  <si>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</si>
  <si>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</si>
  <si>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</si>
  <si>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</si>
  <si>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</si>
  <si>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</si>
  <si>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</si>
  <si>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</si>
  <si>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</si>
  <si>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</si>
  <si>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</si>
  <si>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</si>
  <si>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</si>
  <si>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</si>
  <si>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</si>
  <si>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</si>
  <si>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</si>
  <si>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</si>
  <si>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</si>
  <si>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</si>
  <si>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</si>
  <si>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</si>
  <si>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</si>
  <si>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</si>
  <si>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</si>
  <si>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</si>
  <si>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</si>
  <si>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</si>
  <si>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</si>
  <si>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</si>
  <si>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</si>
  <si>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</si>
  <si>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</si>
  <si>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</si>
  <si>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</si>
  <si>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</si>
  <si>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</si>
  <si>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</si>
  <si>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</si>
  <si>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</si>
  <si>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</si>
  <si>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</si>
  <si>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</si>
  <si>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</si>
  <si>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</si>
  <si>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</si>
  <si>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</si>
  <si>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</si>
  <si>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</si>
  <si>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</si>
  <si>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</si>
  <si>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</si>
  <si>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</si>
  <si>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</si>
  <si>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</si>
  <si>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</si>
  <si>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</si>
  <si>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</si>
  <si>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</si>
  <si>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</si>
  <si>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</si>
  <si>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</si>
  <si>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</si>
  <si>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</si>
  <si>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</si>
  <si>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</si>
  <si>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</si>
  <si>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</si>
  <si>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</si>
  <si>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</si>
  <si>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</si>
  <si>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</si>
  <si>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</si>
  <si>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</si>
  <si>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</si>
  <si>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</si>
  <si>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</si>
  <si>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</si>
  <si>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</si>
  <si>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</si>
  <si>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</si>
  <si>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</si>
  <si>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</si>
  <si>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</si>
  <si>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</si>
  <si>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</si>
  <si>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</si>
  <si>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</si>
  <si>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</si>
  <si>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</si>
  <si>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</si>
  <si>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</si>
  <si>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</si>
  <si>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</si>
  <si>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</si>
  <si>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</si>
  <si>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</si>
  <si>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</si>
  <si>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</si>
  <si>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</si>
  <si>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</si>
  <si>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</si>
  <si>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</si>
  <si>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</si>
  <si>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</si>
  <si>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</si>
  <si>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</si>
  <si>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</si>
  <si>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</si>
  <si>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</si>
  <si>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</si>
  <si>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</si>
  <si>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</si>
  <si>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</si>
  <si>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</si>
  <si>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</si>
  <si>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</si>
  <si>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</si>
  <si>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</si>
  <si>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</si>
  <si>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</si>
  <si>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</si>
  <si>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</si>
  <si>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</si>
  <si>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</si>
  <si>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</si>
  <si>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</si>
  <si>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</si>
  <si>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</si>
  <si>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</si>
  <si>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</si>
  <si>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</si>
  <si>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</si>
  <si>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</si>
  <si>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</si>
  <si>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</si>
  <si>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</si>
  <si>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</si>
  <si>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</si>
  <si>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</si>
  <si>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</si>
  <si>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</si>
  <si>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</si>
  <si>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</si>
  <si>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</si>
  <si>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</si>
  <si>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</si>
  <si>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</si>
  <si>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</si>
  <si>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</si>
  <si>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</si>
  <si>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</si>
  <si>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</si>
  <si>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</si>
  <si>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</si>
  <si>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</si>
  <si>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</si>
  <si>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</si>
  <si>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</si>
  <si>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</si>
  <si>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</si>
  <si>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</si>
  <si>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</si>
  <si>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</si>
  <si>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</si>
  <si>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</si>
  <si>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</si>
  <si>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</si>
  <si>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</si>
  <si>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</si>
  <si>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</si>
  <si>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</si>
  <si>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</si>
  <si>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</si>
  <si>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</si>
  <si>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</si>
  <si>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</si>
  <si>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</si>
  <si>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</si>
  <si>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</si>
  <si>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</si>
  <si>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</si>
  <si>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</si>
  <si>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</si>
  <si>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</si>
  <si>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</si>
  <si>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</si>
  <si>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</si>
  <si>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</si>
  <si>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</si>
  <si>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</si>
  <si>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</si>
  <si>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</si>
  <si>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</si>
  <si>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</si>
  <si>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</si>
  <si>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</si>
  <si>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</si>
  <si>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</si>
  <si>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</si>
  <si>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</si>
  <si>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</si>
  <si>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</si>
  <si>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</si>
  <si>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</si>
  <si>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</si>
  <si>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</si>
  <si>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</si>
  <si>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</si>
  <si>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</si>
  <si>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</si>
  <si>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</si>
  <si>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</si>
  <si>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</si>
  <si>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</si>
  <si>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</si>
  <si>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</si>
  <si>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</si>
  <si>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</si>
  <si>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</si>
  <si>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</si>
  <si>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</si>
  <si>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</si>
  <si>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</si>
  <si>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</si>
  <si>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</si>
  <si>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</si>
  <si>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</si>
  <si>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</si>
  <si>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</si>
  <si>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</si>
  <si>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</si>
  <si>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</si>
  <si>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</si>
  <si>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</si>
  <si>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</si>
  <si>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</si>
  <si>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</si>
  <si>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</si>
  <si>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</si>
  <si>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</si>
  <si>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</si>
  <si>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</si>
  <si>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</si>
  <si>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</si>
  <si>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</si>
  <si>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</si>
  <si>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</si>
  <si>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</si>
  <si>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</si>
  <si>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</si>
  <si>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</si>
  <si>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</si>
  <si>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</si>
  <si>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</si>
  <si>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</si>
  <si>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</si>
  <si>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</si>
  <si>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</si>
  <si>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</si>
  <si>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</si>
  <si>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</si>
  <si>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</si>
  <si>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</si>
  <si>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</si>
  <si>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</si>
  <si>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</si>
  <si>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</si>
  <si>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</si>
  <si>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</si>
  <si>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</si>
  <si>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</si>
  <si>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</si>
  <si>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</si>
  <si>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</si>
  <si>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</si>
  <si>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</si>
  <si>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</si>
  <si>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</si>
  <si>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</si>
  <si>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</si>
  <si>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</si>
  <si>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</si>
  <si>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</si>
  <si>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</si>
  <si>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</si>
  <si>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</si>
  <si>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</si>
  <si>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</si>
  <si>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</si>
  <si>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</si>
  <si>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</si>
  <si>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</si>
  <si>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</si>
  <si>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</si>
  <si>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</si>
  <si>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</si>
  <si>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</si>
  <si>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</si>
  <si>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</si>
  <si>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</si>
  <si>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</si>
  <si>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</si>
  <si>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</si>
  <si>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</si>
  <si>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</si>
  <si>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</si>
  <si>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</si>
  <si>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</si>
  <si>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</si>
  <si>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</si>
  <si>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</si>
  <si>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</si>
  <si>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</si>
  <si>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</si>
  <si>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</si>
  <si>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</si>
  <si>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</si>
  <si>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</si>
  <si>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</si>
  <si>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</si>
  <si>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</si>
  <si>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</si>
  <si>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</si>
  <si>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</si>
  <si>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</si>
  <si>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</si>
  <si>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</si>
  <si>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</si>
  <si>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</si>
  <si>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</si>
  <si>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</si>
  <si>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</si>
  <si>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</si>
  <si>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</si>
  <si>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</si>
  <si>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</si>
  <si>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</si>
  <si>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</si>
  <si>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</si>
  <si>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</si>
  <si>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</si>
  <si>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</si>
  <si>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</si>
  <si>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</si>
  <si>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</si>
  <si>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</si>
  <si>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</si>
  <si>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</si>
  <si>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</si>
  <si>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</si>
  <si>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</si>
  <si>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</si>
  <si>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</si>
  <si>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</si>
  <si>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</si>
  <si>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</si>
  <si>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</si>
  <si>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</si>
  <si>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</si>
  <si>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</si>
  <si>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0,995 - 1</t>
  </si>
  <si>
    <t>Value has to be set to 0</t>
  </si>
  <si>
    <t>Al-Sheet Component Part (see above)</t>
  </si>
  <si>
    <t>St-Sheet Component Part (see above)</t>
  </si>
  <si>
    <t>Composite Part</t>
  </si>
  <si>
    <t>0 - 0,13</t>
  </si>
  <si>
    <t>0,5 - 0,8</t>
  </si>
  <si>
    <t>0 - 0,8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</si>
  <si>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</si>
  <si>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</si>
  <si>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</si>
  <si>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</si>
  <si>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</si>
  <si>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</si>
  <si>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</si>
  <si>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</si>
  <si>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</si>
  <si>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</si>
  <si>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</si>
  <si>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</si>
  <si>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</si>
  <si>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</si>
  <si>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</si>
  <si>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</si>
  <si>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</si>
  <si>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</si>
  <si>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</si>
  <si>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and literature/ market analysis</t>
  </si>
  <si>
    <t>Assumption: Primary material  has the highest quality</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</si>
  <si>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</si>
  <si>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</si>
  <si>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</si>
  <si>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</si>
  <si>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</si>
  <si>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</si>
  <si>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</si>
  <si>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</si>
  <si>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</si>
  <si>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</si>
  <si>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</si>
  <si>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</si>
  <si>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</si>
  <si>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</si>
  <si>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</si>
  <si>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</si>
  <si>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</si>
  <si>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</si>
  <si>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</si>
  <si>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</si>
  <si>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</si>
  <si>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</si>
  <si>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</si>
  <si>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</si>
  <si>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</si>
  <si>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</si>
  <si>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</si>
  <si>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Higher recycling rates dominate, but lower values are still possible: Most probable value (mode) at 0,9: Matches real-world data showing high recycling rates; higher probability of values closer to 1 but allows for some cases where R2 is low; Strictly bounded (0 - 1): Ensures values don’t exceed physical limits - (most concrete industrial floor will have high recycling, but some cases (old materials, multi-cycle limitations, contamination, logistics) could prevent it, PEF Default=0)</t>
  </si>
  <si>
    <t>Fixed value (0)</t>
  </si>
  <si>
    <t>Truncated Normal (mean=0,6; std=0,1; min=0,5; max=0,7)</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</si>
  <si>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</si>
  <si>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</si>
  <si>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</si>
  <si>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</si>
  <si>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</si>
  <si>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</si>
  <si>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Triangular (0; 0,8; 0,8)</t>
  </si>
  <si>
    <t>Uncertainty, more likely to have R2 ≈ 0.8, but low recycling values (R2 = 0) are rare but possible (Annex C Default value &amp; lack of recycling structure in some regions, material contamination, technical or ecnomic challanges e.g. carbon fibers might be too damaged to be reused etc.)</t>
  </si>
  <si>
    <t>Fixed value (0,2)</t>
  </si>
  <si>
    <t>Truncated Normal (mean=0,997; std=0,002; min=0,995; max=1)</t>
  </si>
  <si>
    <t>Aluminium maintains high quality after recycling, with minimal degradation; Negligible quality loss in recycled aluminium</t>
  </si>
  <si>
    <t>Annex C provides an application-specific value of A = 0,2 for aluminium; High demand, low supply of secondary aluminium</t>
  </si>
  <si>
    <t>Annex C provides a material-specific value of A = 0.2 for aluminium; High demand, low supply of secondary steel, No variability reported</t>
  </si>
  <si>
    <t>Current company-specific scenario specifies no recycled input (R1 = 0).</t>
  </si>
  <si>
    <t xml:space="preserve">Based on assuming: primary material has the highest quality </t>
  </si>
  <si>
    <t>Fixed Value (1)</t>
  </si>
  <si>
    <t>Recycled steel retains full quality (no downcycling); Steel retains its original properties after recycling, ensuring full substitutability</t>
  </si>
  <si>
    <t xml:space="preserve">Based on Qp=1,assuming: primary material has the highest quality </t>
  </si>
  <si>
    <t>Truncated Normal (mean=0,65; std=0,1; min=0,5; max=0,8)</t>
  </si>
  <si>
    <t>Symmetric uncertainty within 0,5–0,7; no strong evidence for a "most likely" value (mode); the range of 0.5–0.7 for A is reasoned in slightly increasing supply and low-to-moderate demand for recycled composite concrete materials</t>
  </si>
  <si>
    <t>Captures uncertainty in supply-demand balance, with most values near 0,65 but still allows for variability in recycling demand; no strong evidence for a "most likely" value (mode); the range of 0,5–0,8 is reasoned in slightly increasing supply and low-to-moderate demand for recycled composite materials</t>
  </si>
  <si>
    <t>Company data specifies no recycled composite input</t>
  </si>
  <si>
    <t>Fixed value (1)</t>
  </si>
  <si>
    <t>Triangular (0; 0,1; 0,13)</t>
  </si>
  <si>
    <t>Most values are expected to be near 10% (recycling rate), but lower values (even R2 = 0) are still possible; Uncertainty exists, as recycling technology and policies influence values</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</si>
  <si>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</si>
  <si>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</si>
  <si>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</si>
  <si>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</si>
  <si>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range determined according to PEF Guide and literature analysis</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</si>
  <si>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</si>
  <si>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</si>
  <si>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</si>
  <si>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</si>
  <si>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</si>
  <si>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</si>
  <si>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</si>
  <si>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assuming recycled aggregates as input: 
Qsin/ Qp = 0,52 : selling price of not quality-assured recycled aggregates is around 48% cheaper than the price of natural aggregates</t>
  </si>
  <si>
    <t>Uhlig (2023)</t>
  </si>
  <si>
    <t>Literature/ Market Analysis (economic approach)</t>
  </si>
  <si>
    <t>Qsout/ Qp = 0,52 : selling price of not quality-assured recycled aggregates is around 48% cheaper than the price of natural aggregates</t>
  </si>
  <si>
    <t>Qsout/Qp = 0,97 : price for recycling concrete C30/37 is 192 €/m3, price for concrete for industrial floor is 179 €/m3 to 197 €/m3, for an exposure class of XM2 and largest grain size of 32 mm price is 197 €/m3</t>
  </si>
  <si>
    <t>Rennig (2023)</t>
  </si>
  <si>
    <t>Mirzaie (2020)</t>
  </si>
  <si>
    <t>Yang (2024)</t>
  </si>
  <si>
    <t>Qsout/ Qp = 1 : assumption that crushed concrete can be interchangeably used instead of virgin crushed gravel, that scenario can be considered as the closest to the actual use of crushed concrete - indicating that the quality of the concrete does not decline</t>
  </si>
  <si>
    <t>Qs/ Qp = 0,5 : as for concrete, it can be downcycled as recycled concrete aggregate (RCA); Studies have shown that RCA costs $2.40 per tonne, while natural aggregate costs $4.70 per tonne (Frondistou-Yannas, 1981)</t>
  </si>
  <si>
    <t>range determined according to economic approach and literature analysis</t>
  </si>
  <si>
    <t>Smooth variation around 0,5 but strictly within realistic limits  due to minor fluctuations in supply and demand, no strong peak or extreme values - most values cluster around the mean, with decreasing probability as you move away (as this is based on the Annex C default list and lit. indicates an equilibrium between offer and demand</t>
  </si>
  <si>
    <t xml:space="preserve">Truncated Normal (mean=0,52; std=0,05; min=0,47; max=0,59) </t>
  </si>
  <si>
    <t>Smooth variation around 0,52 but strictly within realistic limits  due to minor fluctuations in economic value (indication for quality of secondary input material)</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</si>
  <si>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</si>
  <si>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</si>
  <si>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</si>
  <si>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Truncated Normal (mean=0,6, std=0,2, min=0, max=1)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</si>
  <si>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</si>
  <si>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</si>
  <si>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</si>
  <si>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</si>
  <si>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</si>
  <si>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</si>
  <si>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</si>
  <si>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Urbansky (2020); Uhlig (2023)</t>
  </si>
  <si>
    <t xml:space="preserve">Literature and maket analysis </t>
  </si>
  <si>
    <t>Truncated Normal (mean=0,65; std=0,1; min=0,55; max=0,8)</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</si>
  <si>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allokation: substitute product consits of 99,7% concrete and 0,3% carbon fiber: 
1. Qsout/ Qp = 0,997*0,52+0,003*0,1 = 0,519
2. Qsout/ Qp = 0,997*0,52+0,003*0,2 = 0,519</t>
  </si>
  <si>
    <t>Truncated Normal (mean=0,65; std=0,1; min=0,5; max=0,82)</t>
  </si>
  <si>
    <t>Carbon fiber recycling is advanced but some quality loss occurs (Amiruddin 2022, Kortmann 2023, Xu 2024) - Market studies confirm recycled fibers are of high quality (0,6-0,8) but not always identical to virgin fibers, economic approch indicates values around 0,52 - 0,62 --&gt; Truncated normal ensures most values are around 0,65 but allows slight variability within the range (Most recycled carbon fibers are of high quality but slightly inferior to virgin fibers)</t>
  </si>
  <si>
    <t>Hermansson (2022) suggests 0,82, which aligns with an assumption of moderate downcycling but retention of mechanical properties, economic approach indicated values at 0,52 --&gt; A truncated normal distribution ensures most values cluster around 0,65 but allows for a range of lower and higher values depending on the recycling method (Downcycling during the recycling process typically reduces quality, but advanced methods can produce higher-quality aggregates)</t>
  </si>
  <si>
    <t>Truncated Normal (mean= 0,85; std=0,15; min=0,5 and max=1)</t>
  </si>
  <si>
    <t>Most values cluster around 0.85, reflecting market data and practical reuse of RCA. Lower values (~0.5) are possible in cases of strong downcycling, based on economic pricing data. Higher values (~1) are possible where RCA fully substitutes virgin material (but not universally). Truncated normal distribution ensures realistic variability while avoiding extreme probabilities.</t>
  </si>
  <si>
    <t>ööööö</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</si>
  <si>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</si>
  <si>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</si>
  <si>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</si>
  <si>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</si>
  <si>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</si>
  <si>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</si>
  <si>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</si>
  <si>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0,76 - 1</t>
  </si>
  <si>
    <t>Triangular (0,76; 0,9; 1)</t>
  </si>
  <si>
    <t>Aluminium is highly recycled (~90%), with some variability based on collection/recycling efficiency</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</si>
  <si>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</si>
  <si>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</si>
  <si>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</si>
  <si>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</si>
  <si>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0,52 - 1</t>
  </si>
  <si>
    <t xml:space="preserve">Aluminium maintains high quality after recycling, with minimal degradation </t>
  </si>
  <si>
    <t>Truncated Normal (mean=0,9; std=0,1; min=0,52; max=1)</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</si>
  <si>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</si>
  <si>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</si>
  <si>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</si>
  <si>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</si>
  <si>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</si>
  <si>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(a) This paper choose 0,9 as a value for R2. This value has been derived from the application specific values for R2 in Annex C for steel that ranges between 0,85 and 0,95 (b) This paper applies various methodologies to determine different values for R2, ranging from 82% to 90% (c) This paper calculated the R2 value for steel and set the value to 0,9 (d) A value of 0,81 has been set for R2 for steel in this paper</t>
  </si>
  <si>
    <t>(a) Rydberg et al., 2023 (b) Seyed Shahabaldin Seyed Salehi, 2020 © Ungureanu et al., 2019 (d) Babian, 2022</t>
  </si>
  <si>
    <t>0,81 - 0,9</t>
  </si>
  <si>
    <t>Triangular (0,81; 0,85; 0,9)</t>
  </si>
  <si>
    <t>Steel is highly recycled (~85%) (Annex C Default value &amp; lit. Market research on recycability of steel), with some variability based on collection/recycling efficiency</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</si>
  <si>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</si>
  <si>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</si>
  <si>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</si>
  <si>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</si>
  <si>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t>
  </si>
  <si>
    <t>(a) The Battery Pass consortium, 2023 (b) Hansson, Larsson; 2022</t>
  </si>
  <si>
    <t>0,36 - 0,9</t>
  </si>
  <si>
    <t>Default Value from Annex C and lit. Market research</t>
  </si>
  <si>
    <t>Most recycled fibers retain high quality (~0,6) but in most cases show degradation; Annex C identified (for only PP packaging material) a value 0,9</t>
  </si>
  <si>
    <t>(a) The price of mehanical recycled fibers is about 80% of virgin ones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As a strength loss of 18% per process, Qsout, in regards of the range of Qsin, can be set to 0,576-0,72.</t>
  </si>
  <si>
    <t>(a) Gonçalves, Martinho, Oliveira; 2022 (b) Hansson, Larsson; 2022 © Hermansson et al., 2022</t>
  </si>
  <si>
    <t>0,29 - 0,8</t>
  </si>
  <si>
    <t>market and lit. Research</t>
  </si>
  <si>
    <t>Truncated Normal (mean=0,6; std=0,2; min=0,29; max=0,8)</t>
  </si>
  <si>
    <t>Allows for variability in recyclability quality, avoiding extreme values but ensuring realistic uncertainty (recycling quality varies widely (0,29 to 0,8), depending on recycling efficiency;  Annex C identified (for only PP packaging material) a value 0,1</t>
  </si>
  <si>
    <t>ed</t>
  </si>
  <si>
    <t>erec</t>
  </si>
  <si>
    <t>erec_eol</t>
  </si>
  <si>
    <t>ev_star</t>
  </si>
  <si>
    <t>ev</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</si>
  <si>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</si>
  <si>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</si>
  <si>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</si>
  <si>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</si>
  <si>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</si>
  <si>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</si>
  <si>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</si>
  <si>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</si>
  <si>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</si>
  <si>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</si>
  <si>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</si>
  <si>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</si>
  <si>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</si>
  <si>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</si>
  <si>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</si>
  <si>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</si>
  <si>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</si>
  <si>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</si>
  <si>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</si>
  <si>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</si>
  <si>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</si>
  <si>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</si>
  <si>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</si>
  <si>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</si>
  <si>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</si>
  <si>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</si>
  <si>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</si>
  <si>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Qs/ Qp = 0,75 - 0,9 : the tensile strength of recycled concrete can be 10–25% lower than that of conventional concrete made with natural coarse aggregate</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</si>
  <si>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</si>
  <si>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</si>
  <si>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R2 = 0,8 : the value is based on data for the recycling process Pyrolysis from Dong et al. (2018)</t>
  </si>
  <si>
    <t>(a) Hermansson, F (2022)</t>
  </si>
  <si>
    <t>Carbon Fiber: (a) Xu (2024); (b) Kortmann (2023); ©Emmerich (2014) Concrete: Ecra (2015); Yang (2024)</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</si>
  <si>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--&gt; allocation: 80% recycled concrete aggregates (75% concrete aggregates input), 100% recycled cabon fiber (0,3% carbon fiber input): 
1. Qsin/ Qp = 0,8*0,75*0,52+1*0,003*0,1 = 0,312
2. Qsin/ Qp = 0,8*0,75*0,52+1*0,003*0,2 = 0,313</t>
  </si>
  <si>
    <t>Carbon Fiber: (a) Qsin/ Qp = 0,902 : The pyrolysis technique provides the recycled CF with high-quality properties comparable to virgin CF; Tensile strength may achieve 90.19% of vCF (b) Qsin/ Qp = 0,8 : recycled fibres can already be used in the short term for practical and thus marketable constructions with a narrow range of requirements; Further-developed recycled fibres with an increased load-bearing capacity enable savings of up to 80% in raw materials; still high-quality secondary raw materials (c)  Qsin/ Qp = 0,643 : comparison of the mechanical properties (tensile strength) of virgin CF compared to with pyrolysis recycled CF; tensile strength of vCF= 4111MPa, rCF=2643MPa - degradation of tensile strength of 35,7% Concrete: (a) Qs/ Qp = 0,923 :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 (b) Qs/ Qp = 0,5 : as for concrete, it can be downcycled as recycled concrete aggregate (RCA); Studies have shown that RCA costs $2.40 per tonne, while natural aggregate costs $4.70 per tonne (Frondistou-Yannas, 1981) --&gt; allocation: 80% recycled concrete aggregates (75% concrete aggregates input), 100% recycled cabon fiber (0,3% carbon fiber input):
1. Qsin/ Qp = 0,8*0,75*0,5+1*0,003*0,64 = 0,302 2. Qsin/ Qp = 0,8*0,75*0,92+1*0,003*0,9 = 0,555</t>
  </si>
  <si>
    <t>0,3 - 0,56</t>
  </si>
  <si>
    <t>Carbon Fiber: (a) Hermansson, F (2022); (b) Xu (2024); © Emmerich (2014) Concrete: (a) Mirzaie (2020) (b) Yang (2024)</t>
  </si>
  <si>
    <t>Carbon Fiber: (a) Qsout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(b) Qsin/ Qp = 0,902 : The pyrolysis technique provides the recycled CF with high-quality properties comparable to virgin CF; Tensile strength may achieve 90.19% of vCF; (c) Qsin/ Qp = 0,643 : comparison of the mechanical properties (tensile strength) of virgin CF compared to with pyrolysis recycled CF; tensile strength of vCF= 4111MPa, rCF=2643MPa - degradation of tensile strength of 35,7% Concrete: (a) Qsout/ Qp = 1 : assumption that crushed concrete can be interchangeably used instead of virgin crushed gravel, that scenario can be considered as the closest to the actual use of crushed concrete - indicating that the quality of the concrete does not decline (b) Qs/ Qp = 0,5 : as for concrete, it can be downcycled as recycled concrete aggregate (RCA); Studies have shown that RCA costs $2.40 per tonne, while natural aggregate costs $4.70 per tonne (Frondistou-Yannas, 1981) --&gt; allocation: substitute product consits of 99,7% concrete and 0,3% carbon fiber: 
1. Qsout/ Qp = 0,997*0,5+0,003*0,64 = 0,500
2. Qsout/ Qp = 0,997*1,0+0,003*0,90 = 0,999</t>
  </si>
  <si>
    <t>(a) A=0,2 is choosen for high quality secondary materials, which is the case for many metals, including Aluminium (b) The allocation factor for metals is set to 0,2</t>
  </si>
  <si>
    <t>(a) The Battery Pass consortium, 2023 (b) Metals for buildings, 2024</t>
  </si>
  <si>
    <t xml:space="preserve">(a) Global Recycling Efficiency Rate of aluminium is 76% (b) The global recycling rate of aluminium in the automotive sector is 91% © The recycling erates in europe are over 90% </t>
  </si>
  <si>
    <t>(a) IAI, 2020 (b) Sean, Apelian © European Aluminium, 2020</t>
  </si>
  <si>
    <t>(a) Kulczycka, Lewandowska, Joachimiak; 2024; Wolf et al, 2020 (b) IAI; Eu RIC AISBL, 2022; Bakedano et al, 2021 © Declan Conway, 2023 (d) Metals for buildings, 2024</t>
  </si>
  <si>
    <t>0,8 - 1</t>
  </si>
  <si>
    <t>Truncated Normal (mean=0,9; std=0,05; min=0,8; max=1)</t>
  </si>
  <si>
    <t>(a) The quality ratio Qsout/Qp has been chosen according the value in Annex C: 1 (b) Qsout has been set to 1 for aluminium  (c)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The quality of secondary aluminium equals the quality of primary aluminium. Therefor Qsout can be set to 1 and the quality ratio Qsout/Qp equals 1 (d) As aluminium is recycable over and over again withouth any quality loss, it can be assumed, that the quality of the outgoing secondary aluminium equals the quality of the ingoing secondary aluminium. So according to Declan Conway,of the price for secondary aluminium in 2023 in europe was between 2000€ and 2200€ per ton for aluminium pressure diecasting ingot DIN226. Given that this represents approximately 80% of the primary aluminium price, Qsout can be set to 0,8. Therefor Qsout/Qp can be set to 0,8.</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</si>
  <si>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</si>
  <si>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Wolf et al, 2020 (b) The Battery Pass consortium, 2023 ©  IAI; Eu RIC AISBL, 2022; Bakedano et al, 2021 (d) IAI, Declan Conway, 2023 €) Metals for buildings, 2024</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</si>
  <si>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</si>
  <si>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</si>
  <si>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</si>
  <si>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(a) The reccycling rate of steel is 82,2% globally (b) The recycling rate for steel in the automotive sector is about 90% © The recycling rate for steel in the automotive sector was 96% in 2019 in the US</t>
  </si>
  <si>
    <t>(a) Rolf Willeke, 2024 (b) WorldAutoSteel © American Iron and Steel Institute, 2021</t>
  </si>
  <si>
    <t>0,81 - 0,96</t>
  </si>
  <si>
    <t>Triangular (0,81; 0,88; 0,96)</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</si>
  <si>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</si>
  <si>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</si>
  <si>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 xml:space="preserve">(a)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t>
  </si>
  <si>
    <t>(a) American Iron and Steel Institute, 2020 (b) World Steel Association, 2021 © Jim Pritchard, 2024 (d) Babian, 2022; Rydberg et al., 2023 € Metals for buildings, 2024; Eu RIC AISBL, 2022 (f) Yang et al., 2024</t>
  </si>
  <si>
    <t>0,55 - 1</t>
  </si>
  <si>
    <t>Triangular (0,55; 0,9; 0,1)</t>
  </si>
  <si>
    <t xml:space="preserve">(a) Steel can be recycled over and over again. It is 100% recyclable and can be recycled into the same quality again and again. The quality of secondary steel equals the quality of primary steel. Therefor Qsout equals 1 and Qsout/Qp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As steel can be recycled into the same quality over and over again, it can be assumed, that the quality of the outgoing secondary steel equals the quality of the ingoing secondary steel. So according to Jim Pritchard, the price for secondary steel in 2023 in the US was aroun 400€ per ton. Given that this represents approximately 55% of the primary steel price, Qsout can be set to 0,55. Therefor Qsout/Qp can be set to 0,55. (d) Qsout/Qp ratio has been fixed to 1 for steel in this paper (e) For metals, the quality is assumed to stay the same through recycling. Qsin/Qp=Qsout/Qp=1 has been set (f) Qsin/Qp and Qsout/Qp has been set to 1, as steel keeps the metallugircal properties when recycled. The quality ofprimary steel equals the quality of secondary steel. </t>
  </si>
  <si>
    <t>(a) American Iron and Steel Institute, 2020; Eu RIC AISBL, 2022 (b) World Steel Association, 2021; Eu RIC AISBL, 2022 ©Jim Pritchard, 2024; American Iron and Steel Institute, 2020 (d) Babian, 2022; Rydberg et al., 2023 € Metals for buildings, 2024; (f) Yang et al.,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</si>
  <si>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</si>
  <si>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</si>
  <si>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(a) The global recycling rate of GF-PP is 13%. R2 can be set to R2=0,13 (b) R2=0,13, in the UK, only 13% of GF-PP is recycled and only 6% is being reused, 67% of GF-PP is going to the landfill</t>
  </si>
  <si>
    <t>(a) Feng, Zhao, Xu, 2016 (b) Karuppannan Gopalraj, Kärki; 2020</t>
  </si>
  <si>
    <t>(a) The price of mehanical recycled fibers is about 80% of virgin ones (b) Recycling with pyrolisis showed a loss of 50 to 64% of mechanical properties of the compound. Mechanical recycling looses approximately 22% of strength of the compound. Compared to the quality of primary GF-PP, a quality ratio of 0,36-0,78 can be set (c) For the polymer, the quality ratio of 0,9 has been chosen as per the PEF Report. The paper based the quality ratios for the fibers based on the loss of tensile strength. It assumes that a loss of 18% is achieved when recycling with pyrolisis. The range for the quality ratio can be set from 0,72-0,9 (d) A decrease of the mechanical properties of the recycled GF-PP was indentified between 13,7% and 23,8% for tensile strength. Qs ranges between 0,76 and 0,86. Qsin/Qp then ranges between 0,76 and 0,86.</t>
  </si>
  <si>
    <t>(a) Gonçalves, Martinho, Oliveira; 2022 (b) Gonçalves, Martinho, Oliveira; 2022 © Hermansson et al., 2022 (d) Colucci et al., 2015</t>
  </si>
  <si>
    <t>Truncated Normal (mean=0,7; std=0,2; min=0,36; max=0,9)</t>
  </si>
  <si>
    <t>composite_CCB_allocated</t>
  </si>
  <si>
    <t>industrial_CCB_allocated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</si>
</sst>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s>
  <fills count="12">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37">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19" fillId="7"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0" fillId="11" borderId="0" xfId="0" applyFill="1"/>
    <xf numFmtId="0" fontId="0" fillId="11" borderId="1" xfId="0" applyFill="1" applyBorder="1" applyAlignment="1">
      <alignment horizontal="left" vertical="top"/>
    </xf>
    <xf numFmtId="0" fontId="0" fillId="11" borderId="1" xfId="0" quotePrefix="1" applyFill="1" applyBorder="1" applyAlignment="1">
      <alignment horizontal="left" vertical="top"/>
    </xf>
    <xf numFmtId="0" fontId="2" fillId="11" borderId="1" xfId="0" applyFont="1" applyFill="1" applyBorder="1" applyAlignment="1">
      <alignment horizontal="left" vertical="top"/>
    </xf>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xf>
    <xf numFmtId="0" fontId="0" fillId="0" borderId="56" xfId="0" applyBorder="1" applyAlignment="1">
      <alignment horizontal="left" vertical="top"/>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left"/>
    </xf>
    <xf numFmtId="0" fontId="0" fillId="0" borderId="4" xfId="0" applyBorder="1" applyAlignment="1">
      <alignment horizontal="left"/>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9"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19" fillId="4" borderId="1" xfId="3" applyFont="1" applyBorder="1" applyAlignment="1">
      <alignment horizontal="center"/>
    </xf>
    <xf numFmtId="0" fontId="19" fillId="4" borderId="1" xfId="3" applyFont="1" applyBorder="1" applyAlignment="1">
      <alignment horizontal="center" vertical="top" wrapText="1"/>
    </xf>
    <xf numFmtId="0" fontId="2" fillId="4" borderId="1" xfId="3" applyFont="1" applyBorder="1" applyAlignment="1">
      <alignment horizontal="center"/>
    </xf>
    <xf numFmtId="0" fontId="2" fillId="0" borderId="39" xfId="0" applyFont="1" applyBorder="1" applyAlignment="1">
      <alignment horizontal="center"/>
    </xf>
    <xf numFmtId="0" fontId="2" fillId="0" borderId="2" xfId="0" applyFont="1"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0" fillId="0" borderId="39" xfId="0" applyBorder="1" applyAlignment="1">
      <alignment horizontal="left" vertical="top" wrapText="1"/>
    </xf>
    <xf numFmtId="0" fontId="0" fillId="0" borderId="2" xfId="0" applyBorder="1" applyAlignment="1">
      <alignment horizontal="left" vertical="top"/>
    </xf>
    <xf numFmtId="0" fontId="0" fillId="0" borderId="39" xfId="0" applyBorder="1" applyAlignment="1">
      <alignment horizontal="left" vertical="top"/>
    </xf>
    <xf numFmtId="0" fontId="0" fillId="0" borderId="2" xfId="0" applyBorder="1" applyAlignment="1">
      <alignment horizontal="left" vertical="top" wrapText="1"/>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2" fillId="4" borderId="1" xfId="3" applyFont="1" applyBorder="1" applyAlignment="1">
      <alignment horizontal="center"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0" fillId="3" borderId="57" xfId="0" applyFill="1" applyBorder="1" applyAlignment="1">
      <alignment horizontal="left" vertical="top" wrapText="1"/>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0" fillId="3" borderId="54" xfId="0" applyFill="1" applyBorder="1" applyAlignment="1">
      <alignment horizontal="left" vertical="top"/>
    </xf>
    <xf numFmtId="0" fontId="0" fillId="3" borderId="56" xfId="0" applyFill="1" applyBorder="1" applyAlignment="1">
      <alignment horizontal="left" vertical="top"/>
    </xf>
    <xf numFmtId="0" fontId="0" fillId="3" borderId="57" xfId="0" applyFill="1" applyBorder="1" applyAlignment="1">
      <alignment horizontal="left" vertical="top"/>
    </xf>
    <xf numFmtId="0" fontId="0" fillId="0" borderId="57" xfId="0" applyBorder="1" applyAlignment="1">
      <alignment horizontal="left" vertical="top" wrapText="1"/>
    </xf>
    <xf numFmtId="0" fontId="19" fillId="7" borderId="54" xfId="0" applyFont="1" applyFill="1" applyBorder="1" applyAlignment="1">
      <alignment horizontal="left" vertical="top"/>
    </xf>
    <xf numFmtId="0" fontId="19" fillId="7" borderId="57" xfId="0" applyFont="1" applyFill="1" applyBorder="1" applyAlignment="1">
      <alignment horizontal="left" vertical="top"/>
    </xf>
    <xf numFmtId="0" fontId="19" fillId="7" borderId="56" xfId="0" applyFont="1" applyFill="1" applyBorder="1" applyAlignment="1">
      <alignment horizontal="left" vertical="top"/>
    </xf>
    <xf numFmtId="0" fontId="0" fillId="0" borderId="57" xfId="0" applyBorder="1" applyAlignment="1">
      <alignment horizontal="left" vertical="top"/>
    </xf>
    <xf numFmtId="0" fontId="19" fillId="7" borderId="54" xfId="0" applyFont="1" applyFill="1" applyBorder="1" applyAlignment="1">
      <alignment horizontal="left" vertical="top" wrapText="1"/>
    </xf>
    <xf numFmtId="0" fontId="19" fillId="7" borderId="57" xfId="0" applyFont="1" applyFill="1" applyBorder="1" applyAlignment="1">
      <alignment horizontal="left" vertical="top" wrapText="1"/>
    </xf>
    <xf numFmtId="0" fontId="19" fillId="7" borderId="56" xfId="0"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19" fillId="11" borderId="54" xfId="0" applyFont="1" applyFill="1" applyBorder="1" applyAlignment="1">
      <alignment horizontal="left" vertical="top" wrapText="1"/>
    </xf>
    <xf numFmtId="0" fontId="19" fillId="11" borderId="56" xfId="0" applyFont="1" applyFill="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19" fillId="11" borderId="54" xfId="0" applyFont="1" applyFill="1" applyBorder="1" applyAlignment="1">
      <alignment horizontal="left" vertical="top"/>
    </xf>
    <xf numFmtId="0" fontId="19" fillId="11" borderId="57" xfId="0" applyFont="1" applyFill="1" applyBorder="1" applyAlignment="1">
      <alignment horizontal="left" vertical="top"/>
    </xf>
    <xf numFmtId="0" fontId="19" fillId="11" borderId="56" xfId="0" applyFont="1" applyFill="1" applyBorder="1" applyAlignment="1">
      <alignment horizontal="left"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xf numFmtId="0" fontId="2" fillId="11" borderId="54" xfId="0" applyFont="1" applyFill="1" applyBorder="1" applyAlignment="1">
      <alignment horizontal="left" vertical="top"/>
    </xf>
    <xf numFmtId="0" fontId="2" fillId="11" borderId="56" xfId="0" applyFont="1" applyFill="1" applyBorder="1" applyAlignment="1">
      <alignment horizontal="left" vertical="top"/>
    </xf>
  </cellXfs>
  <cellStyles count="6">
    <cellStyle name="20 % - Akzent1" xfId="3" builtinId="30"/>
    <cellStyle name="60 % - Akzent1" xfId="4" builtinId="32"/>
    <cellStyle name="60 % - Akzent3" xfId="1" builtinId="40"/>
    <cellStyle name="Akzent1" xfId="5" builtinId="29"/>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13" zoomScaleNormal="100" workbookViewId="0">
      <selection activeCell="O24" sqref="O24"/>
    </sheetView>
  </sheetViews>
  <sheetFormatPr baseColWidth="10" defaultColWidth="10.85546875" defaultRowHeight="15"/>
  <cols>
    <col min="2" max="2" width="15.140625" customWidth="1"/>
    <col min="14" max="14" width="15.85546875" customWidth="1"/>
    <col min="20" max="20" width="16.28515625" customWidth="1"/>
    <col min="21" max="21" width="25.5703125" customWidth="1"/>
  </cols>
  <sheetData>
    <row r="2" spans="2:22" ht="21">
      <c r="B2" s="161" t="s">
        <v>0</v>
      </c>
      <c r="C2" s="161"/>
      <c r="D2" s="161"/>
      <c r="E2" s="161"/>
      <c r="F2" s="161"/>
      <c r="G2" s="161"/>
    </row>
    <row r="4" spans="2:22" ht="15.75" thickBot="1"/>
    <row r="5" spans="2:22" ht="18.75">
      <c r="N5" t="s">
        <v>1</v>
      </c>
      <c r="O5" s="1" t="s">
        <v>2</v>
      </c>
      <c r="P5" s="7"/>
      <c r="R5" s="2"/>
      <c r="S5" s="162" t="s">
        <v>20</v>
      </c>
      <c r="T5" s="163"/>
      <c r="U5" s="20" t="s">
        <v>3</v>
      </c>
      <c r="V5" s="21"/>
    </row>
    <row r="6" spans="2:22" ht="18.75" thickBot="1">
      <c r="O6" s="1" t="s">
        <v>4</v>
      </c>
      <c r="P6" s="8"/>
      <c r="R6" s="3"/>
      <c r="S6" s="164" t="s">
        <v>21</v>
      </c>
      <c r="T6" s="165"/>
      <c r="U6" s="18" t="s">
        <v>5</v>
      </c>
      <c r="V6" s="19"/>
    </row>
    <row r="7" spans="2:22" ht="15.75">
      <c r="O7" s="1" t="s">
        <v>6</v>
      </c>
      <c r="P7" s="8"/>
      <c r="R7" s="3"/>
      <c r="S7" s="3"/>
      <c r="T7" s="3"/>
    </row>
    <row r="8" spans="2:22" ht="15.75">
      <c r="O8" s="1" t="s">
        <v>7</v>
      </c>
      <c r="P8" s="8"/>
      <c r="R8" s="2"/>
      <c r="S8" s="2"/>
      <c r="T8" s="2"/>
    </row>
    <row r="9" spans="2:22" ht="15.75">
      <c r="O9" s="1" t="s">
        <v>8</v>
      </c>
      <c r="P9" s="8"/>
      <c r="R9" s="2"/>
      <c r="S9" s="2"/>
      <c r="T9" s="2"/>
    </row>
    <row r="10" spans="2:22" ht="15.75">
      <c r="O10" s="1" t="s">
        <v>9</v>
      </c>
      <c r="P10" s="8"/>
      <c r="R10" s="2"/>
      <c r="S10" s="2"/>
      <c r="T10" s="2"/>
    </row>
    <row r="11" spans="2:22" ht="15.75">
      <c r="O11" s="1" t="s">
        <v>10</v>
      </c>
      <c r="P11" s="8"/>
      <c r="R11" s="2"/>
      <c r="S11" s="2"/>
      <c r="T11" s="2"/>
    </row>
    <row r="12" spans="2:22" ht="15.75">
      <c r="O12" s="1" t="s">
        <v>11</v>
      </c>
      <c r="P12" s="8"/>
      <c r="R12" s="2"/>
      <c r="S12" s="2"/>
      <c r="T12" s="2"/>
    </row>
    <row r="13" spans="2:22" ht="15.75">
      <c r="O13" s="1" t="s">
        <v>12</v>
      </c>
      <c r="P13" s="8"/>
      <c r="R13" s="2"/>
      <c r="S13" s="2"/>
      <c r="T13" s="2"/>
    </row>
    <row r="14" spans="2:22" ht="15.75">
      <c r="O14" s="1" t="s">
        <v>13</v>
      </c>
      <c r="P14" s="8"/>
      <c r="R14" s="2"/>
      <c r="S14" s="2"/>
      <c r="T14" s="2"/>
    </row>
    <row r="15" spans="2:22" ht="15.75">
      <c r="O15" s="1" t="s">
        <v>14</v>
      </c>
      <c r="P15" s="8"/>
      <c r="R15" s="2"/>
      <c r="S15" s="2"/>
      <c r="T15" s="2"/>
    </row>
    <row r="17" spans="14:21">
      <c r="N17" s="5" t="s">
        <v>15</v>
      </c>
      <c r="O17" s="166" t="s">
        <v>16</v>
      </c>
      <c r="P17" s="166"/>
      <c r="Q17" s="166"/>
      <c r="R17" s="166"/>
      <c r="S17" s="166"/>
      <c r="T17" s="166"/>
      <c r="U17" s="166"/>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60" zoomScale="77" zoomScaleNormal="70" workbookViewId="0">
      <selection activeCell="F19" sqref="F19"/>
    </sheetView>
  </sheetViews>
  <sheetFormatPr baseColWidth="10" defaultColWidth="10.85546875" defaultRowHeight="15"/>
  <cols>
    <col min="1" max="1" width="19.42578125" customWidth="1"/>
    <col min="2" max="2" width="104.5703125" customWidth="1"/>
    <col min="3" max="3" width="42" customWidth="1"/>
    <col min="4" max="4" width="48.7109375" customWidth="1"/>
    <col min="5" max="5" width="34.42578125" customWidth="1"/>
    <col min="6" max="6" width="52.140625" customWidth="1"/>
  </cols>
  <sheetData>
    <row r="1" spans="1:13" ht="15.75" thickBot="1"/>
    <row r="2" spans="1:13" ht="15.75" thickBot="1">
      <c r="B2" s="130" t="s">
        <v>64</v>
      </c>
    </row>
    <row r="3" spans="1:13" ht="15.75" thickBot="1"/>
    <row r="4" spans="1:13" ht="15.75" thickBot="1">
      <c r="A4" s="132" t="s">
        <v>582</v>
      </c>
      <c r="B4" s="171" t="s">
        <v>583</v>
      </c>
      <c r="C4" s="172"/>
      <c r="D4" s="172"/>
      <c r="E4" s="173"/>
      <c r="F4" s="131"/>
      <c r="G4" s="131"/>
      <c r="H4" s="131"/>
      <c r="I4" s="131"/>
      <c r="J4" s="131"/>
      <c r="K4" s="131"/>
      <c r="L4" s="131"/>
      <c r="M4" s="131"/>
    </row>
    <row r="5" spans="1:13" ht="15.75" thickBot="1"/>
    <row r="6" spans="1:13" ht="15.75" thickBot="1">
      <c r="A6" s="133">
        <v>0.95</v>
      </c>
      <c r="B6" s="184" t="s">
        <v>586</v>
      </c>
      <c r="C6" s="185"/>
      <c r="D6" s="185"/>
      <c r="E6" s="186"/>
    </row>
    <row r="7" spans="1:13">
      <c r="B7" s="115" t="s">
        <v>162</v>
      </c>
      <c r="C7" s="129" t="s">
        <v>81</v>
      </c>
      <c r="D7" s="129"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8" t="s">
        <v>168</v>
      </c>
      <c r="C13" s="149">
        <v>1.331</v>
      </c>
      <c r="D13" s="150">
        <v>1.1809999999999999E-2</v>
      </c>
      <c r="E13" s="151">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75" thickBot="1"/>
    <row r="21" spans="1:5" ht="15.75" thickBot="1">
      <c r="A21" s="133">
        <v>0.05</v>
      </c>
      <c r="B21" s="184" t="s">
        <v>587</v>
      </c>
      <c r="C21" s="185"/>
      <c r="D21" s="185"/>
      <c r="E21" s="186"/>
    </row>
    <row r="22" spans="1:5">
      <c r="B22" s="115" t="s">
        <v>162</v>
      </c>
      <c r="C22" s="129" t="s">
        <v>81</v>
      </c>
      <c r="D22" s="129" t="s">
        <v>175</v>
      </c>
      <c r="E22" s="115" t="s">
        <v>177</v>
      </c>
    </row>
    <row r="23" spans="1:5">
      <c r="B23" s="1" t="s">
        <v>163</v>
      </c>
      <c r="C23" s="56">
        <v>3.2300000000000002E-7</v>
      </c>
      <c r="D23" s="57">
        <v>1.09E-10</v>
      </c>
      <c r="E23" s="44">
        <v>1.7729999999999998E-5</v>
      </c>
    </row>
    <row r="24" spans="1:5">
      <c r="B24" s="1" t="s">
        <v>164</v>
      </c>
      <c r="C24" s="56">
        <v>4.24</v>
      </c>
      <c r="D24" s="57">
        <v>8.2400000000000008E-3</v>
      </c>
      <c r="E24" s="44">
        <v>684</v>
      </c>
    </row>
    <row r="25" spans="1:5">
      <c r="B25" s="1" t="s">
        <v>165</v>
      </c>
      <c r="C25" s="56">
        <v>6.11E-4</v>
      </c>
      <c r="D25" s="57">
        <v>1.5400000000000001E-6</v>
      </c>
      <c r="E25" s="44">
        <v>0.1956</v>
      </c>
    </row>
    <row r="26" spans="1:5">
      <c r="B26" s="1" t="s">
        <v>166</v>
      </c>
      <c r="C26" s="56">
        <v>1.17E-4</v>
      </c>
      <c r="D26" s="57">
        <v>1.6500000000000001E-7</v>
      </c>
      <c r="E26" s="44">
        <v>1.489E-2</v>
      </c>
    </row>
    <row r="27" spans="1:5">
      <c r="B27" s="1" t="s">
        <v>167</v>
      </c>
      <c r="C27" s="56">
        <v>8.1400000000000005E-4</v>
      </c>
      <c r="D27" s="57">
        <v>1.37E-6</v>
      </c>
      <c r="E27" s="44">
        <v>0.313</v>
      </c>
    </row>
    <row r="28" spans="1:5">
      <c r="B28" s="148" t="s">
        <v>168</v>
      </c>
      <c r="C28" s="149">
        <v>0.42699999999999999</v>
      </c>
      <c r="D28" s="150">
        <v>5.6899999999999995E-4</v>
      </c>
      <c r="E28" s="151">
        <v>62.7</v>
      </c>
    </row>
    <row r="29" spans="1:5">
      <c r="B29" s="1" t="s">
        <v>169</v>
      </c>
      <c r="C29" s="56">
        <v>0.42699999999999999</v>
      </c>
      <c r="D29" s="57">
        <v>5.7600000000000001E-4</v>
      </c>
      <c r="E29" s="44">
        <v>62.8</v>
      </c>
    </row>
    <row r="30" spans="1:5">
      <c r="B30" s="1" t="s">
        <v>170</v>
      </c>
      <c r="C30" s="56">
        <v>1.67E-2</v>
      </c>
      <c r="D30" s="57">
        <v>1.66E-5</v>
      </c>
      <c r="E30" s="44">
        <v>84.3</v>
      </c>
    </row>
    <row r="31" spans="1:5">
      <c r="B31" s="1" t="s">
        <v>171</v>
      </c>
      <c r="C31" s="56">
        <v>50.2</v>
      </c>
      <c r="D31" s="57">
        <v>5.2499999999999998E-2</v>
      </c>
      <c r="E31" s="44">
        <v>105900</v>
      </c>
    </row>
    <row r="32" spans="1:5">
      <c r="B32" s="1" t="s">
        <v>172</v>
      </c>
      <c r="C32" s="56">
        <v>1.6999999999999999E-11</v>
      </c>
      <c r="D32" s="57">
        <v>9.2700000000000007E-16</v>
      </c>
      <c r="E32" s="44">
        <v>1.018E-10</v>
      </c>
    </row>
    <row r="33" spans="2:5">
      <c r="B33" s="1" t="s">
        <v>173</v>
      </c>
      <c r="C33" s="56">
        <v>4.0800000000000002E-5</v>
      </c>
      <c r="D33" s="57">
        <v>1.42E-7</v>
      </c>
      <c r="E33" s="44">
        <v>1.1679999999999999E-2</v>
      </c>
    </row>
    <row r="34" spans="2:5">
      <c r="B34" s="1" t="s">
        <v>174</v>
      </c>
      <c r="C34" s="56">
        <v>6.02E-4</v>
      </c>
      <c r="D34" s="57">
        <v>6.3300000000000004E-6</v>
      </c>
      <c r="E34" s="44">
        <v>0.1172</v>
      </c>
    </row>
    <row r="36" spans="2:5" ht="15.75" thickBot="1"/>
    <row r="37" spans="2:5" ht="15.75" thickBot="1">
      <c r="B37" s="174" t="s">
        <v>584</v>
      </c>
      <c r="C37" s="175"/>
      <c r="D37" s="175"/>
      <c r="E37" s="176"/>
    </row>
    <row r="38" spans="2:5">
      <c r="B38" s="73" t="s">
        <v>179</v>
      </c>
      <c r="C38" s="137" t="s">
        <v>189</v>
      </c>
      <c r="D38" s="115" t="s">
        <v>595</v>
      </c>
      <c r="E38" s="115" t="s">
        <v>596</v>
      </c>
    </row>
    <row r="39" spans="2:5" ht="60">
      <c r="B39" s="167" t="s">
        <v>605</v>
      </c>
      <c r="C39" s="169">
        <v>0.2</v>
      </c>
      <c r="D39" s="34" t="s">
        <v>617</v>
      </c>
      <c r="E39" s="138" t="s">
        <v>620</v>
      </c>
    </row>
    <row r="40" spans="2:5" ht="15" hidden="1" customHeight="1">
      <c r="B40" s="168"/>
      <c r="C40" s="170"/>
      <c r="D40" s="1"/>
      <c r="E40" s="1"/>
    </row>
    <row r="41" spans="2:5" ht="30">
      <c r="B41" s="34" t="s">
        <v>600</v>
      </c>
      <c r="C41" s="134">
        <v>0</v>
      </c>
      <c r="D41" s="34" t="s">
        <v>607</v>
      </c>
      <c r="E41" s="138" t="s">
        <v>622</v>
      </c>
    </row>
    <row r="42" spans="2:5">
      <c r="B42" s="139" t="s">
        <v>601</v>
      </c>
      <c r="C42" s="134" t="s">
        <v>688</v>
      </c>
      <c r="D42" s="1" t="s">
        <v>689</v>
      </c>
      <c r="E42" s="1" t="s">
        <v>690</v>
      </c>
    </row>
    <row r="43" spans="2:5">
      <c r="B43" s="34" t="s">
        <v>602</v>
      </c>
      <c r="C43" s="134">
        <v>1</v>
      </c>
      <c r="D43" s="1" t="s">
        <v>631</v>
      </c>
      <c r="E43" s="1" t="s">
        <v>597</v>
      </c>
    </row>
    <row r="44" spans="2:5" ht="30">
      <c r="B44" s="139" t="s">
        <v>603</v>
      </c>
      <c r="C44" s="134" t="s">
        <v>550</v>
      </c>
      <c r="D44" s="138" t="s">
        <v>618</v>
      </c>
      <c r="E44" s="34" t="s">
        <v>619</v>
      </c>
    </row>
    <row r="45" spans="2:5" ht="30">
      <c r="B45" s="34" t="s">
        <v>604</v>
      </c>
      <c r="C45" s="134" t="s">
        <v>695</v>
      </c>
      <c r="D45" s="36" t="s">
        <v>697</v>
      </c>
      <c r="E45" s="34" t="s">
        <v>696</v>
      </c>
    </row>
    <row r="46" spans="2:5" ht="15.75" thickBot="1"/>
    <row r="47" spans="2:5" ht="15.75" thickBot="1">
      <c r="B47" s="174" t="s">
        <v>585</v>
      </c>
      <c r="C47" s="175"/>
      <c r="D47" s="175"/>
      <c r="E47" s="176"/>
    </row>
    <row r="48" spans="2:5">
      <c r="B48" s="73" t="s">
        <v>179</v>
      </c>
      <c r="C48" s="137" t="s">
        <v>189</v>
      </c>
      <c r="D48" s="115" t="s">
        <v>595</v>
      </c>
      <c r="E48" s="115" t="s">
        <v>596</v>
      </c>
    </row>
    <row r="49" spans="1:5">
      <c r="B49" s="167" t="s">
        <v>605</v>
      </c>
      <c r="C49" s="169">
        <v>0.2</v>
      </c>
      <c r="D49" s="180" t="s">
        <v>617</v>
      </c>
      <c r="E49" s="182" t="s">
        <v>621</v>
      </c>
    </row>
    <row r="50" spans="1:5" ht="4.5" customHeight="1">
      <c r="B50" s="168"/>
      <c r="C50" s="170"/>
      <c r="D50" s="181"/>
      <c r="E50" s="183"/>
    </row>
    <row r="51" spans="1:5" ht="30">
      <c r="B51" s="34" t="s">
        <v>600</v>
      </c>
      <c r="C51" s="134">
        <v>0</v>
      </c>
      <c r="D51" s="34" t="s">
        <v>607</v>
      </c>
      <c r="E51" s="138" t="s">
        <v>622</v>
      </c>
    </row>
    <row r="52" spans="1:5" ht="75">
      <c r="B52" s="139" t="s">
        <v>601</v>
      </c>
      <c r="C52" s="134" t="s">
        <v>705</v>
      </c>
      <c r="D52" s="37" t="s">
        <v>706</v>
      </c>
      <c r="E52" s="36" t="s">
        <v>707</v>
      </c>
    </row>
    <row r="53" spans="1:5">
      <c r="B53" s="34" t="s">
        <v>602</v>
      </c>
      <c r="C53" s="134">
        <v>1</v>
      </c>
      <c r="D53" s="1" t="s">
        <v>631</v>
      </c>
      <c r="E53" s="1" t="s">
        <v>597</v>
      </c>
    </row>
    <row r="54" spans="1:5">
      <c r="B54" s="139" t="s">
        <v>603</v>
      </c>
      <c r="C54" s="134">
        <v>1</v>
      </c>
      <c r="D54" s="1" t="s">
        <v>624</v>
      </c>
      <c r="E54" s="1" t="s">
        <v>625</v>
      </c>
    </row>
    <row r="55" spans="1:5">
      <c r="B55" s="34" t="s">
        <v>604</v>
      </c>
      <c r="C55" s="134">
        <v>1</v>
      </c>
      <c r="D55" s="1" t="s">
        <v>624</v>
      </c>
      <c r="E55" s="1" t="s">
        <v>625</v>
      </c>
    </row>
    <row r="57" spans="1:5" ht="15.75" thickBot="1"/>
    <row r="58" spans="1:5" ht="15.75" thickBot="1">
      <c r="A58" s="132" t="s">
        <v>582</v>
      </c>
      <c r="B58" s="171" t="s">
        <v>432</v>
      </c>
      <c r="C58" s="172"/>
      <c r="D58" s="172"/>
      <c r="E58" s="173"/>
    </row>
    <row r="60" spans="1:5" ht="15.75" thickBot="1"/>
    <row r="61" spans="1:5" ht="15.75" thickBot="1">
      <c r="A61" s="133">
        <v>0.54</v>
      </c>
      <c r="B61" s="184" t="s">
        <v>586</v>
      </c>
      <c r="C61" s="185"/>
      <c r="D61" s="185"/>
      <c r="E61" s="186"/>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8" t="s">
        <v>168</v>
      </c>
      <c r="C68" s="152">
        <v>37.14</v>
      </c>
      <c r="D68" s="150">
        <v>0.72699999999999998</v>
      </c>
      <c r="E68" s="151">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75" thickBot="1"/>
    <row r="76" spans="1:5" ht="15.75" thickBot="1">
      <c r="A76" s="135">
        <v>4.4999999999999998E-2</v>
      </c>
      <c r="B76" s="184" t="s">
        <v>587</v>
      </c>
      <c r="C76" s="185"/>
      <c r="D76" s="185"/>
      <c r="E76" s="186"/>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8" t="s">
        <v>168</v>
      </c>
      <c r="C83" s="151">
        <v>0.77300000000000002</v>
      </c>
      <c r="D83" s="150">
        <v>0.40467270881237499</v>
      </c>
      <c r="E83" s="151">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75" thickBot="1"/>
    <row r="91" spans="1:6" ht="15.75" thickBot="1">
      <c r="A91" s="135">
        <v>0.41499999999999998</v>
      </c>
      <c r="B91" s="174" t="s">
        <v>588</v>
      </c>
      <c r="C91" s="175"/>
      <c r="D91" s="175"/>
      <c r="E91" s="175"/>
      <c r="F91" s="179"/>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8" t="s">
        <v>168</v>
      </c>
      <c r="C98" s="151">
        <v>3.83</v>
      </c>
      <c r="D98" s="150">
        <v>0.369760652920962</v>
      </c>
      <c r="E98" s="151">
        <v>7.4501280068728498E-3</v>
      </c>
      <c r="F98" s="153">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75" thickBot="1"/>
    <row r="107" spans="2:6" ht="15.75" thickBot="1">
      <c r="B107" s="174" t="s">
        <v>584</v>
      </c>
      <c r="C107" s="175"/>
      <c r="D107" s="175"/>
      <c r="E107" s="176"/>
    </row>
    <row r="108" spans="2:6">
      <c r="B108" s="73" t="s">
        <v>179</v>
      </c>
      <c r="C108" s="137" t="s">
        <v>189</v>
      </c>
      <c r="D108" s="115" t="s">
        <v>595</v>
      </c>
      <c r="E108" s="115" t="s">
        <v>596</v>
      </c>
    </row>
    <row r="109" spans="2:6" ht="60">
      <c r="B109" s="167" t="s">
        <v>605</v>
      </c>
      <c r="C109" s="169">
        <v>0.2</v>
      </c>
      <c r="D109" s="34" t="s">
        <v>617</v>
      </c>
      <c r="E109" s="138" t="s">
        <v>620</v>
      </c>
    </row>
    <row r="110" spans="2:6">
      <c r="B110" s="168"/>
      <c r="C110" s="170"/>
      <c r="D110" s="1"/>
      <c r="E110" s="1"/>
    </row>
    <row r="111" spans="2:6" ht="30">
      <c r="B111" s="34" t="s">
        <v>600</v>
      </c>
      <c r="C111" s="134">
        <v>0</v>
      </c>
      <c r="D111" s="34" t="s">
        <v>607</v>
      </c>
      <c r="E111" s="138" t="s">
        <v>622</v>
      </c>
    </row>
    <row r="112" spans="2:6">
      <c r="B112" s="139" t="s">
        <v>601</v>
      </c>
      <c r="C112" s="134" t="s">
        <v>688</v>
      </c>
      <c r="D112" s="1" t="s">
        <v>689</v>
      </c>
      <c r="E112" s="1" t="s">
        <v>690</v>
      </c>
    </row>
    <row r="113" spans="2:5">
      <c r="B113" s="34" t="s">
        <v>602</v>
      </c>
      <c r="C113" s="134">
        <v>1</v>
      </c>
      <c r="D113" s="1" t="s">
        <v>631</v>
      </c>
      <c r="E113" s="1" t="s">
        <v>597</v>
      </c>
    </row>
    <row r="114" spans="2:5" ht="30">
      <c r="B114" s="139" t="s">
        <v>603</v>
      </c>
      <c r="C114" s="158" t="s">
        <v>771</v>
      </c>
      <c r="D114" s="138" t="s">
        <v>772</v>
      </c>
      <c r="E114" s="34" t="s">
        <v>619</v>
      </c>
    </row>
    <row r="115" spans="2:5" ht="30">
      <c r="B115" s="34" t="s">
        <v>604</v>
      </c>
      <c r="C115" s="158" t="s">
        <v>771</v>
      </c>
      <c r="D115" s="138" t="s">
        <v>772</v>
      </c>
      <c r="E115" s="34" t="s">
        <v>696</v>
      </c>
    </row>
    <row r="116" spans="2:5" ht="15.75" thickBot="1"/>
    <row r="117" spans="2:5" ht="15.75" thickBot="1">
      <c r="B117" s="174" t="s">
        <v>585</v>
      </c>
      <c r="C117" s="175"/>
      <c r="D117" s="175"/>
      <c r="E117" s="176"/>
    </row>
    <row r="118" spans="2:5">
      <c r="B118" s="73" t="s">
        <v>179</v>
      </c>
      <c r="C118" s="137" t="s">
        <v>189</v>
      </c>
      <c r="D118" s="115" t="s">
        <v>595</v>
      </c>
      <c r="E118" s="115" t="s">
        <v>596</v>
      </c>
    </row>
    <row r="119" spans="2:5">
      <c r="B119" s="167" t="s">
        <v>605</v>
      </c>
      <c r="C119" s="169">
        <v>0.2</v>
      </c>
      <c r="D119" s="180" t="s">
        <v>617</v>
      </c>
      <c r="E119" s="182" t="s">
        <v>621</v>
      </c>
    </row>
    <row r="120" spans="2:5">
      <c r="B120" s="168"/>
      <c r="C120" s="170"/>
      <c r="D120" s="181"/>
      <c r="E120" s="183"/>
    </row>
    <row r="121" spans="2:5" ht="30">
      <c r="B121" s="34" t="s">
        <v>600</v>
      </c>
      <c r="C121" s="134">
        <v>0</v>
      </c>
      <c r="D121" s="34" t="s">
        <v>607</v>
      </c>
      <c r="E121" s="138" t="s">
        <v>622</v>
      </c>
    </row>
    <row r="122" spans="2:5" ht="75">
      <c r="B122" s="139" t="s">
        <v>601</v>
      </c>
      <c r="C122" s="158" t="s">
        <v>781</v>
      </c>
      <c r="D122" s="37" t="s">
        <v>782</v>
      </c>
      <c r="E122" s="36" t="s">
        <v>707</v>
      </c>
    </row>
    <row r="123" spans="2:5">
      <c r="B123" s="34" t="s">
        <v>602</v>
      </c>
      <c r="C123" s="134">
        <v>1</v>
      </c>
      <c r="D123" s="1" t="s">
        <v>631</v>
      </c>
      <c r="E123" s="1" t="s">
        <v>597</v>
      </c>
    </row>
    <row r="124" spans="2:5">
      <c r="B124" s="139" t="s">
        <v>603</v>
      </c>
      <c r="C124" s="158" t="s">
        <v>787</v>
      </c>
      <c r="D124" s="1" t="s">
        <v>788</v>
      </c>
      <c r="E124" s="1" t="s">
        <v>625</v>
      </c>
    </row>
    <row r="125" spans="2:5">
      <c r="B125" s="34" t="s">
        <v>604</v>
      </c>
      <c r="C125" s="158" t="s">
        <v>787</v>
      </c>
      <c r="D125" s="1" t="s">
        <v>788</v>
      </c>
      <c r="E125" s="1" t="s">
        <v>625</v>
      </c>
    </row>
    <row r="126" spans="2:5" ht="15.75" thickBot="1"/>
    <row r="127" spans="2:5" ht="15.75" thickBot="1">
      <c r="B127" s="174" t="s">
        <v>589</v>
      </c>
      <c r="C127" s="175"/>
      <c r="D127" s="175"/>
      <c r="E127" s="176"/>
    </row>
    <row r="128" spans="2:5">
      <c r="B128" s="73" t="s">
        <v>179</v>
      </c>
      <c r="C128" s="137" t="s">
        <v>189</v>
      </c>
      <c r="D128" s="115" t="s">
        <v>595</v>
      </c>
      <c r="E128" s="115" t="s">
        <v>596</v>
      </c>
    </row>
    <row r="129" spans="2:5">
      <c r="B129" s="167" t="s">
        <v>605</v>
      </c>
      <c r="C129" s="169" t="s">
        <v>556</v>
      </c>
      <c r="D129" s="177" t="s">
        <v>627</v>
      </c>
      <c r="E129" s="177" t="s">
        <v>629</v>
      </c>
    </row>
    <row r="130" spans="2:5" ht="41.25" customHeight="1">
      <c r="B130" s="168"/>
      <c r="C130" s="170"/>
      <c r="D130" s="178"/>
      <c r="E130" s="178"/>
    </row>
    <row r="131" spans="2:5">
      <c r="B131" s="34" t="s">
        <v>600</v>
      </c>
      <c r="C131" s="134">
        <v>0</v>
      </c>
      <c r="D131" s="1" t="s">
        <v>607</v>
      </c>
      <c r="E131" s="1" t="s">
        <v>630</v>
      </c>
    </row>
    <row r="132" spans="2:5" ht="90">
      <c r="B132" s="139" t="s">
        <v>601</v>
      </c>
      <c r="C132" s="134" t="s">
        <v>555</v>
      </c>
      <c r="D132" s="37" t="s">
        <v>632</v>
      </c>
      <c r="E132" s="36" t="s">
        <v>633</v>
      </c>
    </row>
    <row r="133" spans="2:5">
      <c r="B133" s="34" t="s">
        <v>602</v>
      </c>
      <c r="C133" s="134">
        <v>1</v>
      </c>
      <c r="D133" s="1" t="s">
        <v>631</v>
      </c>
      <c r="E133" s="1" t="s">
        <v>597</v>
      </c>
    </row>
    <row r="134" spans="2:5" ht="75">
      <c r="B134" s="139" t="s">
        <v>603</v>
      </c>
      <c r="C134" s="134" t="s">
        <v>714</v>
      </c>
      <c r="D134" s="36" t="s">
        <v>797</v>
      </c>
      <c r="E134" s="36" t="s">
        <v>716</v>
      </c>
    </row>
    <row r="135" spans="2:5" ht="120">
      <c r="B135" s="34" t="s">
        <v>604</v>
      </c>
      <c r="C135" s="134" t="s">
        <v>719</v>
      </c>
      <c r="D135" s="36" t="s">
        <v>721</v>
      </c>
      <c r="E135" s="36" t="s">
        <v>722</v>
      </c>
    </row>
    <row r="137" spans="2:5" ht="15.75" thickBot="1"/>
    <row r="138" spans="2:5" ht="15.75" thickBot="1">
      <c r="B138" s="130" t="s">
        <v>590</v>
      </c>
    </row>
    <row r="139" spans="2:5" ht="15.75" thickBot="1"/>
    <row r="140" spans="2:5" ht="15.75" thickBot="1">
      <c r="B140" s="171" t="s">
        <v>300</v>
      </c>
      <c r="C140" s="172"/>
      <c r="D140" s="172"/>
      <c r="E140" s="173"/>
    </row>
    <row r="141" spans="2:5" ht="15.75" thickBot="1"/>
    <row r="142" spans="2:5" ht="15.75" thickBot="1">
      <c r="B142" s="171" t="s">
        <v>591</v>
      </c>
      <c r="C142" s="172"/>
      <c r="D142" s="172"/>
      <c r="E142" s="173"/>
    </row>
    <row r="143" spans="2:5">
      <c r="B143" s="1" t="s">
        <v>162</v>
      </c>
      <c r="C143" s="58" t="s">
        <v>81</v>
      </c>
      <c r="D143" s="58" t="s">
        <v>175</v>
      </c>
      <c r="E143" s="58" t="s">
        <v>177</v>
      </c>
    </row>
    <row r="144" spans="2:5">
      <c r="B144" s="36" t="s">
        <v>163</v>
      </c>
      <c r="C144" s="44">
        <v>9.2199999999999998E-6</v>
      </c>
      <c r="D144" s="57">
        <v>3.8800000000000001E-6</v>
      </c>
      <c r="E144" s="44">
        <v>4.4900000000000002E-4</v>
      </c>
    </row>
    <row r="145" spans="2:5">
      <c r="B145" s="36" t="s">
        <v>164</v>
      </c>
      <c r="C145" s="44">
        <v>1030</v>
      </c>
      <c r="D145" s="57">
        <v>137</v>
      </c>
      <c r="E145" s="44">
        <v>1140</v>
      </c>
    </row>
    <row r="146" spans="2:5">
      <c r="B146" s="36" t="s">
        <v>165</v>
      </c>
      <c r="C146" s="44">
        <v>3.6299999999999999E-2</v>
      </c>
      <c r="D146" s="57">
        <v>6.1199999999999997E-2</v>
      </c>
      <c r="E146" s="44">
        <v>0.108</v>
      </c>
    </row>
    <row r="147" spans="2:5">
      <c r="B147" s="36" t="s">
        <v>166</v>
      </c>
      <c r="C147" s="44">
        <v>6.2300000000000003E-3</v>
      </c>
      <c r="D147" s="57">
        <v>6.8500000000000002E-3</v>
      </c>
      <c r="E147" s="44">
        <v>1.8100000000000002E-2</v>
      </c>
    </row>
    <row r="148" spans="2:5">
      <c r="B148" s="36" t="s">
        <v>167</v>
      </c>
      <c r="C148" s="44">
        <v>0.40500000000000003</v>
      </c>
      <c r="D148" s="57">
        <v>4.2299999999999997E-2</v>
      </c>
      <c r="E148" s="44">
        <v>0.10100000000000001</v>
      </c>
    </row>
    <row r="149" spans="2:5">
      <c r="B149" s="148" t="s">
        <v>168</v>
      </c>
      <c r="C149" s="151">
        <v>7.63</v>
      </c>
      <c r="D149" s="150">
        <v>10.199999999999999</v>
      </c>
      <c r="E149" s="151">
        <v>156</v>
      </c>
    </row>
    <row r="150" spans="2:5">
      <c r="B150" s="36" t="s">
        <v>169</v>
      </c>
      <c r="C150" s="44">
        <v>11.6</v>
      </c>
      <c r="D150" s="57">
        <v>10.6</v>
      </c>
      <c r="E150" s="44">
        <v>156</v>
      </c>
    </row>
    <row r="151" spans="2:5">
      <c r="B151" s="36" t="s">
        <v>170</v>
      </c>
      <c r="C151" s="44">
        <v>1.32</v>
      </c>
      <c r="D151" s="57">
        <v>0.52600000000000002</v>
      </c>
      <c r="E151" s="44">
        <v>4.6100000000000003</v>
      </c>
    </row>
    <row r="152" spans="2:5">
      <c r="B152" s="36" t="s">
        <v>171</v>
      </c>
      <c r="C152" s="44">
        <v>1330</v>
      </c>
      <c r="D152" s="57">
        <v>2210</v>
      </c>
      <c r="E152" s="44">
        <v>3890</v>
      </c>
    </row>
    <row r="153" spans="2:5">
      <c r="B153" s="36" t="s">
        <v>172</v>
      </c>
      <c r="C153" s="44">
        <v>6.2800000000000005E-11</v>
      </c>
      <c r="D153" s="57">
        <v>3.0099999999999998E-11</v>
      </c>
      <c r="E153" s="44">
        <v>5.2700000000000004E-10</v>
      </c>
    </row>
    <row r="154" spans="2:5">
      <c r="B154" s="36" t="s">
        <v>173</v>
      </c>
      <c r="C154" s="44">
        <v>5.4900000000000001E-3</v>
      </c>
      <c r="D154" s="57">
        <v>4.7699999999999999E-3</v>
      </c>
      <c r="E154" s="44">
        <v>9.3100000000000006E-3</v>
      </c>
    </row>
    <row r="155" spans="2:5">
      <c r="B155" s="36" t="s">
        <v>174</v>
      </c>
      <c r="C155" s="44">
        <v>0.152</v>
      </c>
      <c r="D155" s="57">
        <v>0.28299999999999997</v>
      </c>
      <c r="E155" s="44">
        <v>0.19500000000000001</v>
      </c>
    </row>
    <row r="156" spans="2:5" ht="15.75" thickBot="1"/>
    <row r="157" spans="2:5" ht="15.75" thickBot="1">
      <c r="B157" s="174" t="s">
        <v>592</v>
      </c>
      <c r="C157" s="175"/>
      <c r="D157" s="175"/>
      <c r="E157" s="176"/>
    </row>
    <row r="158" spans="2:5">
      <c r="B158" s="73" t="s">
        <v>179</v>
      </c>
      <c r="C158" s="137" t="s">
        <v>189</v>
      </c>
      <c r="D158" s="115" t="s">
        <v>595</v>
      </c>
      <c r="E158" s="115" t="s">
        <v>596</v>
      </c>
    </row>
    <row r="159" spans="2:5" ht="45" customHeight="1">
      <c r="B159" s="167" t="s">
        <v>605</v>
      </c>
      <c r="C159" s="169">
        <v>0.5</v>
      </c>
      <c r="D159" s="177" t="s">
        <v>599</v>
      </c>
      <c r="E159" s="177" t="s">
        <v>657</v>
      </c>
    </row>
    <row r="160" spans="2:5">
      <c r="B160" s="168"/>
      <c r="C160" s="170"/>
      <c r="D160" s="178"/>
      <c r="E160" s="178"/>
    </row>
    <row r="161" spans="2:6" ht="30">
      <c r="B161" s="34" t="s">
        <v>600</v>
      </c>
      <c r="C161" s="134">
        <v>0</v>
      </c>
      <c r="D161" s="37" t="s">
        <v>607</v>
      </c>
      <c r="E161" s="138" t="s">
        <v>598</v>
      </c>
    </row>
    <row r="162" spans="2:6" ht="80.25" customHeight="1">
      <c r="B162" s="139" t="s">
        <v>601</v>
      </c>
      <c r="C162" s="158" t="s">
        <v>753</v>
      </c>
      <c r="D162" s="34" t="s">
        <v>754</v>
      </c>
      <c r="E162" s="36" t="s">
        <v>606</v>
      </c>
    </row>
    <row r="163" spans="2:6" ht="45">
      <c r="B163" s="34" t="s">
        <v>602</v>
      </c>
      <c r="C163" s="134">
        <v>1</v>
      </c>
      <c r="D163" s="37" t="s">
        <v>631</v>
      </c>
      <c r="E163" s="138" t="s">
        <v>597</v>
      </c>
    </row>
    <row r="164" spans="2:6" ht="75">
      <c r="B164" s="139" t="s">
        <v>603</v>
      </c>
      <c r="C164" s="136">
        <v>0.52</v>
      </c>
      <c r="D164" s="155" t="s">
        <v>658</v>
      </c>
      <c r="E164" s="36" t="s">
        <v>659</v>
      </c>
    </row>
    <row r="165" spans="2:6" ht="208.5" customHeight="1">
      <c r="B165" s="34" t="s">
        <v>604</v>
      </c>
      <c r="C165" s="136" t="s">
        <v>639</v>
      </c>
      <c r="D165" s="36" t="s">
        <v>678</v>
      </c>
      <c r="E165" s="36" t="s">
        <v>679</v>
      </c>
      <c r="F165" s="140"/>
    </row>
    <row r="166" spans="2:6" ht="15.75" thickBot="1"/>
    <row r="167" spans="2:6" ht="15.75" thickBot="1">
      <c r="B167" s="171" t="s">
        <v>213</v>
      </c>
      <c r="C167" s="172"/>
      <c r="D167" s="172"/>
      <c r="E167" s="173"/>
    </row>
    <row r="168" spans="2:6" ht="15.75" thickBot="1"/>
    <row r="169" spans="2:6" ht="15.75" thickBot="1">
      <c r="B169" s="171" t="s">
        <v>593</v>
      </c>
      <c r="C169" s="172"/>
      <c r="D169" s="172"/>
      <c r="E169" s="172"/>
      <c r="F169" s="173"/>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8" t="s">
        <v>168</v>
      </c>
      <c r="C176" s="151">
        <v>84.6</v>
      </c>
      <c r="D176" s="150">
        <f>2.66+20.6+0.562</f>
        <v>23.822000000000003</v>
      </c>
      <c r="E176" s="151">
        <v>414</v>
      </c>
      <c r="F176" s="151">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75" thickBot="1"/>
    <row r="184" spans="2:6" ht="15.75" thickBot="1">
      <c r="B184" s="174" t="s">
        <v>594</v>
      </c>
      <c r="C184" s="175"/>
      <c r="D184" s="175"/>
      <c r="E184" s="176"/>
    </row>
    <row r="185" spans="2:6">
      <c r="B185" s="73" t="s">
        <v>179</v>
      </c>
      <c r="C185" s="137" t="s">
        <v>189</v>
      </c>
      <c r="D185" s="115" t="s">
        <v>595</v>
      </c>
      <c r="E185" s="115" t="s">
        <v>596</v>
      </c>
    </row>
    <row r="186" spans="2:6">
      <c r="B186" s="167" t="s">
        <v>605</v>
      </c>
      <c r="C186" s="169" t="s">
        <v>293</v>
      </c>
      <c r="D186" s="177" t="s">
        <v>608</v>
      </c>
      <c r="E186" s="177" t="s">
        <v>628</v>
      </c>
    </row>
    <row r="187" spans="2:6">
      <c r="B187" s="168"/>
      <c r="C187" s="170"/>
      <c r="D187" s="178"/>
      <c r="E187" s="178"/>
    </row>
    <row r="188" spans="2:6" ht="135">
      <c r="B188" s="34" t="s">
        <v>600</v>
      </c>
      <c r="C188" s="134">
        <v>0.6</v>
      </c>
      <c r="D188" s="36" t="s">
        <v>663</v>
      </c>
      <c r="E188" s="36" t="s">
        <v>614</v>
      </c>
    </row>
    <row r="189" spans="2:6" ht="120">
      <c r="B189" s="139" t="s">
        <v>601</v>
      </c>
      <c r="C189" s="134" t="s">
        <v>557</v>
      </c>
      <c r="D189" s="34" t="s">
        <v>615</v>
      </c>
      <c r="E189" s="36" t="s">
        <v>616</v>
      </c>
    </row>
    <row r="190" spans="2:6">
      <c r="B190" s="34" t="s">
        <v>602</v>
      </c>
      <c r="C190" s="134">
        <v>1</v>
      </c>
      <c r="D190" s="1" t="s">
        <v>607</v>
      </c>
      <c r="E190" s="1" t="s">
        <v>597</v>
      </c>
    </row>
    <row r="191" spans="2:6" ht="69.75" customHeight="1">
      <c r="B191" s="81" t="s">
        <v>603</v>
      </c>
      <c r="C191" s="159" t="s">
        <v>763</v>
      </c>
      <c r="D191" s="36" t="s">
        <v>673</v>
      </c>
      <c r="E191" s="45" t="s">
        <v>676</v>
      </c>
    </row>
    <row r="192" spans="2:6" ht="72" customHeight="1">
      <c r="B192" s="34" t="s">
        <v>604</v>
      </c>
      <c r="C192" s="158" t="s">
        <v>639</v>
      </c>
      <c r="D192" s="36" t="s">
        <v>675</v>
      </c>
      <c r="E192" s="36" t="s">
        <v>677</v>
      </c>
    </row>
  </sheetData>
  <mergeCells count="42">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J6"/>
  <sheetViews>
    <sheetView tabSelected="1" zoomScale="115" zoomScaleNormal="115" workbookViewId="0">
      <selection activeCell="M8" sqref="M8"/>
    </sheetView>
  </sheetViews>
  <sheetFormatPr baseColWidth="10" defaultColWidth="9.140625" defaultRowHeight="15"/>
  <cols>
    <col min="1" max="1" width="13" bestFit="1" customWidth="1"/>
    <col min="2" max="3" width="15.42578125" bestFit="1" customWidth="1"/>
    <col min="4" max="5" width="16.28515625" bestFit="1" customWidth="1"/>
    <col min="6" max="6" width="16.7109375" bestFit="1" customWidth="1"/>
    <col min="7" max="7" width="18.42578125" customWidth="1"/>
    <col min="8" max="8" width="20.28515625" customWidth="1"/>
    <col min="9" max="9" width="28" customWidth="1"/>
    <col min="10" max="10" width="25.140625" customWidth="1"/>
  </cols>
  <sheetData>
    <row r="1" spans="1:10">
      <c r="B1" t="s">
        <v>744</v>
      </c>
      <c r="C1" t="s">
        <v>745</v>
      </c>
      <c r="D1" t="s">
        <v>746</v>
      </c>
      <c r="E1" t="s">
        <v>747</v>
      </c>
      <c r="F1" t="s">
        <v>748</v>
      </c>
      <c r="G1" t="s">
        <v>742</v>
      </c>
      <c r="H1" t="s">
        <v>743</v>
      </c>
      <c r="I1" t="s">
        <v>799</v>
      </c>
      <c r="J1" t="s">
        <v>798</v>
      </c>
    </row>
    <row r="2" spans="1:10">
      <c r="A2" t="s">
        <v>724</v>
      </c>
      <c r="B2">
        <v>0</v>
      </c>
      <c r="C2">
        <v>0</v>
      </c>
      <c r="D2">
        <v>0</v>
      </c>
      <c r="E2">
        <v>0</v>
      </c>
      <c r="F2" s="154">
        <f>'CFF Clean Data'!F98</f>
        <v>0.186</v>
      </c>
      <c r="G2">
        <v>0</v>
      </c>
      <c r="H2" s="154">
        <f>'CFF Clean Data'!D176</f>
        <v>23.822000000000003</v>
      </c>
      <c r="I2">
        <f>(0.95*B2)+(0.05*C2)</f>
        <v>0</v>
      </c>
      <c r="J2" s="154">
        <f>(0.54*D2)+(0.045*E2)+(0.415*F2)</f>
        <v>7.7189999999999995E-2</v>
      </c>
    </row>
    <row r="3" spans="1:10">
      <c r="A3" t="s">
        <v>725</v>
      </c>
      <c r="B3">
        <f>'CFF Clean Data'!C13</f>
        <v>1.331</v>
      </c>
      <c r="C3">
        <f>'CFF Clean Data'!C28</f>
        <v>0.42699999999999999</v>
      </c>
      <c r="D3" s="154">
        <f>'CFF Clean Data'!D68</f>
        <v>0.72699999999999998</v>
      </c>
      <c r="E3" s="154">
        <f>'CFF Clean Data'!D83</f>
        <v>0.40467270881237499</v>
      </c>
      <c r="F3" s="154">
        <f>'CFF Clean Data'!D98</f>
        <v>0.369760652920962</v>
      </c>
      <c r="G3" s="154">
        <f>'CFF Clean Data'!C149</f>
        <v>7.63</v>
      </c>
      <c r="H3" s="154">
        <f>'CFF Clean Data'!C176</f>
        <v>84.6</v>
      </c>
      <c r="I3">
        <f>(0.95*B3)+(0.05*C3)</f>
        <v>1.2857999999999998</v>
      </c>
      <c r="J3" s="154">
        <f>(0.54*D3)+(0.045*E3)+(0.415*F3)</f>
        <v>0.56424094285875614</v>
      </c>
    </row>
    <row r="4" spans="1:10">
      <c r="A4" t="s">
        <v>723</v>
      </c>
      <c r="B4" s="154">
        <f>'CFF Clean Data'!D13</f>
        <v>1.1809999999999999E-2</v>
      </c>
      <c r="C4" s="154">
        <f>'CFF Clean Data'!D28</f>
        <v>5.6899999999999995E-4</v>
      </c>
      <c r="D4" s="154">
        <f>'CFF Clean Data'!E68</f>
        <v>6.4535213032581498E-3</v>
      </c>
      <c r="E4" s="154">
        <f>'CFF Clean Data'!E83</f>
        <v>5.3881952326901195E-4</v>
      </c>
      <c r="F4" s="154">
        <f>'CFF Clean Data'!E98</f>
        <v>7.4501280068728498E-3</v>
      </c>
      <c r="G4" s="154">
        <f>'CFF Clean Data'!D149</f>
        <v>10.199999999999999</v>
      </c>
      <c r="H4" s="154">
        <f>'CFF Clean Data'!F176</f>
        <v>0.81499999999999995</v>
      </c>
      <c r="I4" s="154">
        <f>(0.95*B4)+(0.05*C4)</f>
        <v>1.1247949999999998E-2</v>
      </c>
      <c r="J4" s="154">
        <f>(0.54*D4)+(0.045*E4)+(0.415*F4)</f>
        <v>6.6009515051587394E-3</v>
      </c>
    </row>
    <row r="5" spans="1:10">
      <c r="A5" t="s">
        <v>727</v>
      </c>
      <c r="B5" s="154">
        <f>'CFF Clean Data'!E13</f>
        <v>62.7</v>
      </c>
      <c r="C5" s="154">
        <f>'CFF Clean Data'!E28</f>
        <v>62.7</v>
      </c>
      <c r="D5" s="154">
        <f>'CFF Clean Data'!C68</f>
        <v>37.14</v>
      </c>
      <c r="E5" s="154">
        <f>'CFF Clean Data'!C83</f>
        <v>0.77300000000000002</v>
      </c>
      <c r="F5" s="154">
        <f>'CFF Clean Data'!C98</f>
        <v>3.83</v>
      </c>
      <c r="G5" s="154">
        <f>'CFF Clean Data'!E149</f>
        <v>156</v>
      </c>
      <c r="H5" s="154">
        <f>'CFF Clean Data'!E176</f>
        <v>414</v>
      </c>
      <c r="I5" s="154">
        <f>(0.95*B5)+(0.05*C5)</f>
        <v>62.699999999999996</v>
      </c>
      <c r="J5" s="154">
        <f>(0.54*D5)+(0.045*E5)+(0.415*F5)</f>
        <v>21.679835000000001</v>
      </c>
    </row>
    <row r="6" spans="1:10">
      <c r="A6" t="s">
        <v>726</v>
      </c>
      <c r="B6" s="154">
        <f>'CFF Clean Data'!E13</f>
        <v>62.7</v>
      </c>
      <c r="C6" s="154">
        <f>'CFF Clean Data'!E28</f>
        <v>62.7</v>
      </c>
      <c r="D6" s="154">
        <f>'CFF Clean Data'!C68</f>
        <v>37.14</v>
      </c>
      <c r="E6" s="154">
        <f>'CFF Clean Data'!C83</f>
        <v>0.77300000000000002</v>
      </c>
      <c r="F6" s="154">
        <f>'CFF Clean Data'!C98</f>
        <v>3.83</v>
      </c>
      <c r="G6" s="154">
        <f>'CFF Clean Data'!E149</f>
        <v>156</v>
      </c>
      <c r="H6" s="154">
        <f>'CFF Clean Data'!E176</f>
        <v>414</v>
      </c>
      <c r="I6" s="154">
        <f>(0.95*B6)+(0.05*C6)</f>
        <v>62.699999999999996</v>
      </c>
      <c r="J6" s="154">
        <f>(0.54*D6)+(0.045*E6)+(0.415*F6)</f>
        <v>21.679835000000001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workbookViewId="0">
      <selection activeCell="L24" sqref="L24"/>
    </sheetView>
  </sheetViews>
  <sheetFormatPr baseColWidth="10" defaultColWidth="9.140625" defaultRowHeight="15"/>
  <cols>
    <col min="1" max="1" width="40.28515625" customWidth="1"/>
    <col min="2" max="2" width="13" bestFit="1" customWidth="1"/>
    <col min="3" max="3" width="13" customWidth="1"/>
    <col min="4" max="4" width="13" bestFit="1" customWidth="1"/>
  </cols>
  <sheetData>
    <row r="1" spans="1:7">
      <c r="A1" t="s">
        <v>750</v>
      </c>
      <c r="B1" t="s">
        <v>749</v>
      </c>
      <c r="C1" t="s">
        <v>737</v>
      </c>
      <c r="D1" t="s">
        <v>733</v>
      </c>
      <c r="E1" t="s">
        <v>734</v>
      </c>
      <c r="F1" t="s">
        <v>735</v>
      </c>
      <c r="G1" t="s">
        <v>736</v>
      </c>
    </row>
    <row r="2" spans="1:7">
      <c r="A2" t="s">
        <v>744</v>
      </c>
      <c r="B2" t="s">
        <v>728</v>
      </c>
      <c r="C2" t="s">
        <v>741</v>
      </c>
      <c r="D2">
        <f>'CFF Clean Data'!C39</f>
        <v>0.2</v>
      </c>
    </row>
    <row r="3" spans="1:7">
      <c r="A3" t="s">
        <v>744</v>
      </c>
      <c r="B3" t="s">
        <v>729</v>
      </c>
      <c r="C3" t="s">
        <v>741</v>
      </c>
      <c r="D3">
        <f>'CFF Clean Data'!C40</f>
        <v>0</v>
      </c>
    </row>
    <row r="4" spans="1:7">
      <c r="A4" t="s">
        <v>744</v>
      </c>
      <c r="B4" t="s">
        <v>730</v>
      </c>
      <c r="C4" t="s">
        <v>739</v>
      </c>
      <c r="D4">
        <v>0.76</v>
      </c>
      <c r="E4">
        <v>0.9</v>
      </c>
      <c r="F4">
        <v>1</v>
      </c>
    </row>
    <row r="5" spans="1:7">
      <c r="A5" t="s">
        <v>744</v>
      </c>
      <c r="B5" t="s">
        <v>738</v>
      </c>
      <c r="C5" t="s">
        <v>741</v>
      </c>
      <c r="D5">
        <v>1</v>
      </c>
    </row>
    <row r="6" spans="1:7">
      <c r="A6" s="157" t="s">
        <v>744</v>
      </c>
      <c r="B6" t="s">
        <v>731</v>
      </c>
      <c r="C6" t="s">
        <v>740</v>
      </c>
      <c r="D6">
        <v>0.9</v>
      </c>
      <c r="E6">
        <v>0.05</v>
      </c>
      <c r="F6">
        <v>0.8</v>
      </c>
      <c r="G6">
        <v>1</v>
      </c>
    </row>
    <row r="7" spans="1:7">
      <c r="A7" s="157" t="s">
        <v>744</v>
      </c>
      <c r="B7" t="s">
        <v>732</v>
      </c>
      <c r="C7" t="s">
        <v>740</v>
      </c>
      <c r="D7">
        <v>0.9</v>
      </c>
      <c r="E7">
        <v>0.05</v>
      </c>
      <c r="F7">
        <v>0.8</v>
      </c>
      <c r="G7">
        <v>1</v>
      </c>
    </row>
    <row r="8" spans="1:7">
      <c r="A8" t="s">
        <v>745</v>
      </c>
      <c r="B8" t="s">
        <v>728</v>
      </c>
      <c r="C8" t="s">
        <v>741</v>
      </c>
      <c r="D8">
        <v>0.2</v>
      </c>
    </row>
    <row r="9" spans="1:7">
      <c r="A9" t="s">
        <v>745</v>
      </c>
      <c r="B9" t="s">
        <v>729</v>
      </c>
      <c r="C9" t="s">
        <v>741</v>
      </c>
      <c r="D9">
        <v>0</v>
      </c>
    </row>
    <row r="10" spans="1:7">
      <c r="A10" s="157" t="s">
        <v>745</v>
      </c>
      <c r="B10" t="s">
        <v>730</v>
      </c>
      <c r="C10" t="s">
        <v>739</v>
      </c>
      <c r="D10">
        <v>0.81</v>
      </c>
      <c r="E10">
        <v>0.88</v>
      </c>
      <c r="F10">
        <v>0.96</v>
      </c>
    </row>
    <row r="11" spans="1:7">
      <c r="A11" t="s">
        <v>745</v>
      </c>
      <c r="B11" t="s">
        <v>738</v>
      </c>
      <c r="C11" t="s">
        <v>741</v>
      </c>
      <c r="D11">
        <v>1</v>
      </c>
    </row>
    <row r="12" spans="1:7">
      <c r="A12" s="157" t="s">
        <v>745</v>
      </c>
      <c r="B12" t="s">
        <v>731</v>
      </c>
      <c r="C12" t="s">
        <v>739</v>
      </c>
      <c r="D12">
        <v>0.9</v>
      </c>
      <c r="E12">
        <v>0.55000000000000004</v>
      </c>
      <c r="F12">
        <v>1</v>
      </c>
    </row>
    <row r="13" spans="1:7">
      <c r="A13" s="157" t="s">
        <v>745</v>
      </c>
      <c r="B13" t="s">
        <v>732</v>
      </c>
      <c r="C13" t="s">
        <v>739</v>
      </c>
      <c r="D13">
        <v>0.9</v>
      </c>
      <c r="E13">
        <v>0.55000000000000004</v>
      </c>
      <c r="F13">
        <v>1</v>
      </c>
    </row>
    <row r="14" spans="1:7">
      <c r="A14" t="s">
        <v>746</v>
      </c>
      <c r="B14" t="s">
        <v>728</v>
      </c>
      <c r="C14" t="s">
        <v>741</v>
      </c>
      <c r="D14">
        <v>0.2</v>
      </c>
    </row>
    <row r="15" spans="1:7">
      <c r="A15" t="s">
        <v>746</v>
      </c>
      <c r="B15" t="s">
        <v>729</v>
      </c>
      <c r="C15" t="s">
        <v>741</v>
      </c>
      <c r="D15">
        <v>0</v>
      </c>
    </row>
    <row r="16" spans="1:7">
      <c r="A16" t="s">
        <v>746</v>
      </c>
      <c r="B16" t="s">
        <v>730</v>
      </c>
      <c r="C16" t="s">
        <v>739</v>
      </c>
      <c r="D16">
        <v>0.76</v>
      </c>
      <c r="E16">
        <v>0.9</v>
      </c>
      <c r="F16">
        <v>1</v>
      </c>
    </row>
    <row r="17" spans="1:7">
      <c r="A17" t="s">
        <v>746</v>
      </c>
      <c r="B17" t="s">
        <v>738</v>
      </c>
      <c r="C17" t="s">
        <v>741</v>
      </c>
    </row>
    <row r="18" spans="1:7">
      <c r="A18" t="s">
        <v>746</v>
      </c>
      <c r="B18" t="s">
        <v>731</v>
      </c>
      <c r="C18" t="s">
        <v>740</v>
      </c>
      <c r="D18">
        <v>0.997</v>
      </c>
      <c r="E18">
        <v>2E-3</v>
      </c>
      <c r="F18">
        <v>0.995</v>
      </c>
      <c r="G18">
        <v>1</v>
      </c>
    </row>
    <row r="19" spans="1:7">
      <c r="A19" t="s">
        <v>746</v>
      </c>
      <c r="B19" t="s">
        <v>732</v>
      </c>
      <c r="C19" t="s">
        <v>740</v>
      </c>
      <c r="D19">
        <v>0.9</v>
      </c>
      <c r="E19">
        <v>0.1</v>
      </c>
      <c r="F19">
        <v>0.52</v>
      </c>
      <c r="G19">
        <v>1</v>
      </c>
    </row>
    <row r="20" spans="1:7">
      <c r="A20" t="s">
        <v>747</v>
      </c>
      <c r="B20" t="s">
        <v>728</v>
      </c>
      <c r="C20" t="s">
        <v>741</v>
      </c>
      <c r="D20">
        <v>0.2</v>
      </c>
    </row>
    <row r="21" spans="1:7">
      <c r="A21" t="s">
        <v>747</v>
      </c>
      <c r="B21" t="s">
        <v>729</v>
      </c>
      <c r="C21" t="s">
        <v>741</v>
      </c>
      <c r="D21">
        <v>0</v>
      </c>
    </row>
    <row r="22" spans="1:7">
      <c r="A22" t="s">
        <v>747</v>
      </c>
      <c r="B22" t="s">
        <v>730</v>
      </c>
      <c r="C22" t="s">
        <v>739</v>
      </c>
      <c r="D22">
        <v>0.81</v>
      </c>
      <c r="E22">
        <v>0.85</v>
      </c>
      <c r="F22">
        <v>0.9</v>
      </c>
    </row>
    <row r="23" spans="1:7">
      <c r="A23" t="s">
        <v>747</v>
      </c>
      <c r="B23" t="s">
        <v>738</v>
      </c>
      <c r="C23" t="s">
        <v>741</v>
      </c>
      <c r="D23">
        <v>1</v>
      </c>
    </row>
    <row r="24" spans="1:7">
      <c r="A24" t="s">
        <v>747</v>
      </c>
      <c r="B24" t="s">
        <v>731</v>
      </c>
      <c r="C24" t="s">
        <v>741</v>
      </c>
      <c r="D24">
        <v>1</v>
      </c>
    </row>
    <row r="25" spans="1:7">
      <c r="A25" t="s">
        <v>747</v>
      </c>
      <c r="B25" t="s">
        <v>732</v>
      </c>
      <c r="C25" t="s">
        <v>741</v>
      </c>
      <c r="D25">
        <v>1</v>
      </c>
    </row>
    <row r="26" spans="1:7">
      <c r="A26" t="s">
        <v>748</v>
      </c>
      <c r="B26" t="s">
        <v>728</v>
      </c>
      <c r="C26" t="s">
        <v>740</v>
      </c>
      <c r="D26">
        <v>0.65</v>
      </c>
      <c r="E26">
        <v>0.1</v>
      </c>
      <c r="F26">
        <v>0.5</v>
      </c>
      <c r="G26">
        <v>0.8</v>
      </c>
    </row>
    <row r="27" spans="1:7">
      <c r="A27" t="s">
        <v>748</v>
      </c>
      <c r="B27" t="s">
        <v>729</v>
      </c>
      <c r="C27" t="s">
        <v>741</v>
      </c>
    </row>
    <row r="28" spans="1:7">
      <c r="A28" t="s">
        <v>748</v>
      </c>
      <c r="B28" t="s">
        <v>730</v>
      </c>
      <c r="C28" t="s">
        <v>739</v>
      </c>
      <c r="D28">
        <v>0</v>
      </c>
      <c r="E28">
        <v>0.1</v>
      </c>
      <c r="F28">
        <v>0.13</v>
      </c>
    </row>
    <row r="29" spans="1:7">
      <c r="A29" t="s">
        <v>748</v>
      </c>
      <c r="B29" t="s">
        <v>738</v>
      </c>
      <c r="C29" t="s">
        <v>741</v>
      </c>
    </row>
    <row r="30" spans="1:7">
      <c r="A30" s="157" t="s">
        <v>748</v>
      </c>
      <c r="B30" t="s">
        <v>731</v>
      </c>
      <c r="C30" t="s">
        <v>740</v>
      </c>
      <c r="D30">
        <v>0.7</v>
      </c>
      <c r="E30">
        <v>0.2</v>
      </c>
      <c r="F30">
        <v>0.36</v>
      </c>
      <c r="G30">
        <v>0.9</v>
      </c>
    </row>
    <row r="31" spans="1:7">
      <c r="A31" t="s">
        <v>748</v>
      </c>
      <c r="B31" t="s">
        <v>732</v>
      </c>
      <c r="C31" t="s">
        <v>740</v>
      </c>
      <c r="D31">
        <v>0.6</v>
      </c>
      <c r="E31">
        <v>0.2</v>
      </c>
      <c r="F31">
        <v>0.28999999999999998</v>
      </c>
      <c r="G31">
        <v>0.8</v>
      </c>
    </row>
    <row r="32" spans="1:7">
      <c r="A32" t="s">
        <v>742</v>
      </c>
      <c r="B32" t="s">
        <v>728</v>
      </c>
      <c r="C32" t="s">
        <v>740</v>
      </c>
      <c r="D32">
        <v>0.5</v>
      </c>
      <c r="E32">
        <v>0.05</v>
      </c>
      <c r="F32">
        <v>0.45</v>
      </c>
      <c r="G32">
        <v>0.55000000000000004</v>
      </c>
    </row>
    <row r="33" spans="1:7">
      <c r="A33" t="s">
        <v>742</v>
      </c>
      <c r="B33" t="s">
        <v>729</v>
      </c>
      <c r="C33" t="s">
        <v>741</v>
      </c>
      <c r="D33">
        <v>0</v>
      </c>
    </row>
    <row r="34" spans="1:7">
      <c r="A34" s="157" t="s">
        <v>742</v>
      </c>
      <c r="B34" t="s">
        <v>730</v>
      </c>
      <c r="C34" t="s">
        <v>739</v>
      </c>
      <c r="D34">
        <v>0</v>
      </c>
      <c r="E34" s="106">
        <v>0.7</v>
      </c>
      <c r="F34" s="106">
        <v>0.7</v>
      </c>
    </row>
    <row r="35" spans="1:7">
      <c r="A35" t="s">
        <v>742</v>
      </c>
      <c r="B35" t="s">
        <v>738</v>
      </c>
      <c r="C35" t="s">
        <v>741</v>
      </c>
      <c r="D35">
        <v>1</v>
      </c>
    </row>
    <row r="36" spans="1:7">
      <c r="A36" t="s">
        <v>742</v>
      </c>
      <c r="B36" t="s">
        <v>731</v>
      </c>
      <c r="C36" t="s">
        <v>740</v>
      </c>
      <c r="D36">
        <v>0.52</v>
      </c>
      <c r="E36">
        <v>0.05</v>
      </c>
      <c r="F36">
        <v>0.47</v>
      </c>
      <c r="G36">
        <v>0.59</v>
      </c>
    </row>
    <row r="37" spans="1:7">
      <c r="A37" t="s">
        <v>742</v>
      </c>
      <c r="B37" t="s">
        <v>732</v>
      </c>
      <c r="C37" t="s">
        <v>740</v>
      </c>
      <c r="D37">
        <v>0.85</v>
      </c>
      <c r="E37">
        <v>0.15</v>
      </c>
      <c r="F37">
        <v>0.5</v>
      </c>
      <c r="G37">
        <v>1</v>
      </c>
    </row>
    <row r="38" spans="1:7">
      <c r="A38" t="s">
        <v>743</v>
      </c>
      <c r="B38" t="s">
        <v>728</v>
      </c>
      <c r="C38" t="s">
        <v>740</v>
      </c>
      <c r="D38">
        <v>0.6</v>
      </c>
      <c r="E38">
        <v>0.1</v>
      </c>
      <c r="F38">
        <v>0.5</v>
      </c>
      <c r="G38">
        <v>0.7</v>
      </c>
    </row>
    <row r="39" spans="1:7">
      <c r="A39" t="s">
        <v>743</v>
      </c>
      <c r="B39" t="s">
        <v>729</v>
      </c>
      <c r="C39" t="s">
        <v>740</v>
      </c>
      <c r="D39">
        <v>0.6</v>
      </c>
      <c r="E39">
        <v>0.2</v>
      </c>
      <c r="F39">
        <v>0</v>
      </c>
      <c r="G39">
        <v>1</v>
      </c>
    </row>
    <row r="40" spans="1:7">
      <c r="A40" t="s">
        <v>743</v>
      </c>
      <c r="B40" t="s">
        <v>730</v>
      </c>
      <c r="C40" t="s">
        <v>739</v>
      </c>
      <c r="D40">
        <v>0</v>
      </c>
      <c r="E40" s="106">
        <v>0.4</v>
      </c>
      <c r="F40" s="106">
        <v>0.8</v>
      </c>
    </row>
    <row r="41" spans="1:7">
      <c r="A41" t="s">
        <v>743</v>
      </c>
      <c r="B41" t="s">
        <v>738</v>
      </c>
      <c r="C41" t="s">
        <v>741</v>
      </c>
      <c r="D41">
        <v>1</v>
      </c>
    </row>
    <row r="42" spans="1:7">
      <c r="A42" s="157" t="s">
        <v>743</v>
      </c>
      <c r="B42" t="s">
        <v>731</v>
      </c>
      <c r="C42" t="s">
        <v>740</v>
      </c>
      <c r="D42">
        <v>0.45</v>
      </c>
      <c r="E42">
        <v>0.1</v>
      </c>
      <c r="F42">
        <v>0.3</v>
      </c>
      <c r="G42">
        <v>0.56000000000000005</v>
      </c>
    </row>
    <row r="43" spans="1:7">
      <c r="A43" s="157" t="s">
        <v>743</v>
      </c>
      <c r="B43" t="s">
        <v>732</v>
      </c>
      <c r="C43" t="s">
        <v>740</v>
      </c>
      <c r="D43">
        <v>0.75</v>
      </c>
      <c r="E43">
        <v>0.2</v>
      </c>
      <c r="F43">
        <v>0.5</v>
      </c>
      <c r="G43">
        <v>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topLeftCell="A28" zoomScale="112" workbookViewId="0">
      <selection activeCell="I41" sqref="I41"/>
    </sheetView>
  </sheetViews>
  <sheetFormatPr baseColWidth="10" defaultColWidth="10.85546875" defaultRowHeight="15"/>
  <cols>
    <col min="2" max="2" width="15.85546875" customWidth="1"/>
    <col min="3" max="3" width="26" customWidth="1"/>
    <col min="5" max="5" width="34.28515625" customWidth="1"/>
    <col min="7" max="7" width="28.42578125" customWidth="1"/>
    <col min="9" max="9" width="22" customWidth="1"/>
    <col min="11" max="11" width="13.85546875" customWidth="1"/>
  </cols>
  <sheetData>
    <row r="2" spans="2:7" ht="21">
      <c r="B2" s="11" t="s">
        <v>24</v>
      </c>
    </row>
    <row r="3" spans="2:7" ht="15.75" thickBot="1"/>
    <row r="4" spans="2:7" ht="33" customHeight="1" thickBot="1">
      <c r="B4" s="15" t="s">
        <v>40</v>
      </c>
      <c r="C4" s="192" t="s">
        <v>41</v>
      </c>
      <c r="D4" s="193"/>
      <c r="E4" s="193"/>
      <c r="F4" s="193"/>
      <c r="G4" s="194"/>
    </row>
    <row r="5" spans="2:7" ht="15.75" thickBot="1"/>
    <row r="6" spans="2:7">
      <c r="B6" s="195" t="s">
        <v>25</v>
      </c>
      <c r="C6" s="196"/>
      <c r="D6" s="196"/>
      <c r="E6" s="196"/>
      <c r="F6" s="196"/>
      <c r="G6" s="197"/>
    </row>
    <row r="7" spans="2:7">
      <c r="B7" s="198" t="s">
        <v>42</v>
      </c>
      <c r="C7" s="199"/>
      <c r="D7" s="199"/>
      <c r="E7" s="199"/>
      <c r="F7" s="199"/>
      <c r="G7" s="200"/>
    </row>
    <row r="8" spans="2:7" ht="30.75" customHeight="1">
      <c r="B8" s="12" t="s">
        <v>26</v>
      </c>
      <c r="C8" s="187" t="s">
        <v>27</v>
      </c>
      <c r="D8" s="187"/>
      <c r="E8" s="187"/>
      <c r="F8" s="187"/>
      <c r="G8" s="188"/>
    </row>
    <row r="9" spans="2:7" ht="36" customHeight="1">
      <c r="B9" s="12" t="s">
        <v>28</v>
      </c>
      <c r="C9" s="187" t="s">
        <v>29</v>
      </c>
      <c r="D9" s="187"/>
      <c r="E9" s="187"/>
      <c r="F9" s="187"/>
      <c r="G9" s="188"/>
    </row>
    <row r="10" spans="2:7" ht="34.5" customHeight="1">
      <c r="B10" s="12" t="s">
        <v>30</v>
      </c>
      <c r="C10" s="187" t="s">
        <v>31</v>
      </c>
      <c r="D10" s="187"/>
      <c r="E10" s="187"/>
      <c r="F10" s="187"/>
      <c r="G10" s="188"/>
    </row>
    <row r="11" spans="2:7">
      <c r="B11" s="189" t="s">
        <v>32</v>
      </c>
      <c r="C11" s="190"/>
      <c r="D11" s="190"/>
      <c r="E11" s="190"/>
      <c r="F11" s="190"/>
      <c r="G11" s="191"/>
    </row>
    <row r="12" spans="2:7">
      <c r="B12" s="204" t="s">
        <v>33</v>
      </c>
      <c r="C12" s="205"/>
      <c r="D12" s="205" t="s">
        <v>34</v>
      </c>
      <c r="E12" s="205"/>
      <c r="F12" s="205" t="s">
        <v>35</v>
      </c>
      <c r="G12" s="206"/>
    </row>
    <row r="13" spans="2:7">
      <c r="B13" s="13" t="s">
        <v>36</v>
      </c>
      <c r="C13" s="16" t="s">
        <v>37</v>
      </c>
      <c r="D13" s="207"/>
      <c r="E13" s="208"/>
      <c r="F13" s="207"/>
      <c r="G13" s="209"/>
    </row>
    <row r="14" spans="2:7">
      <c r="B14" s="198"/>
      <c r="C14" s="211"/>
      <c r="D14" s="14" t="s">
        <v>36</v>
      </c>
      <c r="E14" s="17" t="s">
        <v>38</v>
      </c>
      <c r="F14" s="210"/>
      <c r="G14" s="200"/>
    </row>
    <row r="15" spans="2:7" ht="27.75" customHeight="1" thickBot="1">
      <c r="B15" s="212"/>
      <c r="C15" s="213"/>
      <c r="D15" s="214"/>
      <c r="E15" s="213"/>
      <c r="F15" s="215" t="s">
        <v>39</v>
      </c>
      <c r="G15" s="216"/>
    </row>
    <row r="19" spans="2:7" ht="15.75" thickBot="1"/>
    <row r="20" spans="2:7" ht="37.5" customHeight="1" thickBot="1">
      <c r="B20" s="15" t="s">
        <v>43</v>
      </c>
      <c r="C20" s="192" t="s">
        <v>44</v>
      </c>
      <c r="D20" s="193"/>
      <c r="E20" s="193"/>
      <c r="F20" s="193"/>
      <c r="G20" s="194"/>
    </row>
    <row r="21" spans="2:7" ht="15.75" thickBot="1"/>
    <row r="22" spans="2:7">
      <c r="B22" s="201" t="s">
        <v>32</v>
      </c>
      <c r="C22" s="202"/>
      <c r="D22" s="202"/>
      <c r="E22" s="202"/>
      <c r="F22" s="202"/>
      <c r="G22" s="203"/>
    </row>
    <row r="23" spans="2:7">
      <c r="B23" s="204" t="s">
        <v>33</v>
      </c>
      <c r="C23" s="205"/>
      <c r="D23" s="205" t="s">
        <v>34</v>
      </c>
      <c r="E23" s="205"/>
      <c r="F23" s="205" t="s">
        <v>35</v>
      </c>
      <c r="G23" s="206"/>
    </row>
    <row r="24" spans="2:7" ht="39" customHeight="1">
      <c r="B24" s="217" t="s">
        <v>46</v>
      </c>
      <c r="C24" s="218"/>
      <c r="D24" s="207"/>
      <c r="E24" s="208"/>
      <c r="F24" s="207"/>
      <c r="G24" s="209"/>
    </row>
    <row r="25" spans="2:7">
      <c r="B25" s="198"/>
      <c r="C25" s="211"/>
      <c r="D25" s="14" t="s">
        <v>36</v>
      </c>
      <c r="E25" s="22" t="s">
        <v>186</v>
      </c>
      <c r="F25" s="210"/>
      <c r="G25" s="200"/>
    </row>
    <row r="26" spans="2:7">
      <c r="B26" s="219"/>
      <c r="C26" s="220"/>
      <c r="D26" s="221"/>
      <c r="E26" s="220"/>
      <c r="F26" s="222" t="s">
        <v>47</v>
      </c>
      <c r="G26" s="223"/>
    </row>
    <row r="27" spans="2:7">
      <c r="B27" s="224" t="s">
        <v>45</v>
      </c>
      <c r="C27" s="225"/>
      <c r="D27" s="225"/>
      <c r="E27" s="225"/>
      <c r="F27" s="225"/>
      <c r="G27" s="226"/>
    </row>
    <row r="28" spans="2:7" ht="15.75" thickBot="1">
      <c r="B28" s="227"/>
      <c r="C28" s="228"/>
      <c r="D28" s="228"/>
      <c r="E28" s="228"/>
      <c r="F28" s="228"/>
      <c r="G28" s="229"/>
    </row>
    <row r="33" spans="2:11" ht="15.75" thickBot="1"/>
    <row r="34" spans="2:11" ht="58.5" customHeight="1" thickBot="1">
      <c r="B34" s="15" t="s">
        <v>48</v>
      </c>
      <c r="C34" s="192" t="s">
        <v>49</v>
      </c>
      <c r="D34" s="193"/>
      <c r="E34" s="193"/>
      <c r="F34" s="193"/>
      <c r="G34" s="194"/>
    </row>
    <row r="35" spans="2:11" ht="15.75" thickBot="1"/>
    <row r="36" spans="2:11">
      <c r="B36" s="201" t="s">
        <v>32</v>
      </c>
      <c r="C36" s="202"/>
      <c r="D36" s="202"/>
      <c r="E36" s="202"/>
      <c r="F36" s="202"/>
      <c r="G36" s="202"/>
      <c r="H36" s="202"/>
      <c r="I36" s="202"/>
      <c r="J36" s="202"/>
      <c r="K36" s="203"/>
    </row>
    <row r="37" spans="2:11">
      <c r="B37" s="204" t="s">
        <v>33</v>
      </c>
      <c r="C37" s="205"/>
      <c r="D37" s="205" t="s">
        <v>34</v>
      </c>
      <c r="E37" s="205"/>
      <c r="F37" s="205" t="s">
        <v>35</v>
      </c>
      <c r="G37" s="205"/>
      <c r="H37" s="205" t="s">
        <v>50</v>
      </c>
      <c r="I37" s="205"/>
      <c r="J37" s="205" t="s">
        <v>51</v>
      </c>
      <c r="K37" s="206"/>
    </row>
    <row r="38" spans="2:11" ht="15" customHeight="1">
      <c r="B38" s="230" t="s">
        <v>52</v>
      </c>
      <c r="C38" s="231"/>
      <c r="D38" s="207"/>
      <c r="E38" s="208"/>
      <c r="F38" s="207"/>
      <c r="G38" s="208"/>
      <c r="H38" s="207"/>
      <c r="I38" s="208"/>
      <c r="J38" s="207"/>
      <c r="K38" s="209"/>
    </row>
    <row r="39" spans="2:11" ht="30">
      <c r="B39" s="198"/>
      <c r="C39" s="211"/>
      <c r="D39" s="14" t="s">
        <v>36</v>
      </c>
      <c r="E39" s="17" t="s">
        <v>53</v>
      </c>
      <c r="F39" s="210"/>
      <c r="G39" s="211"/>
      <c r="H39" s="210"/>
      <c r="I39" s="211"/>
      <c r="J39" s="210"/>
      <c r="K39" s="200"/>
    </row>
    <row r="40" spans="2:11" ht="30">
      <c r="B40" s="198"/>
      <c r="C40" s="211"/>
      <c r="D40" s="210"/>
      <c r="E40" s="211"/>
      <c r="F40" s="14" t="s">
        <v>36</v>
      </c>
      <c r="G40" s="17" t="s">
        <v>54</v>
      </c>
      <c r="H40" s="210"/>
      <c r="I40" s="211"/>
      <c r="J40" s="210"/>
      <c r="K40" s="200"/>
    </row>
    <row r="41" spans="2:11" ht="45">
      <c r="B41" s="198"/>
      <c r="C41" s="211"/>
      <c r="D41" s="210"/>
      <c r="E41" s="211"/>
      <c r="F41" s="210"/>
      <c r="G41" s="211"/>
      <c r="H41" s="14" t="s">
        <v>36</v>
      </c>
      <c r="I41" s="17" t="s">
        <v>55</v>
      </c>
      <c r="J41" s="210"/>
      <c r="K41" s="200"/>
    </row>
    <row r="42" spans="2:11">
      <c r="B42" s="198"/>
      <c r="C42" s="211"/>
      <c r="D42" s="210"/>
      <c r="E42" s="211"/>
      <c r="F42" s="210"/>
      <c r="G42" s="211"/>
      <c r="H42" s="210"/>
      <c r="I42" s="211"/>
      <c r="J42" s="232" t="s">
        <v>56</v>
      </c>
      <c r="K42" s="233"/>
    </row>
    <row r="43" spans="2:11">
      <c r="B43" s="198"/>
      <c r="C43" s="211"/>
      <c r="D43" s="210"/>
      <c r="E43" s="211"/>
      <c r="F43" s="210"/>
      <c r="G43" s="211"/>
      <c r="H43" s="210"/>
      <c r="I43" s="211"/>
      <c r="J43" s="232"/>
      <c r="K43" s="233"/>
    </row>
    <row r="44" spans="2:11">
      <c r="B44" s="198"/>
      <c r="C44" s="211"/>
      <c r="D44" s="210"/>
      <c r="E44" s="211"/>
      <c r="F44" s="210"/>
      <c r="G44" s="211"/>
      <c r="H44" s="210"/>
      <c r="I44" s="211"/>
      <c r="J44" s="232"/>
      <c r="K44" s="233"/>
    </row>
    <row r="45" spans="2:11">
      <c r="B45" s="198"/>
      <c r="C45" s="211"/>
      <c r="D45" s="210"/>
      <c r="E45" s="211"/>
      <c r="F45" s="210"/>
      <c r="G45" s="211"/>
      <c r="H45" s="210"/>
      <c r="I45" s="211"/>
      <c r="J45" s="232"/>
      <c r="K45" s="233"/>
    </row>
    <row r="46" spans="2:11" ht="15.75" thickBot="1">
      <c r="B46" s="212"/>
      <c r="C46" s="213"/>
      <c r="D46" s="214"/>
      <c r="E46" s="213"/>
      <c r="F46" s="214"/>
      <c r="G46" s="213"/>
      <c r="H46" s="214"/>
      <c r="I46" s="213"/>
      <c r="J46" s="234"/>
      <c r="K46" s="216"/>
    </row>
    <row r="51" spans="2:13" ht="15.75" thickBot="1"/>
    <row r="52" spans="2:13" ht="96.75" customHeight="1" thickBot="1">
      <c r="B52" s="15" t="s">
        <v>57</v>
      </c>
      <c r="C52" s="192" t="s">
        <v>58</v>
      </c>
      <c r="D52" s="193"/>
      <c r="E52" s="193"/>
      <c r="F52" s="193"/>
      <c r="G52" s="193"/>
      <c r="H52" s="193"/>
      <c r="I52" s="193"/>
      <c r="J52" s="193"/>
      <c r="K52" s="194"/>
    </row>
    <row r="53" spans="2:13" ht="15.75" thickBot="1"/>
    <row r="54" spans="2:13">
      <c r="B54" s="235" t="s">
        <v>32</v>
      </c>
      <c r="C54" s="236"/>
      <c r="D54" s="236"/>
      <c r="E54" s="236"/>
      <c r="F54" s="236"/>
      <c r="G54" s="236"/>
      <c r="H54" s="236"/>
      <c r="I54" s="237"/>
    </row>
    <row r="55" spans="2:13">
      <c r="B55" s="204" t="s">
        <v>33</v>
      </c>
      <c r="C55" s="205"/>
      <c r="D55" s="205" t="s">
        <v>34</v>
      </c>
      <c r="E55" s="238"/>
      <c r="F55" s="205" t="s">
        <v>35</v>
      </c>
      <c r="G55" s="205"/>
      <c r="H55" s="238" t="s">
        <v>50</v>
      </c>
      <c r="I55" s="239"/>
    </row>
    <row r="56" spans="2:13" ht="55.5" customHeight="1">
      <c r="B56" s="241" t="s">
        <v>59</v>
      </c>
      <c r="C56" s="242"/>
      <c r="D56" s="207"/>
      <c r="E56" s="208"/>
      <c r="F56" s="207"/>
      <c r="G56" s="208"/>
      <c r="H56" s="207"/>
      <c r="I56" s="209"/>
    </row>
    <row r="57" spans="2:13" ht="38.25" customHeight="1">
      <c r="B57" s="217" t="s">
        <v>60</v>
      </c>
      <c r="C57" s="218"/>
      <c r="D57" s="210"/>
      <c r="E57" s="211"/>
      <c r="F57" s="210"/>
      <c r="G57" s="211"/>
      <c r="H57" s="210"/>
      <c r="I57" s="200"/>
    </row>
    <row r="58" spans="2:13" ht="22.5" customHeight="1">
      <c r="B58" s="198"/>
      <c r="C58" s="211"/>
      <c r="D58" s="232" t="s">
        <v>63</v>
      </c>
      <c r="E58" s="240"/>
      <c r="F58" s="210"/>
      <c r="G58" s="211"/>
      <c r="H58" s="210"/>
      <c r="I58" s="200"/>
    </row>
    <row r="59" spans="2:13" ht="99.75" customHeight="1">
      <c r="B59" s="198"/>
      <c r="C59" s="211"/>
      <c r="D59" s="210"/>
      <c r="E59" s="211"/>
      <c r="F59" s="232" t="s">
        <v>61</v>
      </c>
      <c r="G59" s="240"/>
      <c r="H59" s="210"/>
      <c r="I59" s="200"/>
      <c r="M59" s="23"/>
    </row>
    <row r="60" spans="2:13">
      <c r="B60" s="198"/>
      <c r="C60" s="211"/>
      <c r="D60" s="210"/>
      <c r="E60" s="211"/>
      <c r="F60" s="210"/>
      <c r="G60" s="211"/>
      <c r="H60" s="218" t="s">
        <v>62</v>
      </c>
      <c r="I60" s="233"/>
    </row>
    <row r="61" spans="2:13">
      <c r="B61" s="198"/>
      <c r="C61" s="211"/>
      <c r="D61" s="210"/>
      <c r="E61" s="211"/>
      <c r="F61" s="210"/>
      <c r="G61" s="211"/>
      <c r="H61" s="218"/>
      <c r="I61" s="233"/>
    </row>
    <row r="62" spans="2:13">
      <c r="B62" s="198"/>
      <c r="C62" s="211"/>
      <c r="D62" s="210"/>
      <c r="E62" s="211"/>
      <c r="F62" s="210"/>
      <c r="G62" s="211"/>
      <c r="H62" s="218"/>
      <c r="I62" s="233"/>
    </row>
    <row r="63" spans="2:13" ht="15.75" thickBot="1">
      <c r="B63" s="212"/>
      <c r="C63" s="213"/>
      <c r="D63" s="214"/>
      <c r="E63" s="213"/>
      <c r="F63" s="214"/>
      <c r="G63" s="213"/>
      <c r="H63" s="215"/>
      <c r="I63" s="216"/>
    </row>
    <row r="66" spans="2:3">
      <c r="B66" t="s">
        <v>22</v>
      </c>
      <c r="C66" s="9" t="s">
        <v>23</v>
      </c>
    </row>
  </sheetData>
  <mergeCells count="61">
    <mergeCell ref="D58:E58"/>
    <mergeCell ref="B56:C56"/>
    <mergeCell ref="D56:E57"/>
    <mergeCell ref="F56:G58"/>
    <mergeCell ref="H56:I59"/>
    <mergeCell ref="B57:C57"/>
    <mergeCell ref="B58:C63"/>
    <mergeCell ref="D59:E63"/>
    <mergeCell ref="F59:G59"/>
    <mergeCell ref="F60:G63"/>
    <mergeCell ref="H60:I63"/>
    <mergeCell ref="C52:K52"/>
    <mergeCell ref="B54:I54"/>
    <mergeCell ref="B55:C55"/>
    <mergeCell ref="D55:E55"/>
    <mergeCell ref="F55:G55"/>
    <mergeCell ref="H55:I55"/>
    <mergeCell ref="H38:I40"/>
    <mergeCell ref="J38:K41"/>
    <mergeCell ref="B39:C46"/>
    <mergeCell ref="D40:E46"/>
    <mergeCell ref="F41:G46"/>
    <mergeCell ref="H42:I46"/>
    <mergeCell ref="B38:C38"/>
    <mergeCell ref="D38:E38"/>
    <mergeCell ref="F38:G39"/>
    <mergeCell ref="J42:K46"/>
    <mergeCell ref="B27:G28"/>
    <mergeCell ref="C34:G34"/>
    <mergeCell ref="B37:C37"/>
    <mergeCell ref="D37:E37"/>
    <mergeCell ref="F37:G37"/>
    <mergeCell ref="B36:K36"/>
    <mergeCell ref="H37:I37"/>
    <mergeCell ref="J37:K37"/>
    <mergeCell ref="B24:C24"/>
    <mergeCell ref="D24:E24"/>
    <mergeCell ref="F24:G25"/>
    <mergeCell ref="B25:C26"/>
    <mergeCell ref="D26:E26"/>
    <mergeCell ref="F26:G26"/>
    <mergeCell ref="B12:C12"/>
    <mergeCell ref="D12:E12"/>
    <mergeCell ref="F12:G12"/>
    <mergeCell ref="D13:E13"/>
    <mergeCell ref="F13:G14"/>
    <mergeCell ref="B14:C15"/>
    <mergeCell ref="D15:E15"/>
    <mergeCell ref="F15:G15"/>
    <mergeCell ref="C20:G20"/>
    <mergeCell ref="B22:G22"/>
    <mergeCell ref="B23:C23"/>
    <mergeCell ref="D23:E23"/>
    <mergeCell ref="F23:G23"/>
    <mergeCell ref="C8:G8"/>
    <mergeCell ref="C9:G9"/>
    <mergeCell ref="C10:G10"/>
    <mergeCell ref="B11:G11"/>
    <mergeCell ref="C4:G4"/>
    <mergeCell ref="B6:G6"/>
    <mergeCell ref="B7:G7"/>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5"/>
  <sheetViews>
    <sheetView topLeftCell="A304" zoomScale="62" zoomScaleNormal="40" workbookViewId="0">
      <selection activeCell="G437" sqref="G437"/>
    </sheetView>
  </sheetViews>
  <sheetFormatPr baseColWidth="10" defaultColWidth="10.85546875" defaultRowHeight="15"/>
  <cols>
    <col min="2" max="2" width="96.42578125" customWidth="1"/>
    <col min="3" max="3" width="50.7109375" customWidth="1"/>
    <col min="4" max="4" width="68" customWidth="1"/>
    <col min="5" max="5" width="52" customWidth="1"/>
    <col min="6" max="6" width="61.140625" customWidth="1"/>
    <col min="7" max="7" width="111.140625" customWidth="1"/>
    <col min="8" max="8" width="47.42578125" customWidth="1"/>
    <col min="9" max="9" width="22.140625" customWidth="1"/>
    <col min="10" max="10" width="45.28515625" customWidth="1"/>
  </cols>
  <sheetData>
    <row r="2" spans="2:2" ht="21">
      <c r="B2" s="11" t="s">
        <v>64</v>
      </c>
    </row>
    <row r="22" spans="2:5" ht="15.75" thickBot="1"/>
    <row r="23" spans="2:5" ht="30" customHeight="1" thickBot="1">
      <c r="B23" s="276" t="s">
        <v>558</v>
      </c>
      <c r="C23" s="277"/>
      <c r="D23" s="278" t="s">
        <v>65</v>
      </c>
      <c r="E23" s="279"/>
    </row>
    <row r="24" spans="2:5" ht="16.5" thickTop="1" thickBot="1">
      <c r="B24" s="26" t="s">
        <v>66</v>
      </c>
      <c r="C24" s="27" t="s">
        <v>244</v>
      </c>
      <c r="D24" s="28" t="s">
        <v>66</v>
      </c>
      <c r="E24" s="28" t="s">
        <v>244</v>
      </c>
    </row>
    <row r="25" spans="2:5" ht="15.75" thickBot="1">
      <c r="B25" s="29" t="s">
        <v>68</v>
      </c>
      <c r="C25" s="30">
        <v>3.3780000000000001</v>
      </c>
      <c r="D25" s="31" t="s">
        <v>68</v>
      </c>
      <c r="E25" s="31">
        <v>0.83299999999999996</v>
      </c>
    </row>
    <row r="26" spans="2:5" ht="15.75" thickBot="1">
      <c r="B26" s="26" t="s">
        <v>70</v>
      </c>
      <c r="C26" s="27">
        <v>1.772</v>
      </c>
      <c r="D26" s="28" t="s">
        <v>70</v>
      </c>
      <c r="E26" s="28">
        <v>1.982</v>
      </c>
    </row>
    <row r="27" spans="2:5" ht="15.75" thickBot="1">
      <c r="B27" s="280" t="s">
        <v>72</v>
      </c>
      <c r="C27" s="283">
        <v>0.248</v>
      </c>
      <c r="D27" s="31" t="s">
        <v>72</v>
      </c>
      <c r="E27" s="31">
        <v>0.23499999999999999</v>
      </c>
    </row>
    <row r="28" spans="2:5" ht="15.75" thickBot="1">
      <c r="B28" s="281"/>
      <c r="C28" s="284"/>
      <c r="D28" s="28" t="s">
        <v>74</v>
      </c>
      <c r="E28" s="28">
        <v>0.22900000000000001</v>
      </c>
    </row>
    <row r="29" spans="2:5" ht="15.75" thickBot="1">
      <c r="B29" s="281"/>
      <c r="C29" s="284"/>
      <c r="D29" s="31" t="s">
        <v>75</v>
      </c>
      <c r="E29" s="31">
        <v>0.98099999999999998</v>
      </c>
    </row>
    <row r="30" spans="2:5" ht="15.75" thickBot="1">
      <c r="B30" s="282"/>
      <c r="C30" s="285"/>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75" thickBot="1">
      <c r="E34">
        <f>(E28+E29+E30)/E31</f>
        <v>0.41469967376703132</v>
      </c>
    </row>
    <row r="35" spans="2:13">
      <c r="B35" s="266" t="s">
        <v>185</v>
      </c>
      <c r="C35" s="267"/>
      <c r="D35" s="267"/>
      <c r="E35" s="267"/>
      <c r="F35" s="267"/>
      <c r="G35" s="267"/>
      <c r="H35" s="267"/>
      <c r="I35" s="267"/>
      <c r="J35" s="267"/>
      <c r="K35" s="267"/>
      <c r="L35" s="267"/>
      <c r="M35" s="268"/>
    </row>
    <row r="36" spans="2:13">
      <c r="B36" t="s">
        <v>526</v>
      </c>
    </row>
    <row r="37" spans="2:13" ht="15.75" thickBot="1"/>
    <row r="38" spans="2:13" ht="18.75" thickBot="1">
      <c r="B38" s="33" t="s">
        <v>77</v>
      </c>
      <c r="C38" s="32" t="s">
        <v>78</v>
      </c>
    </row>
    <row r="40" spans="2:13">
      <c r="B40" s="38" t="s">
        <v>79</v>
      </c>
      <c r="C40" s="286" t="s">
        <v>80</v>
      </c>
      <c r="D40" s="286"/>
      <c r="E40" s="286"/>
      <c r="F40" s="286"/>
      <c r="G40" s="286"/>
      <c r="H40" s="286"/>
      <c r="I40" s="286"/>
      <c r="J40" s="286"/>
      <c r="K40" s="286"/>
      <c r="L40" s="286"/>
      <c r="M40" s="286"/>
    </row>
    <row r="41" spans="2:13" ht="18">
      <c r="B41" s="34" t="s">
        <v>82</v>
      </c>
      <c r="C41" s="250" t="str">
        <f xml:space="preserve"> 'Case Study 2'!B164</f>
        <v>LCI:  Erec = 0 (as only primary materialsl and no secondary material is used for the conventional concrete product)</v>
      </c>
      <c r="D41" s="250"/>
      <c r="E41" s="250"/>
      <c r="F41" s="250"/>
      <c r="G41" s="250"/>
      <c r="H41" s="250"/>
      <c r="I41" s="250"/>
      <c r="J41" s="250"/>
      <c r="K41" s="250"/>
      <c r="L41" s="250"/>
      <c r="M41" s="250"/>
    </row>
    <row r="42" spans="2:13" ht="264" customHeight="1">
      <c r="B42" s="35" t="s">
        <v>83</v>
      </c>
      <c r="C42" s="249" t="s">
        <v>84</v>
      </c>
      <c r="D42" s="249"/>
      <c r="E42" s="249"/>
      <c r="F42" s="249"/>
      <c r="G42" s="249"/>
      <c r="H42" s="249"/>
      <c r="I42" s="249"/>
      <c r="J42" s="249"/>
      <c r="K42" s="249"/>
      <c r="L42" s="249"/>
      <c r="M42" s="249"/>
    </row>
    <row r="43" spans="2:13" ht="83.25" customHeight="1">
      <c r="B43" s="37" t="s">
        <v>85</v>
      </c>
      <c r="C43" s="249" t="s">
        <v>86</v>
      </c>
      <c r="D43" s="287"/>
      <c r="E43" s="287"/>
      <c r="F43" s="287"/>
      <c r="G43" s="287"/>
      <c r="H43" s="287"/>
      <c r="I43" s="287"/>
      <c r="J43" s="287"/>
      <c r="K43" s="287"/>
      <c r="L43" s="287"/>
      <c r="M43" s="287"/>
    </row>
    <row r="45" spans="2:13">
      <c r="B45" s="38" t="s">
        <v>91</v>
      </c>
    </row>
    <row r="47" spans="2:13">
      <c r="B47" s="253" t="s">
        <v>96</v>
      </c>
      <c r="C47" s="254"/>
      <c r="D47" s="41" t="s">
        <v>97</v>
      </c>
      <c r="E47" s="255" t="s">
        <v>87</v>
      </c>
      <c r="F47" s="255"/>
      <c r="G47" s="49"/>
      <c r="H47" s="49"/>
    </row>
    <row r="48" spans="2:13" ht="53.25" customHeight="1">
      <c r="B48" s="238"/>
      <c r="C48" s="248"/>
      <c r="D48" s="34">
        <v>0.10125000000000001</v>
      </c>
      <c r="E48" s="249" t="s">
        <v>88</v>
      </c>
      <c r="F48" s="249"/>
      <c r="G48" s="24"/>
      <c r="H48" s="24"/>
    </row>
    <row r="49" spans="2:8" ht="54" customHeight="1">
      <c r="B49" s="238"/>
      <c r="C49" s="248"/>
      <c r="D49" s="34">
        <v>0.15079000000000001</v>
      </c>
      <c r="E49" s="249" t="s">
        <v>89</v>
      </c>
      <c r="F49" s="250"/>
      <c r="G49" s="48"/>
      <c r="H49" s="48"/>
    </row>
    <row r="50" spans="2:8">
      <c r="B50" s="251" t="s">
        <v>90</v>
      </c>
      <c r="C50" s="252"/>
      <c r="D50" s="39">
        <v>0.126</v>
      </c>
      <c r="E50" s="205"/>
      <c r="F50" s="205"/>
      <c r="G50" s="25"/>
      <c r="H50" s="25"/>
    </row>
    <row r="52" spans="2:8">
      <c r="B52" s="253" t="s">
        <v>92</v>
      </c>
      <c r="C52" s="254"/>
      <c r="D52" s="40" t="s">
        <v>93</v>
      </c>
      <c r="E52" s="255" t="s">
        <v>87</v>
      </c>
      <c r="F52" s="255"/>
      <c r="G52" s="49"/>
      <c r="H52" s="49"/>
    </row>
    <row r="53" spans="2:8" ht="54.75" customHeight="1">
      <c r="B53" s="238"/>
      <c r="C53" s="248"/>
      <c r="D53" s="34">
        <v>1.44</v>
      </c>
      <c r="E53" s="249" t="s">
        <v>94</v>
      </c>
      <c r="F53" s="249"/>
      <c r="G53" s="24"/>
      <c r="H53" s="24"/>
    </row>
    <row r="54" spans="2:8" ht="49.5" customHeight="1">
      <c r="B54" s="238"/>
      <c r="C54" s="248"/>
      <c r="D54" s="34">
        <v>2.88</v>
      </c>
      <c r="E54" s="249" t="s">
        <v>95</v>
      </c>
      <c r="F54" s="250"/>
      <c r="G54" s="48"/>
      <c r="H54" s="48"/>
    </row>
    <row r="55" spans="2:8">
      <c r="B55" s="251" t="s">
        <v>90</v>
      </c>
      <c r="C55" s="252"/>
      <c r="D55" s="39">
        <v>2.16</v>
      </c>
      <c r="E55" s="205"/>
      <c r="F55" s="205"/>
      <c r="G55" s="25"/>
      <c r="H55" s="25"/>
    </row>
    <row r="57" spans="2:8">
      <c r="B57" s="253" t="s">
        <v>98</v>
      </c>
      <c r="C57" s="254"/>
      <c r="D57" s="40" t="s">
        <v>99</v>
      </c>
      <c r="E57" s="255" t="s">
        <v>87</v>
      </c>
      <c r="F57" s="255"/>
      <c r="G57" s="49"/>
      <c r="H57" s="49"/>
    </row>
    <row r="58" spans="2:8" ht="50.25" customHeight="1">
      <c r="B58" s="238"/>
      <c r="C58" s="248"/>
      <c r="D58" s="34">
        <v>11.7</v>
      </c>
      <c r="E58" s="249" t="s">
        <v>100</v>
      </c>
      <c r="F58" s="249"/>
      <c r="G58" s="24"/>
      <c r="H58" s="24"/>
    </row>
    <row r="59" spans="2:8" ht="50.25" customHeight="1">
      <c r="B59" s="238"/>
      <c r="C59" s="248"/>
      <c r="D59" s="34">
        <v>19.7</v>
      </c>
      <c r="E59" s="249" t="s">
        <v>100</v>
      </c>
      <c r="F59" s="250"/>
      <c r="G59" s="48"/>
      <c r="H59" s="48"/>
    </row>
    <row r="60" spans="2:8">
      <c r="B60" s="251" t="s">
        <v>90</v>
      </c>
      <c r="C60" s="252"/>
      <c r="D60" s="39">
        <v>15.7</v>
      </c>
      <c r="E60" s="205"/>
      <c r="F60" s="205"/>
      <c r="G60" s="25"/>
      <c r="H60" s="25"/>
    </row>
    <row r="63" spans="2:8">
      <c r="B63" s="245" t="s">
        <v>101</v>
      </c>
      <c r="C63" s="245"/>
      <c r="D63" s="245"/>
      <c r="E63" s="245"/>
    </row>
    <row r="64" spans="2:8">
      <c r="B64" s="42" t="s">
        <v>66</v>
      </c>
      <c r="C64" s="42" t="s">
        <v>67</v>
      </c>
      <c r="D64" s="42" t="s">
        <v>87</v>
      </c>
      <c r="E64" s="42" t="s">
        <v>102</v>
      </c>
    </row>
    <row r="65" spans="2:5" ht="30">
      <c r="B65" s="59" t="s">
        <v>103</v>
      </c>
      <c r="C65" s="55" t="s">
        <v>217</v>
      </c>
      <c r="D65" s="59" t="s">
        <v>107</v>
      </c>
      <c r="E65" s="55" t="s">
        <v>104</v>
      </c>
    </row>
    <row r="66" spans="2:5" ht="30">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30">
      <c r="B70" s="59" t="s">
        <v>117</v>
      </c>
      <c r="C70" s="55" t="s">
        <v>222</v>
      </c>
      <c r="D70" s="59" t="s">
        <v>118</v>
      </c>
      <c r="E70" s="59" t="s">
        <v>104</v>
      </c>
    </row>
    <row r="71" spans="2:5" ht="30">
      <c r="B71" s="59" t="s">
        <v>119</v>
      </c>
      <c r="C71" s="55" t="s">
        <v>223</v>
      </c>
      <c r="D71" s="59" t="s">
        <v>120</v>
      </c>
      <c r="E71" s="59" t="s">
        <v>106</v>
      </c>
    </row>
    <row r="72" spans="2:5">
      <c r="B72" s="59" t="s">
        <v>121</v>
      </c>
      <c r="C72" s="55" t="s">
        <v>224</v>
      </c>
      <c r="D72" s="59" t="s">
        <v>214</v>
      </c>
      <c r="E72" s="55" t="s">
        <v>110</v>
      </c>
    </row>
    <row r="73" spans="2:5" ht="45">
      <c r="B73" s="55" t="s">
        <v>111</v>
      </c>
      <c r="C73" s="55" t="s">
        <v>225</v>
      </c>
      <c r="D73" s="59" t="s">
        <v>122</v>
      </c>
      <c r="E73" s="59" t="s">
        <v>113</v>
      </c>
    </row>
    <row r="74" spans="2:5">
      <c r="B74" s="58" t="s">
        <v>114</v>
      </c>
      <c r="C74" s="58" t="s">
        <v>226</v>
      </c>
      <c r="D74" s="58" t="s">
        <v>115</v>
      </c>
      <c r="E74" s="55" t="s">
        <v>116</v>
      </c>
    </row>
    <row r="75" spans="2:5">
      <c r="B75" s="244" t="s">
        <v>123</v>
      </c>
      <c r="C75" s="244"/>
      <c r="D75" s="244"/>
      <c r="E75" s="244"/>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45" t="s">
        <v>101</v>
      </c>
      <c r="C81" s="245"/>
      <c r="D81" s="245"/>
      <c r="E81" s="245"/>
    </row>
    <row r="82" spans="2:5">
      <c r="B82" s="42" t="s">
        <v>66</v>
      </c>
      <c r="C82" s="42" t="s">
        <v>67</v>
      </c>
      <c r="D82" s="42" t="s">
        <v>87</v>
      </c>
      <c r="E82" s="42" t="s">
        <v>102</v>
      </c>
    </row>
    <row r="83" spans="2:5" ht="30">
      <c r="B83" s="59" t="s">
        <v>129</v>
      </c>
      <c r="C83" s="55" t="s">
        <v>228</v>
      </c>
      <c r="D83" s="59" t="s">
        <v>133</v>
      </c>
      <c r="E83" s="59" t="s">
        <v>104</v>
      </c>
    </row>
    <row r="84" spans="2:5" ht="30">
      <c r="B84" s="59" t="s">
        <v>130</v>
      </c>
      <c r="C84" s="55" t="s">
        <v>229</v>
      </c>
      <c r="D84" s="59" t="s">
        <v>132</v>
      </c>
      <c r="E84" s="59" t="s">
        <v>106</v>
      </c>
    </row>
    <row r="85" spans="2:5">
      <c r="B85" s="59" t="s">
        <v>131</v>
      </c>
      <c r="C85" s="55" t="s">
        <v>230</v>
      </c>
      <c r="D85" s="59" t="s">
        <v>236</v>
      </c>
      <c r="E85" s="55" t="s">
        <v>110</v>
      </c>
    </row>
    <row r="86" spans="2:5" ht="75">
      <c r="B86" s="55" t="s">
        <v>134</v>
      </c>
      <c r="C86" s="55" t="s">
        <v>231</v>
      </c>
      <c r="D86" s="59" t="s">
        <v>135</v>
      </c>
      <c r="E86" s="59" t="s">
        <v>136</v>
      </c>
    </row>
    <row r="87" spans="2:5" ht="75">
      <c r="B87" s="55" t="s">
        <v>140</v>
      </c>
      <c r="C87" s="55" t="s">
        <v>232</v>
      </c>
      <c r="D87" s="59" t="s">
        <v>141</v>
      </c>
      <c r="E87" s="59" t="s">
        <v>142</v>
      </c>
    </row>
    <row r="88" spans="2:5" ht="75">
      <c r="B88" s="55" t="s">
        <v>143</v>
      </c>
      <c r="C88" s="55" t="s">
        <v>233</v>
      </c>
      <c r="D88" s="59" t="s">
        <v>144</v>
      </c>
      <c r="E88" s="59" t="s">
        <v>145</v>
      </c>
    </row>
    <row r="89" spans="2:5" ht="75">
      <c r="B89" s="55" t="s">
        <v>114</v>
      </c>
      <c r="C89" s="55" t="s">
        <v>234</v>
      </c>
      <c r="D89" s="59" t="s">
        <v>146</v>
      </c>
      <c r="E89" s="59" t="s">
        <v>116</v>
      </c>
    </row>
    <row r="90" spans="2:5">
      <c r="B90" s="58" t="s">
        <v>137</v>
      </c>
      <c r="C90" s="58" t="s">
        <v>235</v>
      </c>
      <c r="D90" s="58" t="s">
        <v>138</v>
      </c>
      <c r="E90" s="55" t="s">
        <v>139</v>
      </c>
    </row>
    <row r="91" spans="2:5">
      <c r="B91" s="244" t="s">
        <v>123</v>
      </c>
      <c r="C91" s="244"/>
      <c r="D91" s="244"/>
      <c r="E91" s="244"/>
    </row>
    <row r="92" spans="2:5">
      <c r="B92" s="58" t="s">
        <v>147</v>
      </c>
      <c r="C92" s="55" t="s">
        <v>228</v>
      </c>
      <c r="D92" s="58" t="s">
        <v>125</v>
      </c>
      <c r="E92" s="58"/>
    </row>
    <row r="93" spans="2:5">
      <c r="B93" s="58" t="s">
        <v>148</v>
      </c>
      <c r="C93" s="55" t="s">
        <v>229</v>
      </c>
      <c r="D93" s="58" t="s">
        <v>125</v>
      </c>
      <c r="E93" s="58"/>
    </row>
    <row r="96" spans="2:5">
      <c r="B96" s="38" t="s">
        <v>161</v>
      </c>
    </row>
    <row r="98" spans="2:5">
      <c r="B98" s="245" t="s">
        <v>101</v>
      </c>
      <c r="C98" s="245"/>
      <c r="D98" s="245"/>
      <c r="E98" s="245"/>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65" t="s">
        <v>123</v>
      </c>
      <c r="C102" s="265"/>
      <c r="D102" s="265"/>
      <c r="E102" s="265"/>
    </row>
    <row r="103" spans="2:5">
      <c r="B103" s="1" t="s">
        <v>156</v>
      </c>
      <c r="C103" s="43" t="s">
        <v>69</v>
      </c>
      <c r="D103" s="1"/>
      <c r="E103" s="1"/>
    </row>
    <row r="104" spans="2:5">
      <c r="B104" s="1" t="s">
        <v>155</v>
      </c>
      <c r="C104" s="43" t="s">
        <v>71</v>
      </c>
      <c r="D104" s="1"/>
      <c r="E104" s="1"/>
    </row>
    <row r="106" spans="2:5">
      <c r="B106" s="245" t="s">
        <v>101</v>
      </c>
      <c r="C106" s="245"/>
      <c r="D106" s="245"/>
      <c r="E106" s="245"/>
    </row>
    <row r="107" spans="2:5">
      <c r="B107" s="42" t="s">
        <v>66</v>
      </c>
      <c r="C107" s="42" t="s">
        <v>67</v>
      </c>
      <c r="D107" s="42" t="s">
        <v>87</v>
      </c>
      <c r="E107" s="42" t="s">
        <v>102</v>
      </c>
    </row>
    <row r="108" spans="2:5">
      <c r="B108" s="36" t="s">
        <v>157</v>
      </c>
      <c r="C108" s="34" t="s">
        <v>160</v>
      </c>
      <c r="D108" s="36" t="s">
        <v>154</v>
      </c>
      <c r="E108" s="34" t="s">
        <v>159</v>
      </c>
    </row>
    <row r="109" spans="2:5">
      <c r="B109" s="265" t="s">
        <v>123</v>
      </c>
      <c r="C109" s="265"/>
      <c r="D109" s="265"/>
      <c r="E109" s="265"/>
    </row>
    <row r="110" spans="2:5">
      <c r="B110" s="1" t="s">
        <v>158</v>
      </c>
      <c r="C110" s="43" t="s">
        <v>73</v>
      </c>
      <c r="D110" s="1"/>
      <c r="E110" s="1"/>
    </row>
    <row r="113" spans="2:5">
      <c r="B113" s="38" t="s">
        <v>176</v>
      </c>
    </row>
    <row r="115" spans="2:5">
      <c r="B115" s="243" t="s">
        <v>216</v>
      </c>
      <c r="C115" s="245"/>
      <c r="D115" s="245"/>
      <c r="E115" s="245"/>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43" t="s">
        <v>215</v>
      </c>
      <c r="C130" s="245"/>
      <c r="D130" s="245"/>
      <c r="E130" s="245"/>
    </row>
    <row r="131" spans="2:5">
      <c r="B131" s="1" t="s">
        <v>162</v>
      </c>
      <c r="C131" s="58" t="s">
        <v>81</v>
      </c>
      <c r="D131" s="58" t="s">
        <v>175</v>
      </c>
      <c r="E131" s="1" t="s">
        <v>177</v>
      </c>
    </row>
    <row r="132" spans="2:5">
      <c r="B132" s="1" t="s">
        <v>163</v>
      </c>
      <c r="C132" s="56">
        <v>3.2300000000000002E-7</v>
      </c>
      <c r="D132" s="57">
        <v>1.09E-10</v>
      </c>
      <c r="E132" s="44">
        <v>1.7729999999999998E-5</v>
      </c>
    </row>
    <row r="133" spans="2:5">
      <c r="B133" s="1" t="s">
        <v>164</v>
      </c>
      <c r="C133" s="56">
        <v>4.24</v>
      </c>
      <c r="D133" s="57">
        <v>8.2400000000000008E-3</v>
      </c>
      <c r="E133" s="44">
        <v>684</v>
      </c>
    </row>
    <row r="134" spans="2:5">
      <c r="B134" s="1" t="s">
        <v>165</v>
      </c>
      <c r="C134" s="56">
        <v>6.11E-4</v>
      </c>
      <c r="D134" s="57">
        <v>1.5400000000000001E-6</v>
      </c>
      <c r="E134" s="44">
        <v>0.1956</v>
      </c>
    </row>
    <row r="135" spans="2:5">
      <c r="B135" s="1" t="s">
        <v>166</v>
      </c>
      <c r="C135" s="56">
        <v>1.17E-4</v>
      </c>
      <c r="D135" s="57">
        <v>1.6500000000000001E-7</v>
      </c>
      <c r="E135" s="44">
        <v>1.489E-2</v>
      </c>
    </row>
    <row r="136" spans="2:5">
      <c r="B136" s="1" t="s">
        <v>167</v>
      </c>
      <c r="C136" s="56">
        <v>8.1400000000000005E-4</v>
      </c>
      <c r="D136" s="57">
        <v>1.37E-6</v>
      </c>
      <c r="E136" s="44">
        <v>0.313</v>
      </c>
    </row>
    <row r="137" spans="2:5">
      <c r="B137" s="1" t="s">
        <v>168</v>
      </c>
      <c r="C137" s="56">
        <v>0.42699999999999999</v>
      </c>
      <c r="D137" s="57">
        <v>5.6899999999999995E-4</v>
      </c>
      <c r="E137" s="44">
        <v>62.7</v>
      </c>
    </row>
    <row r="138" spans="2:5">
      <c r="B138" s="1" t="s">
        <v>169</v>
      </c>
      <c r="C138" s="56">
        <v>0.42699999999999999</v>
      </c>
      <c r="D138" s="57">
        <v>5.7600000000000001E-4</v>
      </c>
      <c r="E138" s="44">
        <v>62.8</v>
      </c>
    </row>
    <row r="139" spans="2:5">
      <c r="B139" s="1" t="s">
        <v>170</v>
      </c>
      <c r="C139" s="56">
        <v>1.67E-2</v>
      </c>
      <c r="D139" s="57">
        <v>1.66E-5</v>
      </c>
      <c r="E139" s="44">
        <v>84.3</v>
      </c>
    </row>
    <row r="140" spans="2:5">
      <c r="B140" s="1" t="s">
        <v>171</v>
      </c>
      <c r="C140" s="56">
        <v>50.2</v>
      </c>
      <c r="D140" s="57">
        <v>5.2499999999999998E-2</v>
      </c>
      <c r="E140" s="44">
        <v>105900</v>
      </c>
    </row>
    <row r="141" spans="2:5">
      <c r="B141" s="1" t="s">
        <v>172</v>
      </c>
      <c r="C141" s="56">
        <v>1.6999999999999999E-11</v>
      </c>
      <c r="D141" s="57">
        <v>9.2700000000000007E-16</v>
      </c>
      <c r="E141" s="44">
        <v>1.018E-10</v>
      </c>
    </row>
    <row r="142" spans="2:5">
      <c r="B142" s="1" t="s">
        <v>173</v>
      </c>
      <c r="C142" s="56">
        <v>4.0800000000000002E-5</v>
      </c>
      <c r="D142" s="57">
        <v>1.42E-7</v>
      </c>
      <c r="E142" s="44">
        <v>1.1679999999999999E-2</v>
      </c>
    </row>
    <row r="143" spans="2:5">
      <c r="B143" s="1" t="s">
        <v>174</v>
      </c>
      <c r="C143" s="56">
        <v>6.02E-4</v>
      </c>
      <c r="D143" s="57">
        <v>6.3300000000000004E-6</v>
      </c>
      <c r="E143" s="44">
        <v>0.1172</v>
      </c>
    </row>
    <row r="145" spans="2:14" ht="15.75" thickBot="1"/>
    <row r="146" spans="2:14" ht="15.75" thickBot="1">
      <c r="B146" s="33" t="s">
        <v>178</v>
      </c>
      <c r="C146" s="32" t="s">
        <v>187</v>
      </c>
    </row>
    <row r="149" spans="2:14">
      <c r="B149" s="245" t="s">
        <v>188</v>
      </c>
      <c r="C149" s="245"/>
      <c r="D149" s="245"/>
      <c r="E149" s="245"/>
      <c r="F149" s="245"/>
      <c r="G149" s="245"/>
      <c r="H149" s="245"/>
      <c r="I149" s="245"/>
      <c r="J149" s="245"/>
      <c r="K149" s="47"/>
      <c r="L149" s="47"/>
      <c r="M149" s="47"/>
      <c r="N149" s="47"/>
    </row>
    <row r="150" spans="2:14">
      <c r="B150" s="42" t="s">
        <v>179</v>
      </c>
      <c r="C150" s="42" t="s">
        <v>33</v>
      </c>
      <c r="D150" s="42" t="s">
        <v>34</v>
      </c>
      <c r="E150" s="42" t="s">
        <v>35</v>
      </c>
      <c r="F150" s="42" t="s">
        <v>50</v>
      </c>
      <c r="G150" s="246" t="s">
        <v>559</v>
      </c>
      <c r="H150" s="247"/>
      <c r="I150" s="119" t="s">
        <v>189</v>
      </c>
      <c r="J150" s="42" t="s">
        <v>190</v>
      </c>
      <c r="K150" s="46"/>
      <c r="L150" s="46"/>
      <c r="M150" s="46"/>
      <c r="N150" s="46"/>
    </row>
    <row r="151" spans="2:14" ht="44.25" customHeight="1">
      <c r="B151" s="167" t="s">
        <v>2</v>
      </c>
      <c r="C151" s="167" t="s">
        <v>191</v>
      </c>
      <c r="D151" s="270"/>
      <c r="E151" s="273"/>
      <c r="F151" s="270"/>
      <c r="G151" s="123" t="s">
        <v>766</v>
      </c>
      <c r="H151" s="124" t="s">
        <v>767</v>
      </c>
      <c r="I151" s="262">
        <v>0.2</v>
      </c>
      <c r="J151" s="167" t="s">
        <v>560</v>
      </c>
    </row>
    <row r="152" spans="2:14" ht="72" customHeight="1">
      <c r="B152" s="269"/>
      <c r="C152" s="269"/>
      <c r="D152" s="271"/>
      <c r="E152" s="274"/>
      <c r="F152" s="271"/>
      <c r="G152" s="123" t="s">
        <v>681</v>
      </c>
      <c r="H152" s="124" t="s">
        <v>682</v>
      </c>
      <c r="I152" s="263"/>
      <c r="J152" s="269"/>
    </row>
    <row r="153" spans="2:14" ht="67.5" customHeight="1">
      <c r="B153" s="168"/>
      <c r="C153" s="168"/>
      <c r="D153" s="272"/>
      <c r="E153" s="275"/>
      <c r="F153" s="272"/>
      <c r="G153" s="123" t="s">
        <v>684</v>
      </c>
      <c r="H153" s="124" t="s">
        <v>685</v>
      </c>
      <c r="I153" s="264"/>
      <c r="J153" s="168"/>
    </row>
    <row r="154" spans="2:14" ht="67.5" customHeight="1">
      <c r="B154" s="34" t="s">
        <v>180</v>
      </c>
      <c r="C154" s="36" t="s">
        <v>568</v>
      </c>
      <c r="D154" s="36" t="s">
        <v>199</v>
      </c>
      <c r="E154" s="36"/>
      <c r="F154" s="34"/>
      <c r="G154" s="52" t="s">
        <v>686</v>
      </c>
      <c r="H154" s="53" t="s">
        <v>687</v>
      </c>
      <c r="I154" s="120">
        <v>0</v>
      </c>
      <c r="J154" s="36" t="s">
        <v>192</v>
      </c>
      <c r="L154" t="s">
        <v>561</v>
      </c>
    </row>
    <row r="155" spans="2:14" ht="45">
      <c r="B155" s="139" t="s">
        <v>181</v>
      </c>
      <c r="C155" s="122" t="s">
        <v>569</v>
      </c>
      <c r="D155" s="122" t="s">
        <v>193</v>
      </c>
      <c r="E155" s="126"/>
      <c r="F155" s="125"/>
      <c r="G155" s="123" t="s">
        <v>768</v>
      </c>
      <c r="H155" s="127" t="s">
        <v>769</v>
      </c>
      <c r="I155" s="120" t="s">
        <v>688</v>
      </c>
      <c r="J155" s="122" t="s">
        <v>562</v>
      </c>
    </row>
    <row r="156" spans="2:14" ht="45" customHeight="1">
      <c r="B156" s="37" t="s">
        <v>182</v>
      </c>
      <c r="C156" s="36" t="s">
        <v>297</v>
      </c>
      <c r="D156" s="36" t="s">
        <v>549</v>
      </c>
      <c r="E156" s="36" t="s">
        <v>298</v>
      </c>
      <c r="F156" s="36" t="s">
        <v>299</v>
      </c>
      <c r="G156" s="36" t="s">
        <v>691</v>
      </c>
      <c r="H156" s="36" t="s">
        <v>692</v>
      </c>
      <c r="I156" s="120">
        <v>1</v>
      </c>
      <c r="J156" s="45" t="s">
        <v>693</v>
      </c>
    </row>
    <row r="157" spans="2:14" ht="174.75" customHeight="1">
      <c r="B157" s="34" t="s">
        <v>183</v>
      </c>
      <c r="C157" s="36" t="s">
        <v>297</v>
      </c>
      <c r="D157" s="36" t="s">
        <v>547</v>
      </c>
      <c r="E157" s="36" t="s">
        <v>298</v>
      </c>
      <c r="F157" s="36" t="s">
        <v>299</v>
      </c>
      <c r="G157" s="36" t="s">
        <v>774</v>
      </c>
      <c r="H157" s="36" t="s">
        <v>770</v>
      </c>
      <c r="I157" s="160" t="s">
        <v>771</v>
      </c>
      <c r="J157" s="45" t="s">
        <v>563</v>
      </c>
    </row>
    <row r="158" spans="2:14" ht="210">
      <c r="B158" s="34" t="s">
        <v>184</v>
      </c>
      <c r="C158" s="36" t="s">
        <v>297</v>
      </c>
      <c r="D158" s="36" t="s">
        <v>548</v>
      </c>
      <c r="E158" s="36" t="s">
        <v>298</v>
      </c>
      <c r="F158" s="36" t="s">
        <v>299</v>
      </c>
      <c r="G158" s="36" t="s">
        <v>773</v>
      </c>
      <c r="H158" s="36" t="s">
        <v>775</v>
      </c>
      <c r="I158" s="160" t="s">
        <v>771</v>
      </c>
      <c r="J158" s="45" t="s">
        <v>694</v>
      </c>
    </row>
    <row r="161" spans="2:13">
      <c r="B161" s="245" t="s">
        <v>198</v>
      </c>
      <c r="C161" s="245"/>
      <c r="D161" s="245"/>
      <c r="E161" s="245"/>
      <c r="F161" s="245"/>
      <c r="G161" s="245"/>
      <c r="H161" s="245"/>
      <c r="I161" s="245"/>
      <c r="J161" s="245"/>
    </row>
    <row r="162" spans="2:13">
      <c r="B162" s="42" t="s">
        <v>179</v>
      </c>
      <c r="C162" s="42" t="s">
        <v>33</v>
      </c>
      <c r="D162" s="42" t="s">
        <v>34</v>
      </c>
      <c r="E162" s="42" t="s">
        <v>35</v>
      </c>
      <c r="F162" s="42" t="s">
        <v>50</v>
      </c>
      <c r="G162" s="246" t="s">
        <v>196</v>
      </c>
      <c r="H162" s="247"/>
      <c r="I162" s="119" t="s">
        <v>189</v>
      </c>
      <c r="J162" s="42" t="s">
        <v>190</v>
      </c>
    </row>
    <row r="163" spans="2:13" ht="79.5" customHeight="1">
      <c r="B163" s="288" t="s">
        <v>2</v>
      </c>
      <c r="C163" s="167" t="s">
        <v>194</v>
      </c>
      <c r="D163" s="167" t="s">
        <v>195</v>
      </c>
      <c r="E163" s="288"/>
      <c r="F163" s="167"/>
      <c r="G163" s="146" t="s">
        <v>776</v>
      </c>
      <c r="H163" s="124" t="s">
        <v>698</v>
      </c>
      <c r="I163" s="262">
        <v>0.2</v>
      </c>
      <c r="J163" s="167" t="s">
        <v>197</v>
      </c>
    </row>
    <row r="164" spans="2:13" ht="31.5" customHeight="1">
      <c r="B164" s="290"/>
      <c r="C164" s="269"/>
      <c r="D164" s="269"/>
      <c r="E164" s="290"/>
      <c r="F164" s="269"/>
      <c r="G164" s="145" t="s">
        <v>699</v>
      </c>
      <c r="H164" s="147" t="s">
        <v>683</v>
      </c>
      <c r="I164" s="263"/>
      <c r="J164" s="269"/>
    </row>
    <row r="165" spans="2:13" ht="45.75" customHeight="1">
      <c r="B165" s="289"/>
      <c r="C165" s="168"/>
      <c r="D165" s="168"/>
      <c r="E165" s="289"/>
      <c r="F165" s="168"/>
      <c r="G165" s="145" t="s">
        <v>777</v>
      </c>
      <c r="H165" s="147" t="s">
        <v>778</v>
      </c>
      <c r="I165" s="264"/>
      <c r="J165" s="168"/>
    </row>
    <row r="166" spans="2:13" ht="67.5" customHeight="1">
      <c r="B166" s="34" t="s">
        <v>180</v>
      </c>
      <c r="C166" s="36" t="s">
        <v>570</v>
      </c>
      <c r="D166" s="36" t="s">
        <v>200</v>
      </c>
      <c r="E166" s="36"/>
      <c r="F166" s="34"/>
      <c r="G166" s="52" t="s">
        <v>700</v>
      </c>
      <c r="H166" s="53" t="s">
        <v>701</v>
      </c>
      <c r="I166" s="120">
        <v>0</v>
      </c>
      <c r="J166" s="36" t="s">
        <v>201</v>
      </c>
    </row>
    <row r="167" spans="2:13" ht="99.75" customHeight="1">
      <c r="B167" s="288" t="s">
        <v>181</v>
      </c>
      <c r="C167" s="167" t="s">
        <v>569</v>
      </c>
      <c r="D167" s="167" t="s">
        <v>202</v>
      </c>
      <c r="E167" s="167" t="s">
        <v>702</v>
      </c>
      <c r="F167" s="167"/>
      <c r="G167" s="146" t="s">
        <v>703</v>
      </c>
      <c r="H167" s="124" t="s">
        <v>704</v>
      </c>
      <c r="I167" s="335" t="s">
        <v>781</v>
      </c>
      <c r="J167" s="167" t="s">
        <v>203</v>
      </c>
    </row>
    <row r="168" spans="2:13" ht="61.5" customHeight="1">
      <c r="B168" s="289"/>
      <c r="C168" s="168"/>
      <c r="D168" s="168"/>
      <c r="E168" s="168"/>
      <c r="F168" s="168"/>
      <c r="G168" s="145" t="s">
        <v>779</v>
      </c>
      <c r="H168" s="147" t="s">
        <v>780</v>
      </c>
      <c r="I168" s="336"/>
      <c r="J168" s="168"/>
    </row>
    <row r="169" spans="2:13" ht="107.25" customHeight="1">
      <c r="B169" s="34" t="s">
        <v>182</v>
      </c>
      <c r="C169" s="36" t="s">
        <v>297</v>
      </c>
      <c r="D169" s="36" t="s">
        <v>549</v>
      </c>
      <c r="E169" s="36" t="s">
        <v>298</v>
      </c>
      <c r="F169" s="36" t="s">
        <v>299</v>
      </c>
      <c r="G169" s="36" t="s">
        <v>783</v>
      </c>
      <c r="H169" s="36" t="s">
        <v>784</v>
      </c>
      <c r="I169" s="120">
        <v>1</v>
      </c>
      <c r="J169" s="45" t="s">
        <v>623</v>
      </c>
    </row>
    <row r="170" spans="2:13" ht="213.75" customHeight="1">
      <c r="B170" s="34" t="s">
        <v>183</v>
      </c>
      <c r="C170" s="36" t="s">
        <v>297</v>
      </c>
      <c r="D170" s="36" t="s">
        <v>547</v>
      </c>
      <c r="E170" s="36" t="s">
        <v>298</v>
      </c>
      <c r="F170" s="36" t="s">
        <v>299</v>
      </c>
      <c r="G170" s="36" t="s">
        <v>785</v>
      </c>
      <c r="H170" s="36" t="s">
        <v>786</v>
      </c>
      <c r="I170" s="160" t="s">
        <v>787</v>
      </c>
      <c r="J170" s="45" t="s">
        <v>564</v>
      </c>
    </row>
    <row r="171" spans="2:13" ht="183" customHeight="1">
      <c r="B171" s="34" t="s">
        <v>184</v>
      </c>
      <c r="C171" s="36" t="s">
        <v>297</v>
      </c>
      <c r="D171" s="36" t="s">
        <v>548</v>
      </c>
      <c r="E171" s="36" t="s">
        <v>298</v>
      </c>
      <c r="F171" s="36" t="s">
        <v>299</v>
      </c>
      <c r="G171" s="36" t="s">
        <v>789</v>
      </c>
      <c r="H171" s="36" t="s">
        <v>790</v>
      </c>
      <c r="I171" s="160" t="s">
        <v>787</v>
      </c>
      <c r="J171" s="45" t="s">
        <v>564</v>
      </c>
    </row>
    <row r="172" spans="2:13" ht="15.75" thickBot="1"/>
    <row r="173" spans="2:13">
      <c r="B173" s="266" t="s">
        <v>432</v>
      </c>
      <c r="C173" s="267"/>
      <c r="D173" s="267"/>
      <c r="E173" s="267"/>
      <c r="F173" s="267"/>
      <c r="G173" s="267"/>
      <c r="H173" s="267"/>
      <c r="I173" s="267"/>
      <c r="J173" s="267"/>
      <c r="K173" s="267"/>
      <c r="L173" s="267"/>
      <c r="M173" s="268"/>
    </row>
    <row r="174" spans="2:13">
      <c r="B174" t="s">
        <v>527</v>
      </c>
    </row>
    <row r="175" spans="2:13" ht="15.75" thickBot="1"/>
    <row r="176" spans="2:13" ht="18.75" thickBot="1">
      <c r="B176" s="33" t="s">
        <v>77</v>
      </c>
      <c r="C176" s="32" t="s">
        <v>78</v>
      </c>
    </row>
    <row r="178" spans="2:5">
      <c r="B178" s="38" t="s">
        <v>161</v>
      </c>
    </row>
    <row r="180" spans="2:5">
      <c r="B180" s="265" t="s">
        <v>101</v>
      </c>
      <c r="C180" s="265"/>
      <c r="D180" s="265"/>
      <c r="E180" s="265"/>
    </row>
    <row r="181" spans="2:5">
      <c r="B181" s="42" t="s">
        <v>66</v>
      </c>
      <c r="C181" s="42" t="s">
        <v>244</v>
      </c>
      <c r="D181" s="42" t="s">
        <v>87</v>
      </c>
      <c r="E181" s="42" t="s">
        <v>102</v>
      </c>
    </row>
    <row r="182" spans="2:5">
      <c r="B182" s="36" t="s">
        <v>152</v>
      </c>
      <c r="C182" s="34">
        <f>C185*1.2</f>
        <v>0.99959999999999993</v>
      </c>
      <c r="D182" s="36" t="s">
        <v>154</v>
      </c>
      <c r="E182" s="36" t="s">
        <v>150</v>
      </c>
    </row>
    <row r="183" spans="2:5">
      <c r="B183" s="36" t="s">
        <v>153</v>
      </c>
      <c r="C183" s="34">
        <f>C186*1.5</f>
        <v>2.9729999999999999</v>
      </c>
      <c r="D183" s="36" t="s">
        <v>154</v>
      </c>
      <c r="E183" s="34" t="s">
        <v>150</v>
      </c>
    </row>
    <row r="184" spans="2:5">
      <c r="B184" s="265" t="s">
        <v>123</v>
      </c>
      <c r="C184" s="265"/>
      <c r="D184" s="265"/>
      <c r="E184" s="265"/>
    </row>
    <row r="185" spans="2:5">
      <c r="B185" s="1" t="s">
        <v>156</v>
      </c>
      <c r="C185" s="43">
        <v>0.83299999999999996</v>
      </c>
      <c r="D185" s="1"/>
      <c r="E185" s="1"/>
    </row>
    <row r="186" spans="2:5">
      <c r="B186" s="1" t="s">
        <v>155</v>
      </c>
      <c r="C186" s="43">
        <v>1.982</v>
      </c>
      <c r="D186" s="1"/>
      <c r="E186" s="1"/>
    </row>
    <row r="188" spans="2:5">
      <c r="B188" s="265" t="s">
        <v>101</v>
      </c>
      <c r="C188" s="265"/>
      <c r="D188" s="265"/>
      <c r="E188" s="265"/>
    </row>
    <row r="189" spans="2:5">
      <c r="B189" s="42" t="s">
        <v>66</v>
      </c>
      <c r="C189" s="42" t="s">
        <v>244</v>
      </c>
      <c r="D189" s="42" t="s">
        <v>87</v>
      </c>
      <c r="E189" s="42" t="s">
        <v>102</v>
      </c>
    </row>
    <row r="190" spans="2:5">
      <c r="B190" s="36" t="s">
        <v>157</v>
      </c>
      <c r="C190" s="34">
        <f>C192*1.5</f>
        <v>0.35249999999999998</v>
      </c>
      <c r="D190" s="36" t="s">
        <v>154</v>
      </c>
      <c r="E190" s="34" t="s">
        <v>159</v>
      </c>
    </row>
    <row r="191" spans="2:5">
      <c r="B191" s="265" t="s">
        <v>123</v>
      </c>
      <c r="C191" s="265"/>
      <c r="D191" s="265"/>
      <c r="E191" s="265"/>
    </row>
    <row r="192" spans="2:5">
      <c r="B192" s="1" t="s">
        <v>158</v>
      </c>
      <c r="C192" s="43">
        <v>0.23499999999999999</v>
      </c>
      <c r="D192" s="1"/>
      <c r="E192" s="1"/>
    </row>
    <row r="194" spans="2:6">
      <c r="B194" s="265" t="s">
        <v>101</v>
      </c>
      <c r="C194" s="265"/>
      <c r="D194" s="265"/>
      <c r="E194" s="265"/>
    </row>
    <row r="195" spans="2:6">
      <c r="B195" s="42" t="s">
        <v>66</v>
      </c>
      <c r="C195" s="42" t="s">
        <v>244</v>
      </c>
      <c r="D195" s="42" t="s">
        <v>87</v>
      </c>
      <c r="E195" s="42" t="s">
        <v>102</v>
      </c>
    </row>
    <row r="196" spans="2:6" ht="45">
      <c r="B196" s="36" t="s">
        <v>435</v>
      </c>
      <c r="C196" s="34">
        <v>1.079</v>
      </c>
      <c r="D196" s="36" t="s">
        <v>437</v>
      </c>
      <c r="E196" s="117" t="s">
        <v>438</v>
      </c>
    </row>
    <row r="197" spans="2:6" ht="45">
      <c r="B197" s="36" t="s">
        <v>436</v>
      </c>
      <c r="C197" s="34">
        <v>1.2490000000000001</v>
      </c>
      <c r="D197" s="36" t="s">
        <v>437</v>
      </c>
      <c r="E197" s="34" t="s">
        <v>439</v>
      </c>
    </row>
    <row r="198" spans="2:6">
      <c r="B198" s="265" t="s">
        <v>123</v>
      </c>
      <c r="C198" s="265"/>
      <c r="D198" s="265"/>
      <c r="E198" s="265"/>
    </row>
    <row r="199" spans="2:6">
      <c r="B199" s="1" t="s">
        <v>433</v>
      </c>
      <c r="C199" s="43">
        <v>1.079</v>
      </c>
      <c r="D199" s="1"/>
      <c r="E199" s="1"/>
    </row>
    <row r="200" spans="2:6">
      <c r="B200" s="1" t="s">
        <v>434</v>
      </c>
      <c r="C200" s="43">
        <f>C197</f>
        <v>1.2490000000000001</v>
      </c>
      <c r="D200" s="1"/>
      <c r="E200" s="1"/>
    </row>
    <row r="202" spans="2:6">
      <c r="B202" s="38" t="s">
        <v>440</v>
      </c>
    </row>
    <row r="204" spans="2:6">
      <c r="B204" s="253" t="s">
        <v>441</v>
      </c>
      <c r="C204" s="254"/>
      <c r="D204" s="41" t="s">
        <v>442</v>
      </c>
      <c r="E204" s="255" t="s">
        <v>87</v>
      </c>
      <c r="F204" s="255"/>
    </row>
    <row r="205" spans="2:6">
      <c r="B205" s="238"/>
      <c r="C205" s="248"/>
      <c r="D205" s="34">
        <v>0.94199999999999995</v>
      </c>
      <c r="E205" s="249" t="s">
        <v>443</v>
      </c>
      <c r="F205" s="249"/>
    </row>
    <row r="206" spans="2:6" ht="32.25" customHeight="1">
      <c r="B206" s="238"/>
      <c r="C206" s="248"/>
      <c r="D206" s="34">
        <v>0.25</v>
      </c>
      <c r="E206" s="256" t="s">
        <v>444</v>
      </c>
      <c r="F206" s="259"/>
    </row>
    <row r="207" spans="2:6">
      <c r="B207" s="238"/>
      <c r="C207" s="248"/>
      <c r="D207" s="34">
        <v>0.09</v>
      </c>
      <c r="E207" s="256" t="s">
        <v>445</v>
      </c>
      <c r="F207" s="259"/>
    </row>
    <row r="208" spans="2:6" ht="18.75" customHeight="1">
      <c r="B208" s="238"/>
      <c r="C208" s="248"/>
      <c r="D208" s="34">
        <v>0.11700000000000001</v>
      </c>
      <c r="E208" s="256" t="s">
        <v>446</v>
      </c>
      <c r="F208" s="259"/>
    </row>
    <row r="209" spans="2:6" ht="49.5" customHeight="1">
      <c r="B209" s="238"/>
      <c r="C209" s="248"/>
      <c r="D209" s="34">
        <v>1.603E-3</v>
      </c>
      <c r="E209" s="256" t="s">
        <v>447</v>
      </c>
      <c r="F209" s="259"/>
    </row>
    <row r="210" spans="2:6" ht="57" customHeight="1">
      <c r="B210" s="238"/>
      <c r="C210" s="248"/>
      <c r="D210" s="34">
        <v>2.2680000000000001E-3</v>
      </c>
      <c r="E210" s="249" t="s">
        <v>447</v>
      </c>
      <c r="F210" s="250"/>
    </row>
    <row r="211" spans="2:6">
      <c r="B211" s="251" t="s">
        <v>90</v>
      </c>
      <c r="C211" s="252"/>
      <c r="D211" s="39">
        <v>0.23380000000000001</v>
      </c>
      <c r="E211" s="205"/>
      <c r="F211" s="205"/>
    </row>
    <row r="213" spans="2:6">
      <c r="B213" s="253" t="s">
        <v>448</v>
      </c>
      <c r="C213" s="254"/>
      <c r="D213" s="40" t="s">
        <v>449</v>
      </c>
      <c r="E213" s="255" t="s">
        <v>87</v>
      </c>
      <c r="F213" s="255"/>
    </row>
    <row r="214" spans="2:6" ht="51" customHeight="1">
      <c r="B214" s="238"/>
      <c r="C214" s="248"/>
      <c r="D214" s="34">
        <v>2.9499999999999998E-2</v>
      </c>
      <c r="E214" s="249" t="s">
        <v>450</v>
      </c>
      <c r="F214" s="249"/>
    </row>
    <row r="215" spans="2:6" ht="49.5" customHeight="1">
      <c r="B215" s="238"/>
      <c r="C215" s="248"/>
      <c r="D215" s="34">
        <v>3.5999999999999997E-2</v>
      </c>
      <c r="E215" s="249" t="s">
        <v>451</v>
      </c>
      <c r="F215" s="250"/>
    </row>
    <row r="216" spans="2:6">
      <c r="B216" s="251" t="s">
        <v>90</v>
      </c>
      <c r="C216" s="252"/>
      <c r="D216" s="39">
        <v>3.2750000000000001E-2</v>
      </c>
      <c r="E216" s="205"/>
      <c r="F216" s="205"/>
    </row>
    <row r="218" spans="2:6">
      <c r="B218" s="253" t="s">
        <v>452</v>
      </c>
      <c r="C218" s="254"/>
      <c r="D218" s="41" t="s">
        <v>453</v>
      </c>
      <c r="E218" s="255" t="s">
        <v>87</v>
      </c>
      <c r="F218" s="255"/>
    </row>
    <row r="219" spans="2:6">
      <c r="B219" s="238"/>
      <c r="C219" s="248"/>
      <c r="D219" s="34">
        <v>1.125E-2</v>
      </c>
      <c r="E219" s="249" t="s">
        <v>454</v>
      </c>
      <c r="F219" s="249"/>
    </row>
    <row r="220" spans="2:6" ht="31.5" customHeight="1">
      <c r="B220" s="238"/>
      <c r="C220" s="248"/>
      <c r="D220" s="34">
        <v>3.68</v>
      </c>
      <c r="E220" s="256" t="s">
        <v>455</v>
      </c>
      <c r="F220" s="259"/>
    </row>
    <row r="221" spans="2:6">
      <c r="B221" s="238"/>
      <c r="C221" s="248"/>
      <c r="D221" s="34">
        <v>4.2</v>
      </c>
      <c r="E221" s="256" t="s">
        <v>456</v>
      </c>
      <c r="F221" s="259"/>
    </row>
    <row r="222" spans="2:6">
      <c r="B222" s="238"/>
      <c r="C222" s="248"/>
      <c r="D222" s="34">
        <v>3.1248</v>
      </c>
      <c r="E222" s="256" t="s">
        <v>456</v>
      </c>
      <c r="F222" s="259"/>
    </row>
    <row r="223" spans="2:6">
      <c r="B223" s="238"/>
      <c r="C223" s="248"/>
      <c r="D223" s="34">
        <v>1.764</v>
      </c>
      <c r="E223" s="256" t="s">
        <v>456</v>
      </c>
      <c r="F223" s="259"/>
    </row>
    <row r="224" spans="2:6">
      <c r="B224" s="238"/>
      <c r="C224" s="248"/>
      <c r="D224" s="34">
        <v>1.3440000000000001</v>
      </c>
      <c r="E224" s="249" t="s">
        <v>457</v>
      </c>
      <c r="F224" s="250"/>
    </row>
    <row r="225" spans="2:6">
      <c r="B225" s="251"/>
      <c r="C225" s="252"/>
      <c r="D225" s="34">
        <v>1.1060000000000001</v>
      </c>
      <c r="E225" s="249" t="s">
        <v>457</v>
      </c>
      <c r="F225" s="250"/>
    </row>
    <row r="226" spans="2:6">
      <c r="B226" s="260"/>
      <c r="C226" s="261"/>
      <c r="D226" s="109">
        <v>0.88200000000000001</v>
      </c>
      <c r="E226" s="249" t="s">
        <v>457</v>
      </c>
      <c r="F226" s="250"/>
    </row>
    <row r="227" spans="2:6">
      <c r="B227" s="260"/>
      <c r="C227" s="261"/>
      <c r="D227" s="109">
        <v>0.74199999999999999</v>
      </c>
      <c r="E227" s="249" t="s">
        <v>457</v>
      </c>
      <c r="F227" s="250"/>
    </row>
    <row r="228" spans="2:6">
      <c r="B228" s="260"/>
      <c r="C228" s="261"/>
      <c r="D228" s="109">
        <v>0.66779999999999995</v>
      </c>
      <c r="E228" s="249" t="s">
        <v>457</v>
      </c>
      <c r="F228" s="250"/>
    </row>
    <row r="229" spans="2:6">
      <c r="B229" s="260"/>
      <c r="C229" s="261"/>
      <c r="D229" s="109">
        <v>0.71399999999999997</v>
      </c>
      <c r="E229" s="249" t="s">
        <v>457</v>
      </c>
      <c r="F229" s="250"/>
    </row>
    <row r="230" spans="2:6">
      <c r="B230" s="260"/>
      <c r="C230" s="261"/>
      <c r="D230" s="109">
        <v>0.81200000000000006</v>
      </c>
      <c r="E230" s="249" t="s">
        <v>457</v>
      </c>
      <c r="F230" s="250"/>
    </row>
    <row r="231" spans="2:6">
      <c r="B231" s="238"/>
      <c r="C231" s="248"/>
      <c r="D231" s="34">
        <v>0.80500000000000005</v>
      </c>
      <c r="E231" s="249" t="s">
        <v>457</v>
      </c>
      <c r="F231" s="250"/>
    </row>
    <row r="232" spans="2:6">
      <c r="B232" s="251" t="s">
        <v>90</v>
      </c>
      <c r="C232" s="252"/>
      <c r="D232" s="39">
        <v>1.5271399999999999</v>
      </c>
      <c r="E232" s="205"/>
      <c r="F232" s="205"/>
    </row>
    <row r="233" spans="2:6">
      <c r="B233" s="111"/>
      <c r="C233" s="111"/>
      <c r="D233" s="111"/>
      <c r="E233" s="25"/>
      <c r="F233" s="25"/>
    </row>
    <row r="234" spans="2:6">
      <c r="B234" s="253" t="s">
        <v>458</v>
      </c>
      <c r="C234" s="254"/>
      <c r="D234" s="41" t="s">
        <v>459</v>
      </c>
      <c r="E234" s="255" t="s">
        <v>87</v>
      </c>
      <c r="F234" s="255"/>
    </row>
    <row r="235" spans="2:6">
      <c r="B235" s="238"/>
      <c r="C235" s="248"/>
      <c r="D235" s="34">
        <v>5.0000000000000001E-3</v>
      </c>
      <c r="E235" s="249" t="s">
        <v>460</v>
      </c>
      <c r="F235" s="249"/>
    </row>
    <row r="236" spans="2:6">
      <c r="B236" s="238"/>
      <c r="C236" s="248"/>
      <c r="D236" s="34">
        <v>0.01</v>
      </c>
      <c r="E236" s="256" t="s">
        <v>460</v>
      </c>
      <c r="F236" s="259"/>
    </row>
    <row r="237" spans="2:6" ht="49.5" customHeight="1">
      <c r="B237" s="238"/>
      <c r="C237" s="248"/>
      <c r="D237" s="34">
        <v>1.67E-3</v>
      </c>
      <c r="E237" s="256" t="s">
        <v>461</v>
      </c>
      <c r="F237" s="259"/>
    </row>
    <row r="238" spans="2:6" ht="54" customHeight="1">
      <c r="B238" s="238"/>
      <c r="C238" s="248"/>
      <c r="D238" s="34">
        <v>2.2499999999999998E-3</v>
      </c>
      <c r="E238" s="256" t="s">
        <v>462</v>
      </c>
      <c r="F238" s="259"/>
    </row>
    <row r="239" spans="2:6" ht="49.5" customHeight="1">
      <c r="B239" s="238"/>
      <c r="C239" s="248"/>
      <c r="D239" s="34">
        <v>3.0000000000000001E-3</v>
      </c>
      <c r="E239" s="256" t="s">
        <v>463</v>
      </c>
      <c r="F239" s="259"/>
    </row>
    <row r="240" spans="2:6" ht="48.75" customHeight="1">
      <c r="B240" s="238"/>
      <c r="C240" s="248"/>
      <c r="D240" s="34">
        <v>1.67E-2</v>
      </c>
      <c r="E240" s="249" t="s">
        <v>464</v>
      </c>
      <c r="F240" s="250"/>
    </row>
    <row r="241" spans="2:6" ht="54.75" customHeight="1">
      <c r="B241" s="251"/>
      <c r="C241" s="252"/>
      <c r="D241" s="34">
        <v>1.4E-2</v>
      </c>
      <c r="E241" s="249" t="s">
        <v>465</v>
      </c>
      <c r="F241" s="250"/>
    </row>
    <row r="242" spans="2:6" ht="51.75" customHeight="1">
      <c r="B242" s="260"/>
      <c r="C242" s="261"/>
      <c r="D242" s="109">
        <v>8.9999999999999993E-3</v>
      </c>
      <c r="E242" s="249" t="s">
        <v>466</v>
      </c>
      <c r="F242" s="250"/>
    </row>
    <row r="243" spans="2:6">
      <c r="B243" s="251" t="s">
        <v>90</v>
      </c>
      <c r="C243" s="252"/>
      <c r="D243" s="39">
        <v>7.7000000000000002E-3</v>
      </c>
      <c r="E243" s="205"/>
      <c r="F243" s="205"/>
    </row>
    <row r="244" spans="2:6">
      <c r="B244" s="111"/>
      <c r="C244" s="111"/>
      <c r="D244" s="111"/>
      <c r="E244" s="25"/>
      <c r="F244" s="25"/>
    </row>
    <row r="245" spans="2:6">
      <c r="B245" s="253" t="s">
        <v>467</v>
      </c>
      <c r="C245" s="254"/>
      <c r="D245" s="41" t="s">
        <v>468</v>
      </c>
      <c r="E245" s="255" t="s">
        <v>87</v>
      </c>
      <c r="F245" s="255"/>
    </row>
    <row r="246" spans="2:6">
      <c r="B246" s="238"/>
      <c r="C246" s="248"/>
      <c r="D246" s="34">
        <v>0.75600000000000001</v>
      </c>
      <c r="E246" s="249" t="s">
        <v>475</v>
      </c>
      <c r="F246" s="249"/>
    </row>
    <row r="247" spans="2:6" ht="15" customHeight="1">
      <c r="B247" s="238"/>
      <c r="C247" s="248"/>
      <c r="D247" s="34">
        <v>0.64</v>
      </c>
      <c r="E247" s="256" t="s">
        <v>474</v>
      </c>
      <c r="F247" s="259"/>
    </row>
    <row r="248" spans="2:6">
      <c r="B248" s="238"/>
      <c r="C248" s="248"/>
      <c r="D248" s="34">
        <v>1</v>
      </c>
      <c r="E248" s="256" t="s">
        <v>474</v>
      </c>
      <c r="F248" s="259"/>
    </row>
    <row r="249" spans="2:6" ht="15" customHeight="1">
      <c r="B249" s="238"/>
      <c r="C249" s="248"/>
      <c r="D249" s="34">
        <v>0.97199999999999998</v>
      </c>
      <c r="E249" s="256" t="s">
        <v>471</v>
      </c>
      <c r="F249" s="259"/>
    </row>
    <row r="250" spans="2:6">
      <c r="B250" s="238"/>
      <c r="C250" s="248"/>
      <c r="D250" s="34">
        <v>0.82799999999999996</v>
      </c>
      <c r="E250" s="256" t="s">
        <v>471</v>
      </c>
      <c r="F250" s="259"/>
    </row>
    <row r="251" spans="2:6">
      <c r="B251" s="238"/>
      <c r="C251" s="248"/>
      <c r="D251" s="34">
        <v>0.1008</v>
      </c>
      <c r="E251" s="249" t="s">
        <v>473</v>
      </c>
      <c r="F251" s="250"/>
    </row>
    <row r="252" spans="2:6">
      <c r="B252" s="251"/>
      <c r="C252" s="252"/>
      <c r="D252" s="34">
        <v>0.504</v>
      </c>
      <c r="E252" s="249" t="s">
        <v>473</v>
      </c>
      <c r="F252" s="250"/>
    </row>
    <row r="253" spans="2:6">
      <c r="B253" s="260"/>
      <c r="C253" s="261"/>
      <c r="D253" s="109">
        <v>1.512</v>
      </c>
      <c r="E253" s="249" t="s">
        <v>472</v>
      </c>
      <c r="F253" s="250"/>
    </row>
    <row r="254" spans="2:6">
      <c r="B254" s="260"/>
      <c r="C254" s="261"/>
      <c r="D254" s="109">
        <v>0.11899999999999999</v>
      </c>
      <c r="E254" s="249" t="s">
        <v>472</v>
      </c>
      <c r="F254" s="250"/>
    </row>
    <row r="255" spans="2:6">
      <c r="B255" s="260"/>
      <c r="C255" s="261"/>
      <c r="D255" s="109">
        <v>5.3999999999999999E-2</v>
      </c>
      <c r="E255" s="249" t="s">
        <v>471</v>
      </c>
      <c r="F255" s="250"/>
    </row>
    <row r="256" spans="2:6" ht="33.75" customHeight="1">
      <c r="B256" s="260"/>
      <c r="C256" s="261"/>
      <c r="D256" s="109">
        <v>1.288</v>
      </c>
      <c r="E256" s="249" t="s">
        <v>470</v>
      </c>
      <c r="F256" s="250"/>
    </row>
    <row r="257" spans="2:6" ht="30" customHeight="1">
      <c r="B257" s="260"/>
      <c r="C257" s="261"/>
      <c r="D257" s="109">
        <v>2.1</v>
      </c>
      <c r="E257" s="249" t="s">
        <v>470</v>
      </c>
      <c r="F257" s="250"/>
    </row>
    <row r="258" spans="2:6">
      <c r="B258" s="110"/>
      <c r="C258" s="112"/>
      <c r="D258" s="34">
        <v>0.95399999999999996</v>
      </c>
      <c r="E258" s="249" t="s">
        <v>469</v>
      </c>
      <c r="F258" s="250"/>
    </row>
    <row r="259" spans="2:6" ht="16.5" customHeight="1">
      <c r="B259" s="238"/>
      <c r="C259" s="248"/>
      <c r="D259" s="34">
        <v>1.8759999999999999</v>
      </c>
      <c r="E259" s="249" t="s">
        <v>469</v>
      </c>
      <c r="F259" s="250"/>
    </row>
    <row r="260" spans="2:6">
      <c r="B260" s="251" t="s">
        <v>90</v>
      </c>
      <c r="C260" s="252"/>
      <c r="D260" s="39">
        <v>1.1097999999999999</v>
      </c>
      <c r="E260" s="205"/>
      <c r="F260" s="205"/>
    </row>
    <row r="261" spans="2:6">
      <c r="B261" s="111"/>
      <c r="C261" s="111"/>
      <c r="D261" s="111"/>
      <c r="E261" s="25"/>
      <c r="F261" s="25"/>
    </row>
    <row r="262" spans="2:6">
      <c r="B262" s="253" t="s">
        <v>476</v>
      </c>
      <c r="C262" s="254"/>
      <c r="D262" s="41" t="s">
        <v>477</v>
      </c>
      <c r="E262" s="255" t="s">
        <v>87</v>
      </c>
      <c r="F262" s="255"/>
    </row>
    <row r="263" spans="2:6">
      <c r="B263" s="238"/>
      <c r="C263" s="248"/>
      <c r="D263" s="34">
        <v>0.45200000000000001</v>
      </c>
      <c r="E263" s="249" t="s">
        <v>478</v>
      </c>
      <c r="F263" s="249"/>
    </row>
    <row r="264" spans="2:6" ht="48.75" customHeight="1">
      <c r="B264" s="238"/>
      <c r="C264" s="248"/>
      <c r="D264" s="34">
        <v>0.2016</v>
      </c>
      <c r="E264" s="256" t="s">
        <v>479</v>
      </c>
      <c r="F264" s="259"/>
    </row>
    <row r="265" spans="2:6">
      <c r="B265" s="251" t="s">
        <v>90</v>
      </c>
      <c r="C265" s="252"/>
      <c r="D265" s="39">
        <v>0.32679999999999998</v>
      </c>
      <c r="E265" s="205"/>
      <c r="F265" s="205"/>
    </row>
    <row r="266" spans="2:6">
      <c r="B266" s="111"/>
      <c r="C266" s="111"/>
      <c r="D266" s="111"/>
      <c r="E266" s="25"/>
      <c r="F266" s="25"/>
    </row>
    <row r="267" spans="2:6">
      <c r="B267" s="253" t="s">
        <v>480</v>
      </c>
      <c r="C267" s="254"/>
      <c r="D267" s="41" t="s">
        <v>481</v>
      </c>
      <c r="E267" s="255" t="s">
        <v>87</v>
      </c>
      <c r="F267" s="255"/>
    </row>
    <row r="268" spans="2:6">
      <c r="B268" s="238"/>
      <c r="C268" s="248"/>
      <c r="D268" s="34">
        <v>0.23699999999999999</v>
      </c>
      <c r="E268" s="249" t="s">
        <v>482</v>
      </c>
      <c r="F268" s="249"/>
    </row>
    <row r="269" spans="2:6">
      <c r="B269" s="238"/>
      <c r="C269" s="248"/>
      <c r="D269" s="34">
        <v>0.54</v>
      </c>
      <c r="E269" s="250" t="s">
        <v>483</v>
      </c>
      <c r="F269" s="250"/>
    </row>
    <row r="270" spans="2:6">
      <c r="B270" s="238"/>
      <c r="C270" s="248"/>
      <c r="D270" s="34">
        <v>7.1999999999999995E-2</v>
      </c>
      <c r="E270" s="250" t="s">
        <v>483</v>
      </c>
      <c r="F270" s="250"/>
    </row>
    <row r="271" spans="2:6">
      <c r="B271" s="238"/>
      <c r="C271" s="248"/>
      <c r="D271" s="34">
        <v>2.88</v>
      </c>
      <c r="E271" s="250" t="s">
        <v>483</v>
      </c>
      <c r="F271" s="250"/>
    </row>
    <row r="272" spans="2:6" ht="16.5" customHeight="1">
      <c r="B272" s="238"/>
      <c r="C272" s="248"/>
      <c r="D272" s="34">
        <v>0.65500000000000003</v>
      </c>
      <c r="E272" s="249" t="s">
        <v>484</v>
      </c>
      <c r="F272" s="249"/>
    </row>
    <row r="273" spans="2:6">
      <c r="B273" s="251" t="s">
        <v>90</v>
      </c>
      <c r="C273" s="252"/>
      <c r="D273" s="39">
        <v>0.87680000000000002</v>
      </c>
      <c r="E273" s="205"/>
      <c r="F273" s="205"/>
    </row>
    <row r="275" spans="2:6">
      <c r="B275" s="245" t="s">
        <v>101</v>
      </c>
      <c r="C275" s="245"/>
      <c r="D275" s="245"/>
      <c r="E275" s="245"/>
    </row>
    <row r="276" spans="2:6">
      <c r="B276" s="42" t="s">
        <v>66</v>
      </c>
      <c r="C276" s="42" t="s">
        <v>491</v>
      </c>
      <c r="D276" s="42" t="s">
        <v>87</v>
      </c>
      <c r="E276" s="42" t="s">
        <v>102</v>
      </c>
    </row>
    <row r="277" spans="2:6">
      <c r="B277" s="59" t="s">
        <v>485</v>
      </c>
      <c r="C277" s="55">
        <v>0.39939999999999998</v>
      </c>
      <c r="D277" s="59" t="s">
        <v>486</v>
      </c>
      <c r="E277" s="55"/>
    </row>
    <row r="278" spans="2:6" ht="45">
      <c r="B278" s="59" t="s">
        <v>487</v>
      </c>
      <c r="C278" s="55">
        <f>4.07434*C277</f>
        <v>1.6272913959999999</v>
      </c>
      <c r="D278" s="59" t="s">
        <v>488</v>
      </c>
      <c r="E278" s="55" t="s">
        <v>110</v>
      </c>
    </row>
    <row r="279" spans="2:6" ht="30">
      <c r="B279" s="59" t="s">
        <v>489</v>
      </c>
      <c r="C279" s="55">
        <f>0.03275*C277</f>
        <v>1.3080349999999999E-2</v>
      </c>
      <c r="D279" s="59" t="s">
        <v>492</v>
      </c>
      <c r="E279" s="59" t="s">
        <v>490</v>
      </c>
    </row>
    <row r="280" spans="2:6" ht="30">
      <c r="B280" s="55" t="s">
        <v>114</v>
      </c>
      <c r="C280" s="55">
        <f>7.7*C277</f>
        <v>3.07538</v>
      </c>
      <c r="D280" s="59" t="s">
        <v>493</v>
      </c>
      <c r="E280" s="55" t="s">
        <v>116</v>
      </c>
    </row>
    <row r="281" spans="2:6">
      <c r="B281" s="244" t="s">
        <v>123</v>
      </c>
      <c r="C281" s="244"/>
      <c r="D281" s="244"/>
      <c r="E281" s="244"/>
    </row>
    <row r="282" spans="2:6">
      <c r="B282" s="58" t="s">
        <v>494</v>
      </c>
      <c r="C282" s="55">
        <f>C277</f>
        <v>0.39939999999999998</v>
      </c>
      <c r="D282" s="58" t="s">
        <v>495</v>
      </c>
      <c r="E282" s="58"/>
    </row>
    <row r="284" spans="2:6">
      <c r="B284" s="38" t="s">
        <v>497</v>
      </c>
    </row>
    <row r="286" spans="2:6" ht="42.75" customHeight="1">
      <c r="B286" s="218" t="s">
        <v>496</v>
      </c>
      <c r="C286" s="218"/>
      <c r="D286" s="218"/>
      <c r="E286" s="218"/>
      <c r="F286" s="218"/>
    </row>
    <row r="287" spans="2:6">
      <c r="B287" s="253" t="s">
        <v>498</v>
      </c>
      <c r="C287" s="254"/>
      <c r="D287" s="41" t="s">
        <v>499</v>
      </c>
      <c r="E287" s="255" t="s">
        <v>87</v>
      </c>
      <c r="F287" s="255"/>
    </row>
    <row r="288" spans="2:6">
      <c r="B288" s="238"/>
      <c r="C288" s="248"/>
      <c r="D288" s="34">
        <v>0.18</v>
      </c>
      <c r="E288" s="249" t="s">
        <v>511</v>
      </c>
      <c r="F288" s="249"/>
    </row>
    <row r="289" spans="2:6" ht="38.25" customHeight="1">
      <c r="B289" s="238"/>
      <c r="C289" s="248"/>
      <c r="D289" s="34">
        <v>1.93</v>
      </c>
      <c r="E289" s="249" t="s">
        <v>510</v>
      </c>
      <c r="F289" s="249"/>
    </row>
    <row r="290" spans="2:6">
      <c r="B290" s="238"/>
      <c r="C290" s="248"/>
      <c r="D290" s="34">
        <v>0.1</v>
      </c>
      <c r="E290" s="256" t="s">
        <v>508</v>
      </c>
      <c r="F290" s="259"/>
    </row>
    <row r="291" spans="2:6">
      <c r="B291" s="238"/>
      <c r="C291" s="248"/>
      <c r="D291" s="34">
        <v>4.8</v>
      </c>
      <c r="E291" s="256" t="s">
        <v>508</v>
      </c>
      <c r="F291" s="259"/>
    </row>
    <row r="292" spans="2:6">
      <c r="B292" s="238"/>
      <c r="C292" s="248"/>
      <c r="D292" s="34">
        <v>0.26</v>
      </c>
      <c r="E292" s="258" t="s">
        <v>509</v>
      </c>
      <c r="F292" s="257"/>
    </row>
    <row r="293" spans="2:6">
      <c r="B293" s="238"/>
      <c r="C293" s="248"/>
      <c r="D293" s="34">
        <v>0.14000000000000001</v>
      </c>
      <c r="E293" s="256" t="s">
        <v>508</v>
      </c>
      <c r="F293" s="259"/>
    </row>
    <row r="294" spans="2:6" ht="36" customHeight="1">
      <c r="B294" s="238"/>
      <c r="C294" s="248"/>
      <c r="D294" s="34">
        <v>6.7</v>
      </c>
      <c r="E294" s="256" t="s">
        <v>507</v>
      </c>
      <c r="F294" s="259"/>
    </row>
    <row r="295" spans="2:6">
      <c r="B295" s="238"/>
      <c r="C295" s="248"/>
      <c r="D295" s="34">
        <v>5.53</v>
      </c>
      <c r="E295" s="258" t="s">
        <v>506</v>
      </c>
      <c r="F295" s="257"/>
    </row>
    <row r="296" spans="2:6">
      <c r="B296" s="238"/>
      <c r="C296" s="248"/>
      <c r="D296" s="34">
        <v>1.03</v>
      </c>
      <c r="E296" s="258" t="s">
        <v>506</v>
      </c>
      <c r="F296" s="257"/>
    </row>
    <row r="297" spans="2:6">
      <c r="B297" s="238"/>
      <c r="C297" s="248"/>
      <c r="D297" s="34">
        <v>0.54</v>
      </c>
      <c r="E297" s="258" t="s">
        <v>506</v>
      </c>
      <c r="F297" s="257"/>
    </row>
    <row r="298" spans="2:6">
      <c r="B298" s="238"/>
      <c r="C298" s="248"/>
      <c r="D298" s="34">
        <v>0.37</v>
      </c>
      <c r="E298" s="258" t="s">
        <v>506</v>
      </c>
      <c r="F298" s="257"/>
    </row>
    <row r="299" spans="2:6" ht="47.25" customHeight="1">
      <c r="B299" s="238"/>
      <c r="C299" s="248"/>
      <c r="D299" s="34">
        <v>0.69</v>
      </c>
      <c r="E299" s="256" t="s">
        <v>505</v>
      </c>
      <c r="F299" s="259"/>
    </row>
    <row r="300" spans="2:6">
      <c r="B300" s="238"/>
      <c r="C300" s="248"/>
      <c r="D300" s="34">
        <v>0.27</v>
      </c>
      <c r="E300" s="258" t="s">
        <v>504</v>
      </c>
      <c r="F300" s="257"/>
    </row>
    <row r="301" spans="2:6">
      <c r="B301" s="238"/>
      <c r="C301" s="248"/>
      <c r="D301" s="34">
        <v>0.17</v>
      </c>
      <c r="E301" s="258" t="s">
        <v>503</v>
      </c>
      <c r="F301" s="257"/>
    </row>
    <row r="302" spans="2:6">
      <c r="B302" s="238"/>
      <c r="C302" s="248"/>
      <c r="D302" s="34">
        <v>0.27</v>
      </c>
      <c r="E302" s="258" t="s">
        <v>503</v>
      </c>
      <c r="F302" s="257"/>
    </row>
    <row r="303" spans="2:6">
      <c r="B303" s="238"/>
      <c r="C303" s="248"/>
      <c r="D303" s="34">
        <v>0.35</v>
      </c>
      <c r="E303" s="258" t="s">
        <v>503</v>
      </c>
      <c r="F303" s="257"/>
    </row>
    <row r="304" spans="2:6">
      <c r="B304" s="238"/>
      <c r="C304" s="248"/>
      <c r="D304" s="34">
        <v>4.75</v>
      </c>
      <c r="E304" s="258" t="s">
        <v>503</v>
      </c>
      <c r="F304" s="257"/>
    </row>
    <row r="305" spans="2:6">
      <c r="B305" s="238"/>
      <c r="C305" s="248"/>
      <c r="D305" s="34">
        <v>0.14000000000000001</v>
      </c>
      <c r="E305" s="258" t="s">
        <v>503</v>
      </c>
      <c r="F305" s="257"/>
    </row>
    <row r="306" spans="2:6" ht="34.5" customHeight="1">
      <c r="B306" s="238"/>
      <c r="C306" s="248"/>
      <c r="D306" s="34">
        <v>2.0299999999999998</v>
      </c>
      <c r="E306" s="256" t="s">
        <v>502</v>
      </c>
      <c r="F306" s="257"/>
    </row>
    <row r="307" spans="2:6">
      <c r="B307" s="238"/>
      <c r="C307" s="248"/>
      <c r="D307" s="34">
        <v>0.52</v>
      </c>
      <c r="E307" s="249" t="s">
        <v>500</v>
      </c>
      <c r="F307" s="249"/>
    </row>
    <row r="308" spans="2:6">
      <c r="B308" s="238"/>
      <c r="C308" s="248"/>
      <c r="D308" s="34">
        <v>0.33</v>
      </c>
      <c r="E308" s="249" t="s">
        <v>500</v>
      </c>
      <c r="F308" s="249"/>
    </row>
    <row r="309" spans="2:6">
      <c r="B309" s="238"/>
      <c r="C309" s="248"/>
      <c r="D309" s="34">
        <v>0.27</v>
      </c>
      <c r="E309" s="249" t="s">
        <v>500</v>
      </c>
      <c r="F309" s="249"/>
    </row>
    <row r="310" spans="2:6" ht="31.5" customHeight="1">
      <c r="B310" s="251" t="s">
        <v>90</v>
      </c>
      <c r="C310" s="252"/>
      <c r="D310" s="39">
        <v>1.649</v>
      </c>
      <c r="E310" s="249" t="s">
        <v>501</v>
      </c>
      <c r="F310" s="249"/>
    </row>
    <row r="312" spans="2:6">
      <c r="B312" s="245" t="s">
        <v>101</v>
      </c>
      <c r="C312" s="245"/>
      <c r="D312" s="245"/>
      <c r="E312" s="245"/>
    </row>
    <row r="313" spans="2:6">
      <c r="B313" s="42" t="s">
        <v>66</v>
      </c>
      <c r="C313" s="42" t="s">
        <v>517</v>
      </c>
      <c r="D313" s="42" t="s">
        <v>87</v>
      </c>
      <c r="E313" s="42" t="s">
        <v>102</v>
      </c>
    </row>
    <row r="314" spans="2:6" ht="45">
      <c r="B314" s="59" t="s">
        <v>512</v>
      </c>
      <c r="C314" s="55">
        <f>1.0195*0.948</f>
        <v>0.96648600000000007</v>
      </c>
      <c r="D314" s="59" t="s">
        <v>529</v>
      </c>
      <c r="E314" s="55"/>
    </row>
    <row r="315" spans="2:6" ht="45">
      <c r="B315" s="59" t="s">
        <v>514</v>
      </c>
      <c r="C315" s="55">
        <f>1.1112*0.948</f>
        <v>1.0534176</v>
      </c>
      <c r="D315" s="59" t="s">
        <v>530</v>
      </c>
      <c r="E315" s="55"/>
    </row>
    <row r="316" spans="2:6" ht="30">
      <c r="B316" s="59" t="s">
        <v>487</v>
      </c>
      <c r="C316" s="55">
        <f>(C314+C315)*1.649</f>
        <v>3.3308210364000002</v>
      </c>
      <c r="D316" s="59" t="s">
        <v>515</v>
      </c>
      <c r="E316" s="55" t="s">
        <v>110</v>
      </c>
    </row>
    <row r="317" spans="2:6">
      <c r="B317" s="244" t="s">
        <v>123</v>
      </c>
      <c r="C317" s="244"/>
      <c r="D317" s="244"/>
      <c r="E317" s="244"/>
    </row>
    <row r="318" spans="2:6">
      <c r="B318" s="58" t="s">
        <v>494</v>
      </c>
      <c r="C318" s="55">
        <f>C314</f>
        <v>0.96648600000000007</v>
      </c>
      <c r="D318" s="58"/>
      <c r="E318" s="58"/>
    </row>
    <row r="319" spans="2:6">
      <c r="B319" s="58" t="s">
        <v>516</v>
      </c>
      <c r="C319" s="55">
        <f>C315</f>
        <v>1.0534176</v>
      </c>
      <c r="D319" s="58"/>
      <c r="E319" s="58"/>
    </row>
    <row r="320" spans="2:6" ht="30">
      <c r="B320" s="55" t="s">
        <v>251</v>
      </c>
      <c r="C320" s="55">
        <f>(1.0195+1.1112)*0.052</f>
        <v>0.1107964</v>
      </c>
      <c r="D320" s="59" t="s">
        <v>518</v>
      </c>
      <c r="E320" s="58"/>
    </row>
    <row r="322" spans="2:6">
      <c r="B322" s="253" t="s">
        <v>96</v>
      </c>
      <c r="C322" s="254"/>
      <c r="D322" s="41" t="s">
        <v>97</v>
      </c>
      <c r="E322" s="255" t="s">
        <v>87</v>
      </c>
      <c r="F322" s="255"/>
    </row>
    <row r="323" spans="2:6">
      <c r="B323" s="238"/>
      <c r="C323" s="248"/>
      <c r="D323" s="34">
        <v>0.10125000000000001</v>
      </c>
      <c r="E323" s="249" t="s">
        <v>88</v>
      </c>
      <c r="F323" s="249"/>
    </row>
    <row r="324" spans="2:6">
      <c r="B324" s="238"/>
      <c r="C324" s="248"/>
      <c r="D324" s="34">
        <v>0.15079000000000001</v>
      </c>
      <c r="E324" s="249" t="s">
        <v>89</v>
      </c>
      <c r="F324" s="250"/>
    </row>
    <row r="325" spans="2:6">
      <c r="B325" s="251" t="s">
        <v>90</v>
      </c>
      <c r="C325" s="252"/>
      <c r="D325" s="39">
        <v>0.126</v>
      </c>
      <c r="E325" s="205"/>
      <c r="F325" s="205"/>
    </row>
    <row r="327" spans="2:6">
      <c r="B327" s="253" t="s">
        <v>92</v>
      </c>
      <c r="C327" s="254"/>
      <c r="D327" s="40" t="s">
        <v>93</v>
      </c>
      <c r="E327" s="255" t="s">
        <v>87</v>
      </c>
      <c r="F327" s="255"/>
    </row>
    <row r="328" spans="2:6">
      <c r="B328" s="238"/>
      <c r="C328" s="248"/>
      <c r="D328" s="34">
        <v>1.44</v>
      </c>
      <c r="E328" s="249" t="s">
        <v>94</v>
      </c>
      <c r="F328" s="249"/>
    </row>
    <row r="329" spans="2:6">
      <c r="B329" s="238"/>
      <c r="C329" s="248"/>
      <c r="D329" s="34">
        <v>2.88</v>
      </c>
      <c r="E329" s="249" t="s">
        <v>95</v>
      </c>
      <c r="F329" s="250"/>
    </row>
    <row r="330" spans="2:6">
      <c r="B330" s="251" t="s">
        <v>90</v>
      </c>
      <c r="C330" s="252"/>
      <c r="D330" s="39">
        <v>2.16</v>
      </c>
      <c r="E330" s="205"/>
      <c r="F330" s="205"/>
    </row>
    <row r="332" spans="2:6">
      <c r="B332" s="253" t="s">
        <v>98</v>
      </c>
      <c r="C332" s="254"/>
      <c r="D332" s="40" t="s">
        <v>99</v>
      </c>
      <c r="E332" s="255" t="s">
        <v>87</v>
      </c>
      <c r="F332" s="255"/>
    </row>
    <row r="333" spans="2:6">
      <c r="B333" s="238"/>
      <c r="C333" s="248"/>
      <c r="D333" s="34">
        <v>11.7</v>
      </c>
      <c r="E333" s="249" t="s">
        <v>100</v>
      </c>
      <c r="F333" s="249"/>
    </row>
    <row r="334" spans="2:6">
      <c r="B334" s="238"/>
      <c r="C334" s="248"/>
      <c r="D334" s="34">
        <v>19.7</v>
      </c>
      <c r="E334" s="249" t="s">
        <v>100</v>
      </c>
      <c r="F334" s="250"/>
    </row>
    <row r="335" spans="2:6">
      <c r="B335" s="251" t="s">
        <v>90</v>
      </c>
      <c r="C335" s="252"/>
      <c r="D335" s="39">
        <v>15.7</v>
      </c>
      <c r="E335" s="205"/>
      <c r="F335" s="205"/>
    </row>
    <row r="338" spans="2:5">
      <c r="B338" s="245" t="s">
        <v>101</v>
      </c>
      <c r="C338" s="245"/>
      <c r="D338" s="245"/>
      <c r="E338" s="245"/>
    </row>
    <row r="339" spans="2:5">
      <c r="B339" s="42" t="s">
        <v>66</v>
      </c>
      <c r="C339" s="42" t="s">
        <v>491</v>
      </c>
      <c r="D339" s="42" t="s">
        <v>87</v>
      </c>
      <c r="E339" s="42" t="s">
        <v>102</v>
      </c>
    </row>
    <row r="340" spans="2:5" ht="30">
      <c r="B340" s="59" t="s">
        <v>103</v>
      </c>
      <c r="C340" s="55">
        <f>C185*0.95</f>
        <v>0.79134999999999989</v>
      </c>
      <c r="D340" s="59" t="s">
        <v>107</v>
      </c>
      <c r="E340" s="55"/>
    </row>
    <row r="341" spans="2:5" ht="30">
      <c r="B341" s="59" t="s">
        <v>105</v>
      </c>
      <c r="C341" s="55">
        <f>C185*0.05</f>
        <v>4.165E-2</v>
      </c>
      <c r="D341" s="59" t="s">
        <v>108</v>
      </c>
      <c r="E341" s="59" t="s">
        <v>106</v>
      </c>
    </row>
    <row r="342" spans="2:5">
      <c r="B342" s="59" t="s">
        <v>112</v>
      </c>
      <c r="C342" s="55">
        <f>C340*(0.126+2.16)</f>
        <v>1.8090260999999999</v>
      </c>
      <c r="D342" s="59" t="s">
        <v>519</v>
      </c>
      <c r="E342" s="55" t="s">
        <v>110</v>
      </c>
    </row>
    <row r="343" spans="2:5" ht="45">
      <c r="B343" s="60" t="s">
        <v>111</v>
      </c>
      <c r="C343" s="55">
        <f>C340*0.038</f>
        <v>3.0071299999999995E-2</v>
      </c>
      <c r="D343" s="59" t="s">
        <v>122</v>
      </c>
      <c r="E343" s="59" t="s">
        <v>113</v>
      </c>
    </row>
    <row r="344" spans="2:5">
      <c r="B344" s="55" t="s">
        <v>114</v>
      </c>
      <c r="C344" s="55">
        <f>C340*0.0102</f>
        <v>8.0717699999999989E-3</v>
      </c>
      <c r="D344" s="55" t="s">
        <v>115</v>
      </c>
      <c r="E344" s="55" t="s">
        <v>116</v>
      </c>
    </row>
    <row r="345" spans="2:5" ht="30">
      <c r="B345" s="59" t="s">
        <v>117</v>
      </c>
      <c r="C345" s="55">
        <f>0.95*C186</f>
        <v>1.8828999999999998</v>
      </c>
      <c r="D345" s="59" t="s">
        <v>118</v>
      </c>
      <c r="E345" s="59" t="s">
        <v>104</v>
      </c>
    </row>
    <row r="346" spans="2:5" ht="30">
      <c r="B346" s="59" t="s">
        <v>119</v>
      </c>
      <c r="C346" s="55">
        <f>0.05*C186</f>
        <v>9.9100000000000008E-2</v>
      </c>
      <c r="D346" s="59" t="s">
        <v>120</v>
      </c>
      <c r="E346" s="59" t="s">
        <v>106</v>
      </c>
    </row>
    <row r="347" spans="2:5">
      <c r="B347" s="59" t="s">
        <v>121</v>
      </c>
      <c r="C347" s="55">
        <f>C345*(0.126+2.16)</f>
        <v>4.3043093999999993</v>
      </c>
      <c r="D347" s="59" t="s">
        <v>520</v>
      </c>
      <c r="E347" s="55" t="s">
        <v>110</v>
      </c>
    </row>
    <row r="348" spans="2:5" ht="45">
      <c r="B348" s="55" t="s">
        <v>111</v>
      </c>
      <c r="C348" s="55">
        <f>C345*0.038</f>
        <v>7.1550199999999994E-2</v>
      </c>
      <c r="D348" s="59" t="s">
        <v>122</v>
      </c>
      <c r="E348" s="59" t="s">
        <v>113</v>
      </c>
    </row>
    <row r="349" spans="2:5">
      <c r="B349" s="58" t="s">
        <v>114</v>
      </c>
      <c r="C349" s="55">
        <f>C345*0.0102</f>
        <v>1.920558E-2</v>
      </c>
      <c r="D349" s="58" t="s">
        <v>115</v>
      </c>
      <c r="E349" s="55" t="s">
        <v>116</v>
      </c>
    </row>
    <row r="350" spans="2:5">
      <c r="B350" s="244" t="s">
        <v>123</v>
      </c>
      <c r="C350" s="244"/>
      <c r="D350" s="244"/>
      <c r="E350" s="244"/>
    </row>
    <row r="351" spans="2:5">
      <c r="B351" s="58" t="s">
        <v>124</v>
      </c>
      <c r="C351" s="55">
        <f>C340</f>
        <v>0.79134999999999989</v>
      </c>
      <c r="D351" s="58" t="s">
        <v>125</v>
      </c>
      <c r="E351" s="58"/>
    </row>
    <row r="352" spans="2:5">
      <c r="B352" s="58" t="s">
        <v>126</v>
      </c>
      <c r="C352" s="55">
        <f>C341</f>
        <v>4.165E-2</v>
      </c>
      <c r="D352" s="58" t="s">
        <v>125</v>
      </c>
      <c r="E352" s="58"/>
    </row>
    <row r="353" spans="2:5">
      <c r="B353" s="58" t="s">
        <v>127</v>
      </c>
      <c r="C353" s="55">
        <f>C345</f>
        <v>1.8828999999999998</v>
      </c>
      <c r="D353" s="58" t="s">
        <v>125</v>
      </c>
      <c r="E353" s="58"/>
    </row>
    <row r="354" spans="2:5">
      <c r="B354" s="58" t="s">
        <v>128</v>
      </c>
      <c r="C354" s="55">
        <f>C346</f>
        <v>9.9100000000000008E-2</v>
      </c>
      <c r="D354" s="58" t="s">
        <v>125</v>
      </c>
      <c r="E354" s="58"/>
    </row>
    <row r="356" spans="2:5">
      <c r="B356" s="245" t="s">
        <v>101</v>
      </c>
      <c r="C356" s="245"/>
      <c r="D356" s="245"/>
      <c r="E356" s="245"/>
    </row>
    <row r="357" spans="2:5">
      <c r="B357" s="42" t="s">
        <v>66</v>
      </c>
      <c r="C357" s="42" t="s">
        <v>253</v>
      </c>
      <c r="D357" s="42" t="s">
        <v>87</v>
      </c>
      <c r="E357" s="42" t="s">
        <v>102</v>
      </c>
    </row>
    <row r="358" spans="2:5" ht="30">
      <c r="B358" s="59" t="s">
        <v>129</v>
      </c>
      <c r="C358" s="55">
        <f>0.95*C192</f>
        <v>0.22324999999999998</v>
      </c>
      <c r="D358" s="59" t="s">
        <v>133</v>
      </c>
      <c r="E358" s="59" t="s">
        <v>104</v>
      </c>
    </row>
    <row r="359" spans="2:5" ht="30">
      <c r="B359" s="59" t="s">
        <v>130</v>
      </c>
      <c r="C359" s="55">
        <f>0.05*C192</f>
        <v>1.175E-2</v>
      </c>
      <c r="D359" s="59" t="s">
        <v>132</v>
      </c>
      <c r="E359" s="59" t="s">
        <v>106</v>
      </c>
    </row>
    <row r="360" spans="2:5">
      <c r="B360" s="59" t="s">
        <v>131</v>
      </c>
      <c r="C360" s="55">
        <f>(0.126+15.7)*C358</f>
        <v>3.5331544999999993</v>
      </c>
      <c r="D360" s="59" t="s">
        <v>522</v>
      </c>
      <c r="E360" s="55" t="s">
        <v>110</v>
      </c>
    </row>
    <row r="361" spans="2:5" ht="75">
      <c r="B361" s="55" t="s">
        <v>134</v>
      </c>
      <c r="C361" s="55">
        <f>0.03668*C358</f>
        <v>8.1888099999999978E-3</v>
      </c>
      <c r="D361" s="59" t="s">
        <v>135</v>
      </c>
      <c r="E361" s="59" t="s">
        <v>136</v>
      </c>
    </row>
    <row r="362" spans="2:5" ht="75">
      <c r="B362" s="55" t="s">
        <v>140</v>
      </c>
      <c r="C362" s="55">
        <f>0.00084*C358</f>
        <v>1.8752999999999999E-4</v>
      </c>
      <c r="D362" s="59" t="s">
        <v>141</v>
      </c>
      <c r="E362" s="59" t="s">
        <v>142</v>
      </c>
    </row>
    <row r="363" spans="2:5" ht="75">
      <c r="B363" s="55" t="s">
        <v>143</v>
      </c>
      <c r="C363" s="55">
        <f>0.04463*C358</f>
        <v>9.9636474999999988E-3</v>
      </c>
      <c r="D363" s="59" t="s">
        <v>144</v>
      </c>
      <c r="E363" s="59" t="s">
        <v>145</v>
      </c>
    </row>
    <row r="364" spans="2:5" ht="75">
      <c r="B364" s="55" t="s">
        <v>114</v>
      </c>
      <c r="C364" s="55">
        <f>0.0628*C358</f>
        <v>1.4020099999999997E-2</v>
      </c>
      <c r="D364" s="59" t="s">
        <v>146</v>
      </c>
      <c r="E364" s="59" t="s">
        <v>116</v>
      </c>
    </row>
    <row r="365" spans="2:5">
      <c r="B365" s="58" t="s">
        <v>137</v>
      </c>
      <c r="C365" s="55">
        <f>0.002*C358</f>
        <v>4.4649999999999996E-4</v>
      </c>
      <c r="D365" s="58" t="s">
        <v>138</v>
      </c>
      <c r="E365" s="55" t="s">
        <v>139</v>
      </c>
    </row>
    <row r="366" spans="2:5">
      <c r="B366" s="244" t="s">
        <v>123</v>
      </c>
      <c r="C366" s="244"/>
      <c r="D366" s="244"/>
      <c r="E366" s="244"/>
    </row>
    <row r="367" spans="2:5">
      <c r="B367" s="58" t="s">
        <v>147</v>
      </c>
      <c r="C367" s="55">
        <f>C358</f>
        <v>0.22324999999999998</v>
      </c>
      <c r="D367" s="58" t="s">
        <v>125</v>
      </c>
      <c r="E367" s="58"/>
    </row>
    <row r="368" spans="2:5">
      <c r="B368" s="58" t="s">
        <v>148</v>
      </c>
      <c r="C368" s="55">
        <f>C359</f>
        <v>1.175E-2</v>
      </c>
      <c r="D368" s="58" t="s">
        <v>125</v>
      </c>
      <c r="E368" s="58"/>
    </row>
    <row r="370" spans="2:5">
      <c r="B370" s="38" t="s">
        <v>521</v>
      </c>
    </row>
    <row r="372" spans="2:5">
      <c r="B372" s="245" t="s">
        <v>101</v>
      </c>
      <c r="C372" s="245"/>
      <c r="D372" s="245"/>
      <c r="E372" s="245"/>
    </row>
    <row r="373" spans="2:5">
      <c r="B373" s="42" t="s">
        <v>66</v>
      </c>
      <c r="C373" s="42" t="s">
        <v>517</v>
      </c>
      <c r="D373" s="42" t="s">
        <v>87</v>
      </c>
      <c r="E373" s="42" t="s">
        <v>102</v>
      </c>
    </row>
    <row r="374" spans="2:5" ht="45">
      <c r="B374" s="59" t="s">
        <v>523</v>
      </c>
      <c r="C374" s="55">
        <f>C320</f>
        <v>0.1107964</v>
      </c>
      <c r="D374" s="59" t="s">
        <v>513</v>
      </c>
      <c r="E374" s="24" t="s">
        <v>525</v>
      </c>
    </row>
    <row r="375" spans="2:5">
      <c r="B375" s="244" t="s">
        <v>123</v>
      </c>
      <c r="C375" s="244"/>
      <c r="D375" s="244"/>
      <c r="E375" s="244"/>
    </row>
    <row r="376" spans="2:5">
      <c r="B376" s="58" t="s">
        <v>524</v>
      </c>
      <c r="C376" s="55">
        <f>C374</f>
        <v>0.1107964</v>
      </c>
      <c r="D376" s="58"/>
      <c r="E376" s="58"/>
    </row>
    <row r="378" spans="2:5">
      <c r="B378" s="38" t="s">
        <v>176</v>
      </c>
    </row>
    <row r="380" spans="2:5">
      <c r="B380" s="243" t="s">
        <v>531</v>
      </c>
      <c r="C380" s="245"/>
      <c r="D380" s="245"/>
      <c r="E380" s="245"/>
    </row>
    <row r="381" spans="2:5">
      <c r="B381" s="1" t="s">
        <v>162</v>
      </c>
      <c r="C381" s="1" t="s">
        <v>177</v>
      </c>
      <c r="D381" s="58" t="s">
        <v>81</v>
      </c>
      <c r="E381" s="58" t="s">
        <v>175</v>
      </c>
    </row>
    <row r="382" spans="2:5">
      <c r="B382" s="1" t="s">
        <v>163</v>
      </c>
      <c r="C382" s="113">
        <v>1.0499999999999999E-5</v>
      </c>
      <c r="D382" s="57">
        <v>2.5474999999999997E-6</v>
      </c>
      <c r="E382" s="44">
        <v>1.2376152882205513E-9</v>
      </c>
    </row>
    <row r="383" spans="2:5">
      <c r="B383" s="1" t="s">
        <v>164</v>
      </c>
      <c r="C383" s="114">
        <v>405</v>
      </c>
      <c r="D383" s="57">
        <v>7.4266666666666659</v>
      </c>
      <c r="E383" s="44">
        <v>9.346012531328321E-2</v>
      </c>
    </row>
    <row r="384" spans="2:5">
      <c r="B384" s="1" t="s">
        <v>165</v>
      </c>
      <c r="C384" s="114">
        <v>0.11600000000000001</v>
      </c>
      <c r="D384" s="57">
        <v>1.0983333333333333E-3</v>
      </c>
      <c r="E384" s="44">
        <v>1.7452694235588974E-5</v>
      </c>
    </row>
    <row r="385" spans="2:5">
      <c r="B385" s="1" t="s">
        <v>166</v>
      </c>
      <c r="C385" s="114">
        <v>8.8100000000000001E-3</v>
      </c>
      <c r="D385" s="57">
        <v>2.253333333333333E-4</v>
      </c>
      <c r="E385" s="44">
        <v>1.8730162907268171E-6</v>
      </c>
    </row>
    <row r="386" spans="2:5">
      <c r="B386" s="1" t="s">
        <v>167</v>
      </c>
      <c r="C386" s="114">
        <v>0.1845</v>
      </c>
      <c r="D386" s="57">
        <v>1.6758333333333334E-3</v>
      </c>
      <c r="E386" s="44">
        <v>1.5553157894736841E-5</v>
      </c>
    </row>
    <row r="387" spans="2:5">
      <c r="B387" s="1" t="s">
        <v>168</v>
      </c>
      <c r="C387" s="114">
        <v>37.14</v>
      </c>
      <c r="D387" s="57">
        <v>0.72699999999999987</v>
      </c>
      <c r="E387" s="44">
        <v>6.4535213032581463E-3</v>
      </c>
    </row>
    <row r="388" spans="2:5">
      <c r="B388" s="1" t="s">
        <v>169</v>
      </c>
      <c r="C388" s="114">
        <v>37.15</v>
      </c>
      <c r="D388" s="57">
        <v>0.72633333333333328</v>
      </c>
      <c r="E388" s="44">
        <v>6.5381303258145364E-3</v>
      </c>
    </row>
    <row r="389" spans="2:5">
      <c r="B389" s="1" t="s">
        <v>170</v>
      </c>
      <c r="C389" s="114">
        <v>50</v>
      </c>
      <c r="D389" s="57">
        <v>2.9199999999999997E-2</v>
      </c>
      <c r="E389" s="44">
        <v>1.882967418546366E-4</v>
      </c>
    </row>
    <row r="390" spans="2:5">
      <c r="B390" s="1" t="s">
        <v>171</v>
      </c>
      <c r="C390" s="114">
        <v>62700</v>
      </c>
      <c r="D390" s="57">
        <v>86.1</v>
      </c>
      <c r="E390" s="44">
        <v>0.59533182957393482</v>
      </c>
    </row>
    <row r="391" spans="2:5">
      <c r="B391" s="1" t="s">
        <v>172</v>
      </c>
      <c r="C391" s="114">
        <v>6.0300000000000001E-11</v>
      </c>
      <c r="D391" s="57">
        <v>2.8349999999999998E-11</v>
      </c>
      <c r="E391" s="44">
        <v>1.0530538847117795E-14</v>
      </c>
    </row>
    <row r="392" spans="2:5">
      <c r="B392" s="1" t="s">
        <v>173</v>
      </c>
      <c r="C392" s="114">
        <v>6.9100000000000003E-3</v>
      </c>
      <c r="D392" s="57">
        <v>7.5116666666666658E-5</v>
      </c>
      <c r="E392" s="44">
        <v>1.608404761904762E-6</v>
      </c>
    </row>
    <row r="393" spans="2:5">
      <c r="B393" s="1" t="s">
        <v>174</v>
      </c>
      <c r="C393" s="114">
        <v>6.9400000000000003E-2</v>
      </c>
      <c r="D393" s="57">
        <v>1.2308333333333331E-3</v>
      </c>
      <c r="E393" s="44">
        <v>7.1843157894736846E-5</v>
      </c>
    </row>
    <row r="395" spans="2:5">
      <c r="B395" s="243" t="s">
        <v>532</v>
      </c>
      <c r="C395" s="245"/>
      <c r="D395" s="245"/>
      <c r="E395" s="245"/>
    </row>
    <row r="396" spans="2:5">
      <c r="B396" s="1" t="s">
        <v>162</v>
      </c>
      <c r="C396" s="1" t="s">
        <v>177</v>
      </c>
      <c r="D396" s="58" t="s">
        <v>81</v>
      </c>
      <c r="E396" s="58" t="s">
        <v>175</v>
      </c>
    </row>
    <row r="397" spans="2:5">
      <c r="B397" s="1" t="s">
        <v>163</v>
      </c>
      <c r="C397" s="44">
        <v>1.11E-8</v>
      </c>
      <c r="D397" s="57">
        <v>3.0667124555797766E-7</v>
      </c>
      <c r="E397" s="44">
        <v>1.0336265607264472E-10</v>
      </c>
    </row>
    <row r="398" spans="2:5">
      <c r="B398" s="1" t="s">
        <v>164</v>
      </c>
      <c r="C398" s="44">
        <v>6.91</v>
      </c>
      <c r="D398" s="57">
        <v>4.0200600232926211</v>
      </c>
      <c r="E398" s="44">
        <v>7.8022133938706016E-3</v>
      </c>
    </row>
    <row r="399" spans="2:5">
      <c r="B399" s="1" t="s">
        <v>165</v>
      </c>
      <c r="C399" s="44">
        <v>1.65E-3</v>
      </c>
      <c r="D399" s="57">
        <v>5.7934198345626655E-4</v>
      </c>
      <c r="E399" s="44">
        <v>1.4537457434733258E-6</v>
      </c>
    </row>
    <row r="400" spans="2:5">
      <c r="B400" s="1" t="s">
        <v>166</v>
      </c>
      <c r="C400" s="44">
        <v>1.64E-4</v>
      </c>
      <c r="D400" s="57">
        <v>1.1066831904918326E-4</v>
      </c>
      <c r="E400" s="44">
        <v>1.5604426787741203E-7</v>
      </c>
    </row>
    <row r="401" spans="2:6">
      <c r="B401" s="1" t="s">
        <v>167</v>
      </c>
      <c r="C401" s="44">
        <v>9.7900000000000005E-4</v>
      </c>
      <c r="D401" s="57">
        <v>7.7334488010272629E-4</v>
      </c>
      <c r="E401" s="44">
        <v>1.2937003405221339E-6</v>
      </c>
    </row>
    <row r="402" spans="2:6">
      <c r="B402" s="1" t="s">
        <v>168</v>
      </c>
      <c r="C402" s="44">
        <v>0.77300000000000002</v>
      </c>
      <c r="D402" s="57">
        <v>0.40467270881237488</v>
      </c>
      <c r="E402" s="44">
        <v>5.3881952326901249E-4</v>
      </c>
    </row>
    <row r="403" spans="2:6">
      <c r="B403" s="1" t="s">
        <v>169</v>
      </c>
      <c r="C403" s="44">
        <v>0.77300000000000002</v>
      </c>
      <c r="D403" s="57">
        <v>0.40467270881237488</v>
      </c>
      <c r="E403" s="44">
        <v>5.4615493757094208E-4</v>
      </c>
    </row>
    <row r="404" spans="2:6">
      <c r="B404" s="1" t="s">
        <v>170</v>
      </c>
      <c r="C404" s="44">
        <v>7.1999999999999995E-2</v>
      </c>
      <c r="D404" s="57">
        <v>1.5800235912443634E-2</v>
      </c>
      <c r="E404" s="44">
        <v>1.56711123723042E-5</v>
      </c>
    </row>
    <row r="405" spans="2:6">
      <c r="B405" s="1" t="s">
        <v>171</v>
      </c>
      <c r="C405" s="44">
        <v>40.4</v>
      </c>
      <c r="D405" s="57">
        <v>47.600710723564369</v>
      </c>
      <c r="E405" s="44">
        <v>4.9747446083995457E-2</v>
      </c>
    </row>
    <row r="406" spans="2:6">
      <c r="B406" s="1" t="s">
        <v>172</v>
      </c>
      <c r="C406" s="44">
        <v>6.4699999999999997E-13</v>
      </c>
      <c r="D406" s="57">
        <v>1.6066906560754917E-11</v>
      </c>
      <c r="E406" s="44">
        <v>8.8024971623155496E-16</v>
      </c>
    </row>
    <row r="407" spans="2:6">
      <c r="B407" s="1" t="s">
        <v>173</v>
      </c>
      <c r="C407" s="44">
        <v>2.31E-4</v>
      </c>
      <c r="D407" s="57">
        <v>3.86005763430585E-5</v>
      </c>
      <c r="E407" s="44">
        <v>1.3403802497162316E-7</v>
      </c>
    </row>
    <row r="408" spans="2:6">
      <c r="B408" s="1" t="s">
        <v>174</v>
      </c>
      <c r="C408" s="44">
        <v>5.62E-4</v>
      </c>
      <c r="D408" s="57">
        <v>5.7067518738614976E-4</v>
      </c>
      <c r="E408" s="44">
        <v>5.9950340522133935E-6</v>
      </c>
    </row>
    <row r="410" spans="2:6">
      <c r="B410" s="243" t="s">
        <v>528</v>
      </c>
      <c r="C410" s="243"/>
      <c r="D410" s="243"/>
      <c r="E410" s="243"/>
      <c r="F410" s="243"/>
    </row>
    <row r="411" spans="2:6">
      <c r="B411" s="115" t="s">
        <v>162</v>
      </c>
      <c r="C411" s="115" t="s">
        <v>177</v>
      </c>
      <c r="D411" s="58" t="s">
        <v>81</v>
      </c>
      <c r="E411" s="58" t="s">
        <v>175</v>
      </c>
      <c r="F411" s="1" t="s">
        <v>288</v>
      </c>
    </row>
    <row r="412" spans="2:6">
      <c r="B412" s="1" t="s">
        <v>163</v>
      </c>
      <c r="C412" s="57">
        <v>1.1346699999999999E-4</v>
      </c>
      <c r="D412" s="57">
        <v>2.8738823024054981E-7</v>
      </c>
      <c r="E412" s="44">
        <v>1.4460936426116838E-9</v>
      </c>
      <c r="F412" s="116">
        <v>1.8E-7</v>
      </c>
    </row>
    <row r="413" spans="2:6">
      <c r="B413" s="1" t="s">
        <v>164</v>
      </c>
      <c r="C413" s="57">
        <v>98.300000000000011</v>
      </c>
      <c r="D413" s="57">
        <v>3.7250640034364264</v>
      </c>
      <c r="E413" s="44">
        <v>0.10799939862542955</v>
      </c>
      <c r="F413" s="116">
        <v>1.88</v>
      </c>
    </row>
    <row r="414" spans="2:6">
      <c r="B414" s="1" t="s">
        <v>165</v>
      </c>
      <c r="C414" s="57">
        <v>1.6309999999999998E-2</v>
      </c>
      <c r="D414" s="57">
        <v>5.4182749140893464E-4</v>
      </c>
      <c r="E414" s="44">
        <v>1.9128707044673542E-5</v>
      </c>
      <c r="F414" s="116">
        <v>2.7399999999999999E-4</v>
      </c>
    </row>
    <row r="415" spans="2:6">
      <c r="B415" s="1" t="s">
        <v>166</v>
      </c>
      <c r="C415" s="57">
        <v>1.0809999999999999E-3</v>
      </c>
      <c r="D415" s="57">
        <v>1.0342315292096219E-4</v>
      </c>
      <c r="E415" s="44">
        <v>2.1142255154639176E-5</v>
      </c>
      <c r="F415" s="116">
        <v>5.3699999999999997E-5</v>
      </c>
    </row>
    <row r="416" spans="2:6">
      <c r="B416" s="1" t="s">
        <v>167</v>
      </c>
      <c r="C416" s="57">
        <v>2.503E-2</v>
      </c>
      <c r="D416" s="57">
        <v>7.1847057560137453E-4</v>
      </c>
      <c r="E416" s="44">
        <v>3.4413367697594504E-5</v>
      </c>
      <c r="F416" s="116">
        <v>3.86E-4</v>
      </c>
    </row>
    <row r="417" spans="2:10">
      <c r="B417" s="1" t="s">
        <v>168</v>
      </c>
      <c r="C417" s="57">
        <v>3.83</v>
      </c>
      <c r="D417" s="57">
        <v>0.36976065292096222</v>
      </c>
      <c r="E417" s="44">
        <v>7.4501280068728524E-3</v>
      </c>
      <c r="F417" s="116">
        <v>0.186</v>
      </c>
    </row>
    <row r="418" spans="2:10">
      <c r="B418" s="1" t="s">
        <v>169</v>
      </c>
      <c r="C418" s="57">
        <v>3.83</v>
      </c>
      <c r="D418" s="57">
        <v>0.36976065292096222</v>
      </c>
      <c r="E418" s="44">
        <v>7.5416529209622E-3</v>
      </c>
      <c r="F418" s="116">
        <v>0.186</v>
      </c>
    </row>
    <row r="419" spans="2:10">
      <c r="B419" s="1" t="s">
        <v>170</v>
      </c>
      <c r="C419" s="57">
        <v>0.13740000000000002</v>
      </c>
      <c r="D419" s="57">
        <v>1.4827036082474225E-2</v>
      </c>
      <c r="E419" s="44">
        <v>2.2057504295532645E-4</v>
      </c>
      <c r="F419" s="116">
        <v>7.4400000000000004E-3</v>
      </c>
    </row>
    <row r="420" spans="2:10">
      <c r="B420" s="1" t="s">
        <v>171</v>
      </c>
      <c r="C420" s="57">
        <v>196.4</v>
      </c>
      <c r="D420" s="57">
        <v>44.664158075601378</v>
      </c>
      <c r="E420" s="44">
        <v>0.71480957903780074</v>
      </c>
      <c r="F420" s="116">
        <v>22.3</v>
      </c>
    </row>
    <row r="421" spans="2:10">
      <c r="B421" s="1" t="s">
        <v>172</v>
      </c>
      <c r="C421" s="57">
        <v>2.8209999999999999E-11</v>
      </c>
      <c r="D421" s="57">
        <v>1.5101610824742272E-11</v>
      </c>
      <c r="E421" s="44">
        <v>1.2447388316151203E-14</v>
      </c>
      <c r="F421" s="116">
        <v>7.4699999999999995E-12</v>
      </c>
    </row>
    <row r="422" spans="2:10">
      <c r="B422" s="1" t="s">
        <v>173</v>
      </c>
      <c r="C422" s="57">
        <v>1.1949999999999999E-3</v>
      </c>
      <c r="D422" s="57">
        <v>3.6060816151202756E-5</v>
      </c>
      <c r="E422" s="44">
        <v>1.7481258591065291E-6</v>
      </c>
      <c r="F422" s="116">
        <v>1.8300000000000001E-5</v>
      </c>
    </row>
    <row r="423" spans="2:10">
      <c r="B423" s="1" t="s">
        <v>174</v>
      </c>
      <c r="C423" s="57">
        <v>1.072E-2</v>
      </c>
      <c r="D423" s="57">
        <v>5.0979377147766325E-4</v>
      </c>
      <c r="E423" s="44">
        <v>1.5833810137457047E-4</v>
      </c>
      <c r="F423" s="116">
        <v>2.7500000000000002E-4</v>
      </c>
    </row>
    <row r="424" spans="2:10" ht="15.75" thickBot="1"/>
    <row r="425" spans="2:10" ht="15.75" thickBot="1">
      <c r="B425" s="33" t="s">
        <v>178</v>
      </c>
      <c r="C425" s="32" t="s">
        <v>187</v>
      </c>
    </row>
    <row r="427" spans="2:10">
      <c r="B427" s="245" t="s">
        <v>552</v>
      </c>
      <c r="C427" s="245"/>
      <c r="D427" s="245"/>
      <c r="E427" s="245"/>
      <c r="F427" s="245"/>
      <c r="G427" s="245"/>
      <c r="H427" s="245"/>
      <c r="I427" s="245"/>
      <c r="J427" s="245"/>
    </row>
    <row r="428" spans="2:10">
      <c r="B428" s="245" t="s">
        <v>553</v>
      </c>
      <c r="C428" s="245"/>
      <c r="D428" s="245"/>
      <c r="E428" s="245"/>
      <c r="F428" s="245"/>
      <c r="G428" s="245"/>
      <c r="H428" s="245"/>
      <c r="I428" s="245"/>
      <c r="J428" s="245"/>
    </row>
    <row r="429" spans="2:10">
      <c r="B429" s="245" t="s">
        <v>554</v>
      </c>
      <c r="C429" s="245"/>
      <c r="D429" s="245"/>
      <c r="E429" s="245"/>
      <c r="F429" s="245"/>
      <c r="G429" s="245"/>
      <c r="H429" s="245"/>
      <c r="I429" s="245"/>
      <c r="J429" s="245"/>
    </row>
    <row r="430" spans="2:10">
      <c r="B430" s="42" t="s">
        <v>179</v>
      </c>
      <c r="C430" s="42" t="s">
        <v>33</v>
      </c>
      <c r="D430" s="42" t="s">
        <v>34</v>
      </c>
      <c r="E430" s="42" t="s">
        <v>35</v>
      </c>
      <c r="F430" s="42" t="s">
        <v>50</v>
      </c>
      <c r="G430" s="246" t="s">
        <v>196</v>
      </c>
      <c r="H430" s="247"/>
      <c r="I430" s="119" t="s">
        <v>189</v>
      </c>
      <c r="J430" s="42" t="s">
        <v>190</v>
      </c>
    </row>
    <row r="431" spans="2:10" ht="116.25" customHeight="1">
      <c r="B431" s="34" t="s">
        <v>2</v>
      </c>
      <c r="C431" s="36" t="s">
        <v>194</v>
      </c>
      <c r="D431" s="36" t="s">
        <v>289</v>
      </c>
      <c r="E431" s="36" t="s">
        <v>565</v>
      </c>
      <c r="F431" s="37"/>
      <c r="G431" s="45" t="s">
        <v>791</v>
      </c>
      <c r="H431" s="45" t="s">
        <v>792</v>
      </c>
      <c r="I431" s="120" t="s">
        <v>556</v>
      </c>
      <c r="J431" s="45" t="s">
        <v>566</v>
      </c>
    </row>
    <row r="432" spans="2:10" ht="45">
      <c r="B432" s="34" t="s">
        <v>180</v>
      </c>
      <c r="C432" s="36" t="s">
        <v>567</v>
      </c>
      <c r="D432" s="36" t="s">
        <v>200</v>
      </c>
      <c r="E432" s="36"/>
      <c r="F432" s="34"/>
      <c r="G432" s="52" t="s">
        <v>708</v>
      </c>
      <c r="H432" s="53" t="s">
        <v>709</v>
      </c>
      <c r="I432" s="120">
        <v>0</v>
      </c>
      <c r="J432" s="36" t="s">
        <v>295</v>
      </c>
    </row>
    <row r="433" spans="2:10" ht="87" customHeight="1">
      <c r="B433" s="34" t="s">
        <v>181</v>
      </c>
      <c r="C433" s="36" t="s">
        <v>569</v>
      </c>
      <c r="D433" s="36" t="s">
        <v>710</v>
      </c>
      <c r="E433" s="36" t="s">
        <v>711</v>
      </c>
      <c r="F433" s="36" t="s">
        <v>551</v>
      </c>
      <c r="G433" s="52" t="s">
        <v>793</v>
      </c>
      <c r="H433" s="53" t="s">
        <v>794</v>
      </c>
      <c r="I433" s="120" t="s">
        <v>555</v>
      </c>
      <c r="J433" s="36" t="s">
        <v>571</v>
      </c>
    </row>
    <row r="434" spans="2:10" ht="81.75" customHeight="1">
      <c r="B434" s="37" t="s">
        <v>182</v>
      </c>
      <c r="C434" s="36" t="s">
        <v>297</v>
      </c>
      <c r="D434" s="36" t="s">
        <v>572</v>
      </c>
      <c r="E434" s="36" t="s">
        <v>298</v>
      </c>
      <c r="F434" s="36" t="s">
        <v>299</v>
      </c>
      <c r="G434" s="36" t="s">
        <v>712</v>
      </c>
      <c r="H434" s="36" t="s">
        <v>713</v>
      </c>
      <c r="I434" s="120">
        <v>1</v>
      </c>
      <c r="J434" s="45" t="s">
        <v>626</v>
      </c>
    </row>
    <row r="435" spans="2:10" ht="105">
      <c r="B435" s="34" t="s">
        <v>183</v>
      </c>
      <c r="C435" s="36" t="s">
        <v>297</v>
      </c>
      <c r="D435" s="36" t="s">
        <v>573</v>
      </c>
      <c r="E435" s="36" t="s">
        <v>298</v>
      </c>
      <c r="F435" s="36" t="s">
        <v>299</v>
      </c>
      <c r="G435" s="36" t="s">
        <v>795</v>
      </c>
      <c r="H435" s="36" t="s">
        <v>796</v>
      </c>
      <c r="I435" s="120" t="s">
        <v>714</v>
      </c>
      <c r="J435" s="45" t="s">
        <v>715</v>
      </c>
    </row>
    <row r="436" spans="2:10" ht="169.5" customHeight="1">
      <c r="B436" s="34" t="s">
        <v>184</v>
      </c>
      <c r="C436" s="36" t="s">
        <v>297</v>
      </c>
      <c r="D436" s="36" t="s">
        <v>574</v>
      </c>
      <c r="E436" s="36" t="s">
        <v>298</v>
      </c>
      <c r="F436" s="36" t="s">
        <v>299</v>
      </c>
      <c r="G436" s="36" t="s">
        <v>717</v>
      </c>
      <c r="H436" s="36" t="s">
        <v>718</v>
      </c>
      <c r="I436" s="120" t="s">
        <v>719</v>
      </c>
      <c r="J436" s="144" t="s">
        <v>720</v>
      </c>
    </row>
    <row r="443" spans="2:10">
      <c r="C443" s="218"/>
      <c r="D443" s="218"/>
    </row>
    <row r="444" spans="2:10">
      <c r="C444" s="218"/>
      <c r="D444" s="218"/>
    </row>
    <row r="445" spans="2:10">
      <c r="C445" s="218"/>
      <c r="D445" s="218"/>
    </row>
  </sheetData>
  <mergeCells count="294">
    <mergeCell ref="B209:C209"/>
    <mergeCell ref="B211:C211"/>
    <mergeCell ref="B167:B168"/>
    <mergeCell ref="C167:C168"/>
    <mergeCell ref="D167:D168"/>
    <mergeCell ref="E167:E168"/>
    <mergeCell ref="F167:F168"/>
    <mergeCell ref="G162:H162"/>
    <mergeCell ref="B163:B165"/>
    <mergeCell ref="C163:C165"/>
    <mergeCell ref="D163:D165"/>
    <mergeCell ref="E163:E165"/>
    <mergeCell ref="F163:F165"/>
    <mergeCell ref="B206:C206"/>
    <mergeCell ref="B207:C207"/>
    <mergeCell ref="B208:C208"/>
    <mergeCell ref="C443:C445"/>
    <mergeCell ref="D443:D445"/>
    <mergeCell ref="B428:J428"/>
    <mergeCell ref="B427:J427"/>
    <mergeCell ref="E211:F211"/>
    <mergeCell ref="B198:E198"/>
    <mergeCell ref="B219:C219"/>
    <mergeCell ref="E219:F219"/>
    <mergeCell ref="B213:C213"/>
    <mergeCell ref="E213:F213"/>
    <mergeCell ref="B214:C214"/>
    <mergeCell ref="E214:F214"/>
    <mergeCell ref="B275:E275"/>
    <mergeCell ref="B281:E281"/>
    <mergeCell ref="E206:F206"/>
    <mergeCell ref="E207:F207"/>
    <mergeCell ref="E208:F208"/>
    <mergeCell ref="E209:F209"/>
    <mergeCell ref="B204:C204"/>
    <mergeCell ref="E204:F204"/>
    <mergeCell ref="B205:C205"/>
    <mergeCell ref="E205:F205"/>
    <mergeCell ref="B210:C210"/>
    <mergeCell ref="E210:F210"/>
    <mergeCell ref="B222:C222"/>
    <mergeCell ref="E222:F222"/>
    <mergeCell ref="B223:C223"/>
    <mergeCell ref="E223:F223"/>
    <mergeCell ref="B224:C224"/>
    <mergeCell ref="E224:F224"/>
    <mergeCell ref="B225:C225"/>
    <mergeCell ref="E225:F225"/>
    <mergeCell ref="E226:F226"/>
    <mergeCell ref="B215:C215"/>
    <mergeCell ref="E215:F215"/>
    <mergeCell ref="B216:C216"/>
    <mergeCell ref="E216:F216"/>
    <mergeCell ref="B218:C218"/>
    <mergeCell ref="E218:F218"/>
    <mergeCell ref="E220:F220"/>
    <mergeCell ref="B221:C221"/>
    <mergeCell ref="E221:F221"/>
    <mergeCell ref="B220:C220"/>
    <mergeCell ref="C42:M42"/>
    <mergeCell ref="B23:C23"/>
    <mergeCell ref="D23:E23"/>
    <mergeCell ref="B27:B30"/>
    <mergeCell ref="C27:C30"/>
    <mergeCell ref="B35:M35"/>
    <mergeCell ref="C41:M41"/>
    <mergeCell ref="C40:M40"/>
    <mergeCell ref="C43:M43"/>
    <mergeCell ref="B47:C47"/>
    <mergeCell ref="E47:F47"/>
    <mergeCell ref="E48:F48"/>
    <mergeCell ref="E49:F49"/>
    <mergeCell ref="B48:C48"/>
    <mergeCell ref="B49:C49"/>
    <mergeCell ref="B50:C50"/>
    <mergeCell ref="B52:C52"/>
    <mergeCell ref="E52:F52"/>
    <mergeCell ref="B53:C53"/>
    <mergeCell ref="E53:F53"/>
    <mergeCell ref="E50:F50"/>
    <mergeCell ref="B54:C54"/>
    <mergeCell ref="E54:F54"/>
    <mergeCell ref="B55:C55"/>
    <mergeCell ref="E55:F55"/>
    <mergeCell ref="B57:C57"/>
    <mergeCell ref="E57:F57"/>
    <mergeCell ref="B63:E63"/>
    <mergeCell ref="B75:E75"/>
    <mergeCell ref="B81:E81"/>
    <mergeCell ref="B91:E91"/>
    <mergeCell ref="B58:C58"/>
    <mergeCell ref="E58:F58"/>
    <mergeCell ref="B59:C59"/>
    <mergeCell ref="E59:F59"/>
    <mergeCell ref="B60:C60"/>
    <mergeCell ref="E60:F60"/>
    <mergeCell ref="B149:J149"/>
    <mergeCell ref="B161:J161"/>
    <mergeCell ref="G150:H150"/>
    <mergeCell ref="B98:E98"/>
    <mergeCell ref="B102:E102"/>
    <mergeCell ref="B106:E106"/>
    <mergeCell ref="B109:E109"/>
    <mergeCell ref="B115:E115"/>
    <mergeCell ref="B130:E130"/>
    <mergeCell ref="C151:C153"/>
    <mergeCell ref="D151:D153"/>
    <mergeCell ref="E151:E153"/>
    <mergeCell ref="F151:F153"/>
    <mergeCell ref="J151:J153"/>
    <mergeCell ref="B151:B153"/>
    <mergeCell ref="I151:I153"/>
    <mergeCell ref="J167:J168"/>
    <mergeCell ref="I163:I165"/>
    <mergeCell ref="I167:I168"/>
    <mergeCell ref="B194:E194"/>
    <mergeCell ref="B173:M173"/>
    <mergeCell ref="B180:E180"/>
    <mergeCell ref="B184:E184"/>
    <mergeCell ref="B188:E188"/>
    <mergeCell ref="B191:E191"/>
    <mergeCell ref="J163:J165"/>
    <mergeCell ref="E229:F229"/>
    <mergeCell ref="E230:F230"/>
    <mergeCell ref="B226:C226"/>
    <mergeCell ref="B227:C227"/>
    <mergeCell ref="B228:C228"/>
    <mergeCell ref="B229:C229"/>
    <mergeCell ref="B230:C230"/>
    <mergeCell ref="B239:C239"/>
    <mergeCell ref="E239:F239"/>
    <mergeCell ref="B231:C231"/>
    <mergeCell ref="E231:F231"/>
    <mergeCell ref="B232:C232"/>
    <mergeCell ref="E232:F232"/>
    <mergeCell ref="E227:F227"/>
    <mergeCell ref="E228:F228"/>
    <mergeCell ref="B240:C240"/>
    <mergeCell ref="E240:F240"/>
    <mergeCell ref="B241:C241"/>
    <mergeCell ref="E241:F241"/>
    <mergeCell ref="B242:C242"/>
    <mergeCell ref="E242:F242"/>
    <mergeCell ref="B234:C234"/>
    <mergeCell ref="E234:F234"/>
    <mergeCell ref="B235:C235"/>
    <mergeCell ref="E235:F235"/>
    <mergeCell ref="B236:C236"/>
    <mergeCell ref="E236:F236"/>
    <mergeCell ref="B237:C237"/>
    <mergeCell ref="E237:F237"/>
    <mergeCell ref="B238:C238"/>
    <mergeCell ref="E238:F238"/>
    <mergeCell ref="B245:C245"/>
    <mergeCell ref="E245:F245"/>
    <mergeCell ref="B246:C246"/>
    <mergeCell ref="E246:F246"/>
    <mergeCell ref="B247:C247"/>
    <mergeCell ref="E247:F247"/>
    <mergeCell ref="B243:C243"/>
    <mergeCell ref="E243:F243"/>
    <mergeCell ref="B248:C248"/>
    <mergeCell ref="E248:F248"/>
    <mergeCell ref="B249:C249"/>
    <mergeCell ref="E249:F249"/>
    <mergeCell ref="B250:C250"/>
    <mergeCell ref="E250:F250"/>
    <mergeCell ref="B251:C251"/>
    <mergeCell ref="E251:F251"/>
    <mergeCell ref="B252:C252"/>
    <mergeCell ref="E252:F252"/>
    <mergeCell ref="B253:C253"/>
    <mergeCell ref="E253:F253"/>
    <mergeCell ref="B254:C254"/>
    <mergeCell ref="E254:F254"/>
    <mergeCell ref="B255:C255"/>
    <mergeCell ref="E255:F255"/>
    <mergeCell ref="B256:C256"/>
    <mergeCell ref="E256:F256"/>
    <mergeCell ref="B257:C257"/>
    <mergeCell ref="E257:F257"/>
    <mergeCell ref="B259:C259"/>
    <mergeCell ref="E259:F259"/>
    <mergeCell ref="B260:C260"/>
    <mergeCell ref="E260:F260"/>
    <mergeCell ref="E258:F258"/>
    <mergeCell ref="B262:C262"/>
    <mergeCell ref="E262:F262"/>
    <mergeCell ref="B263:C263"/>
    <mergeCell ref="E263:F263"/>
    <mergeCell ref="B264:C264"/>
    <mergeCell ref="E264:F264"/>
    <mergeCell ref="B265:C265"/>
    <mergeCell ref="E265:F265"/>
    <mergeCell ref="B269:C269"/>
    <mergeCell ref="B270:C270"/>
    <mergeCell ref="B271:C271"/>
    <mergeCell ref="E269:F269"/>
    <mergeCell ref="E270:F270"/>
    <mergeCell ref="E271:F271"/>
    <mergeCell ref="B273:C273"/>
    <mergeCell ref="E273:F273"/>
    <mergeCell ref="B267:C267"/>
    <mergeCell ref="E267:F267"/>
    <mergeCell ref="B268:C268"/>
    <mergeCell ref="E268:F268"/>
    <mergeCell ref="B272:C272"/>
    <mergeCell ref="E272:F272"/>
    <mergeCell ref="B286:F286"/>
    <mergeCell ref="B287:C287"/>
    <mergeCell ref="E287:F287"/>
    <mergeCell ref="B288:C288"/>
    <mergeCell ref="E288:F288"/>
    <mergeCell ref="B289:C289"/>
    <mergeCell ref="E289:F289"/>
    <mergeCell ref="B290:C290"/>
    <mergeCell ref="E290:F290"/>
    <mergeCell ref="E301:F301"/>
    <mergeCell ref="E300:F300"/>
    <mergeCell ref="E299:F299"/>
    <mergeCell ref="E298:F298"/>
    <mergeCell ref="E297:F297"/>
    <mergeCell ref="E296:F296"/>
    <mergeCell ref="B297:C297"/>
    <mergeCell ref="B298:C298"/>
    <mergeCell ref="B299:C299"/>
    <mergeCell ref="B300:C300"/>
    <mergeCell ref="B301:C301"/>
    <mergeCell ref="E294:F294"/>
    <mergeCell ref="E293:F293"/>
    <mergeCell ref="E292:F292"/>
    <mergeCell ref="E291:F291"/>
    <mergeCell ref="B291:C291"/>
    <mergeCell ref="B292:C292"/>
    <mergeCell ref="B293:C293"/>
    <mergeCell ref="B294:C294"/>
    <mergeCell ref="B296:C296"/>
    <mergeCell ref="B295:C295"/>
    <mergeCell ref="E295:F295"/>
    <mergeCell ref="B302:C302"/>
    <mergeCell ref="B303:C303"/>
    <mergeCell ref="B304:C304"/>
    <mergeCell ref="B305:C305"/>
    <mergeCell ref="B306:C306"/>
    <mergeCell ref="B307:C307"/>
    <mergeCell ref="B308:C308"/>
    <mergeCell ref="B312:E312"/>
    <mergeCell ref="B317:E317"/>
    <mergeCell ref="B309:C309"/>
    <mergeCell ref="E309:F309"/>
    <mergeCell ref="B310:C310"/>
    <mergeCell ref="E310:F310"/>
    <mergeCell ref="E308:F308"/>
    <mergeCell ref="E307:F307"/>
    <mergeCell ref="E306:F306"/>
    <mergeCell ref="E305:F305"/>
    <mergeCell ref="E304:F304"/>
    <mergeCell ref="E303:F303"/>
    <mergeCell ref="E302:F302"/>
    <mergeCell ref="B322:C322"/>
    <mergeCell ref="E322:F322"/>
    <mergeCell ref="B323:C323"/>
    <mergeCell ref="E323:F323"/>
    <mergeCell ref="B324:C324"/>
    <mergeCell ref="E324:F324"/>
    <mergeCell ref="B325:C325"/>
    <mergeCell ref="E325:F325"/>
    <mergeCell ref="B327:C327"/>
    <mergeCell ref="E327:F327"/>
    <mergeCell ref="B328:C328"/>
    <mergeCell ref="E328:F328"/>
    <mergeCell ref="B329:C329"/>
    <mergeCell ref="E329:F329"/>
    <mergeCell ref="B330:C330"/>
    <mergeCell ref="E330:F330"/>
    <mergeCell ref="B332:C332"/>
    <mergeCell ref="E332:F332"/>
    <mergeCell ref="B333:C333"/>
    <mergeCell ref="E333:F333"/>
    <mergeCell ref="B410:F410"/>
    <mergeCell ref="B375:E375"/>
    <mergeCell ref="B380:E380"/>
    <mergeCell ref="B395:E395"/>
    <mergeCell ref="B429:J429"/>
    <mergeCell ref="G430:H430"/>
    <mergeCell ref="B334:C334"/>
    <mergeCell ref="E334:F334"/>
    <mergeCell ref="B335:C335"/>
    <mergeCell ref="E335:F335"/>
    <mergeCell ref="B338:E338"/>
    <mergeCell ref="B350:E350"/>
    <mergeCell ref="B356:E356"/>
    <mergeCell ref="B366:E366"/>
    <mergeCell ref="B372:E372"/>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51"/>
  <sheetViews>
    <sheetView topLeftCell="C298" zoomScale="46" zoomScaleNormal="112" workbookViewId="0">
      <selection activeCell="G144" sqref="G144"/>
    </sheetView>
  </sheetViews>
  <sheetFormatPr baseColWidth="10" defaultColWidth="10.85546875" defaultRowHeight="15"/>
  <cols>
    <col min="2" max="2" width="77.140625" customWidth="1"/>
    <col min="3" max="3" width="58.140625" customWidth="1"/>
    <col min="4" max="4" width="75.140625" customWidth="1"/>
    <col min="5" max="5" width="78.85546875" customWidth="1"/>
    <col min="6" max="6" width="35.85546875" customWidth="1"/>
    <col min="7" max="7" width="108.5703125" customWidth="1"/>
    <col min="8" max="8" width="22.42578125" customWidth="1"/>
    <col min="9" max="9" width="65.140625" customWidth="1"/>
    <col min="10" max="10" width="61.85546875" customWidth="1"/>
    <col min="11" max="11" width="38.7109375" customWidth="1"/>
    <col min="17" max="17" width="21.140625" customWidth="1"/>
  </cols>
  <sheetData>
    <row r="2" spans="2:2" ht="21">
      <c r="B2" s="11" t="s">
        <v>204</v>
      </c>
    </row>
    <row r="26" spans="2:7" ht="15.75" thickBot="1"/>
    <row r="27" spans="2:7" ht="15.75" thickBot="1">
      <c r="B27" s="276" t="s">
        <v>206</v>
      </c>
      <c r="C27" s="277"/>
      <c r="D27" s="278" t="s">
        <v>205</v>
      </c>
      <c r="E27" s="279"/>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17" t="s">
        <v>211</v>
      </c>
      <c r="C31" s="317">
        <v>160</v>
      </c>
      <c r="D31" s="31" t="s">
        <v>609</v>
      </c>
      <c r="E31" s="31">
        <v>6</v>
      </c>
    </row>
    <row r="32" spans="2:7" ht="20.25" customHeight="1" thickBot="1">
      <c r="B32" s="318"/>
      <c r="C32" s="318"/>
      <c r="D32" s="28" t="s">
        <v>610</v>
      </c>
      <c r="E32" s="28">
        <v>280</v>
      </c>
    </row>
    <row r="33" spans="2:13" ht="21" customHeight="1" thickBot="1">
      <c r="B33" s="318"/>
      <c r="C33" s="318"/>
      <c r="D33" s="31" t="s">
        <v>611</v>
      </c>
      <c r="E33" s="31">
        <v>95</v>
      </c>
    </row>
    <row r="34" spans="2:13" ht="21" customHeight="1" thickBot="1">
      <c r="B34" s="318"/>
      <c r="C34" s="318"/>
      <c r="D34" s="28" t="s">
        <v>612</v>
      </c>
      <c r="E34" s="28">
        <v>160</v>
      </c>
    </row>
    <row r="35" spans="2:13" ht="21" customHeight="1" thickBot="1">
      <c r="B35" s="319"/>
      <c r="C35" s="319"/>
      <c r="D35" s="31" t="s">
        <v>613</v>
      </c>
      <c r="E35" s="31">
        <v>9.8000000000000007</v>
      </c>
    </row>
    <row r="37" spans="2:13" ht="15.75" thickBot="1"/>
    <row r="38" spans="2:13">
      <c r="B38" s="266" t="s">
        <v>213</v>
      </c>
      <c r="C38" s="267"/>
      <c r="D38" s="267"/>
      <c r="E38" s="267"/>
      <c r="F38" s="267"/>
      <c r="G38" s="267"/>
      <c r="H38" s="267"/>
      <c r="I38" s="267"/>
      <c r="J38" s="267"/>
      <c r="K38" s="267"/>
      <c r="L38" s="267"/>
      <c r="M38" s="268"/>
    </row>
    <row r="39" spans="2:13" ht="15.75" thickBot="1"/>
    <row r="40" spans="2:13" ht="18.75" thickBot="1">
      <c r="B40" s="33" t="s">
        <v>77</v>
      </c>
      <c r="C40" s="32" t="s">
        <v>78</v>
      </c>
    </row>
    <row r="41" spans="2:13" ht="15.75" thickBot="1"/>
    <row r="42" spans="2:13" ht="15.75" thickBot="1">
      <c r="B42" s="304" t="s">
        <v>239</v>
      </c>
      <c r="C42" s="305"/>
      <c r="D42" s="305"/>
      <c r="E42" s="306"/>
    </row>
    <row r="44" spans="2:13">
      <c r="B44" s="245" t="s">
        <v>101</v>
      </c>
      <c r="C44" s="245"/>
      <c r="D44" s="245"/>
      <c r="E44" s="245"/>
    </row>
    <row r="45" spans="2:13">
      <c r="B45" s="42" t="s">
        <v>66</v>
      </c>
      <c r="C45" s="42" t="s">
        <v>244</v>
      </c>
      <c r="D45" s="42" t="s">
        <v>87</v>
      </c>
      <c r="E45" s="42" t="s">
        <v>102</v>
      </c>
      <c r="G45" s="46"/>
    </row>
    <row r="46" spans="2:13">
      <c r="B46" s="59" t="s">
        <v>240</v>
      </c>
      <c r="C46" s="55">
        <f>0.8*E29</f>
        <v>1057.6000000000001</v>
      </c>
      <c r="D46" s="55" t="s">
        <v>243</v>
      </c>
      <c r="E46" s="320" t="s">
        <v>246</v>
      </c>
    </row>
    <row r="47" spans="2:13">
      <c r="B47" s="59" t="s">
        <v>241</v>
      </c>
      <c r="C47" s="55">
        <f>0.8*E30</f>
        <v>264.40000000000003</v>
      </c>
      <c r="D47" s="55" t="s">
        <v>243</v>
      </c>
      <c r="E47" s="321"/>
      <c r="G47" s="66"/>
    </row>
    <row r="48" spans="2:13" ht="30">
      <c r="B48" s="59" t="s">
        <v>242</v>
      </c>
      <c r="C48" s="55">
        <f>E31</f>
        <v>6</v>
      </c>
      <c r="D48" s="55" t="s">
        <v>243</v>
      </c>
      <c r="E48" s="59" t="s">
        <v>247</v>
      </c>
    </row>
    <row r="49" spans="2:8">
      <c r="B49" s="244" t="s">
        <v>123</v>
      </c>
      <c r="C49" s="244"/>
      <c r="D49" s="244"/>
      <c r="E49" s="244"/>
    </row>
    <row r="50" spans="2:8">
      <c r="B50" s="59" t="s">
        <v>245</v>
      </c>
      <c r="C50" s="55">
        <f>C46+C47</f>
        <v>1322.0000000000002</v>
      </c>
      <c r="D50" s="55" t="s">
        <v>243</v>
      </c>
      <c r="E50" s="58" t="s">
        <v>246</v>
      </c>
    </row>
    <row r="51" spans="2:8" ht="30">
      <c r="B51" s="59" t="s">
        <v>242</v>
      </c>
      <c r="C51" s="59">
        <f>C48</f>
        <v>6</v>
      </c>
      <c r="D51" s="55" t="s">
        <v>243</v>
      </c>
      <c r="E51" s="59" t="s">
        <v>247</v>
      </c>
    </row>
    <row r="53" spans="2:8" ht="15.75" thickBot="1"/>
    <row r="54" spans="2:8" ht="15.75" thickBot="1">
      <c r="B54" s="304" t="s">
        <v>248</v>
      </c>
      <c r="C54" s="305"/>
      <c r="D54" s="305"/>
      <c r="E54" s="306"/>
    </row>
    <row r="56" spans="2:8">
      <c r="B56" s="118" t="s">
        <v>249</v>
      </c>
    </row>
    <row r="57" spans="2:8">
      <c r="B57" s="244" t="s">
        <v>101</v>
      </c>
      <c r="C57" s="244"/>
      <c r="D57" s="244"/>
      <c r="E57" s="244"/>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30">
      <c r="B61" s="67" t="s">
        <v>256</v>
      </c>
      <c r="C61" s="70">
        <f>(0.0054+0.0072)*C59</f>
        <v>27.761580000000002</v>
      </c>
      <c r="D61" s="71" t="s">
        <v>535</v>
      </c>
      <c r="E61" s="34" t="s">
        <v>255</v>
      </c>
      <c r="F61" s="72"/>
    </row>
    <row r="62" spans="2:8">
      <c r="B62" s="244" t="s">
        <v>123</v>
      </c>
      <c r="C62" s="244"/>
      <c r="D62" s="244"/>
      <c r="E62" s="244"/>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30">
      <c r="B64" s="59" t="s">
        <v>251</v>
      </c>
      <c r="C64" s="59">
        <f>C59*0.025</f>
        <v>55.08250000000001</v>
      </c>
      <c r="D64" s="59" t="s">
        <v>538</v>
      </c>
      <c r="E64" s="59"/>
      <c r="G64" s="48" t="s">
        <v>261</v>
      </c>
      <c r="H64" s="48">
        <f>(11.31/1160.2)*C59</f>
        <v>21.478471815204276</v>
      </c>
    </row>
    <row r="66" spans="2:5" ht="33" customHeight="1">
      <c r="B66" s="313" t="s">
        <v>533</v>
      </c>
      <c r="C66" s="313"/>
      <c r="D66" s="313"/>
      <c r="E66" s="313"/>
    </row>
    <row r="67" spans="2:5">
      <c r="B67" s="244" t="s">
        <v>101</v>
      </c>
      <c r="C67" s="244"/>
      <c r="D67" s="244"/>
      <c r="E67" s="244"/>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44" t="s">
        <v>123</v>
      </c>
      <c r="C73" s="244"/>
      <c r="D73" s="244"/>
      <c r="E73" s="244"/>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14" t="s">
        <v>274</v>
      </c>
      <c r="C79" s="313"/>
      <c r="D79" s="313"/>
      <c r="E79" s="313"/>
    </row>
    <row r="80" spans="2:5">
      <c r="B80" s="244" t="s">
        <v>101</v>
      </c>
      <c r="C80" s="244"/>
      <c r="D80" s="244"/>
      <c r="E80" s="244"/>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44" t="s">
        <v>123</v>
      </c>
      <c r="C84" s="244"/>
      <c r="D84" s="244"/>
      <c r="E84" s="244"/>
    </row>
    <row r="85" spans="2:5">
      <c r="B85" s="59" t="s">
        <v>276</v>
      </c>
      <c r="C85" s="55">
        <f>(950/1000)*C82</f>
        <v>8.4990989999999993</v>
      </c>
      <c r="D85" s="55" t="s">
        <v>269</v>
      </c>
      <c r="E85" s="58"/>
    </row>
    <row r="86" spans="2:5">
      <c r="B86" s="59" t="s">
        <v>251</v>
      </c>
      <c r="C86" s="59">
        <f>(50/1000)*C82</f>
        <v>0.44732100000000002</v>
      </c>
      <c r="D86" s="55" t="s">
        <v>270</v>
      </c>
      <c r="E86" s="76"/>
    </row>
    <row r="87" spans="2:5" ht="15.75" thickBot="1"/>
    <row r="88" spans="2:5" ht="15.75" thickBot="1">
      <c r="B88" s="304" t="s">
        <v>277</v>
      </c>
      <c r="C88" s="305"/>
      <c r="D88" s="305"/>
      <c r="E88" s="306"/>
    </row>
    <row r="90" spans="2:5">
      <c r="B90" s="244" t="s">
        <v>101</v>
      </c>
      <c r="C90" s="244"/>
      <c r="D90" s="244"/>
      <c r="E90" s="244"/>
    </row>
    <row r="91" spans="2:5">
      <c r="B91" s="42" t="s">
        <v>66</v>
      </c>
      <c r="C91" s="42" t="s">
        <v>253</v>
      </c>
      <c r="D91" s="42" t="s">
        <v>87</v>
      </c>
      <c r="E91" s="42" t="s">
        <v>102</v>
      </c>
    </row>
    <row r="92" spans="2:5">
      <c r="B92" s="59" t="s">
        <v>278</v>
      </c>
      <c r="C92" s="55">
        <f>C64</f>
        <v>55.08250000000001</v>
      </c>
      <c r="D92" s="59" t="s">
        <v>243</v>
      </c>
      <c r="E92" s="76" t="s">
        <v>539</v>
      </c>
    </row>
    <row r="93" spans="2:5">
      <c r="B93" s="244" t="s">
        <v>123</v>
      </c>
      <c r="C93" s="244"/>
      <c r="D93" s="244"/>
      <c r="E93" s="244"/>
    </row>
    <row r="94" spans="2:5">
      <c r="B94" s="59" t="s">
        <v>279</v>
      </c>
      <c r="C94" s="55">
        <f>C92</f>
        <v>55.08250000000001</v>
      </c>
      <c r="D94" s="55" t="s">
        <v>269</v>
      </c>
      <c r="E94" s="58"/>
    </row>
    <row r="96" spans="2:5">
      <c r="B96" s="244" t="s">
        <v>101</v>
      </c>
      <c r="C96" s="244"/>
      <c r="D96" s="244"/>
      <c r="E96" s="244"/>
    </row>
    <row r="97" spans="2:17">
      <c r="B97" s="42" t="s">
        <v>66</v>
      </c>
      <c r="C97" s="42" t="s">
        <v>253</v>
      </c>
      <c r="D97" s="42" t="s">
        <v>87</v>
      </c>
      <c r="E97" s="42" t="s">
        <v>102</v>
      </c>
    </row>
    <row r="98" spans="2:17">
      <c r="B98" s="59" t="s">
        <v>280</v>
      </c>
      <c r="C98" s="55">
        <f>C77+C86</f>
        <v>2.240901</v>
      </c>
      <c r="D98" s="59" t="s">
        <v>243</v>
      </c>
      <c r="E98" s="76" t="s">
        <v>539</v>
      </c>
    </row>
    <row r="99" spans="2:17">
      <c r="B99" s="244"/>
      <c r="C99" s="244"/>
      <c r="D99" s="244"/>
      <c r="E99" s="244"/>
    </row>
    <row r="100" spans="2:17">
      <c r="B100" s="59" t="s">
        <v>279</v>
      </c>
      <c r="C100" s="55">
        <f>C98</f>
        <v>2.240901</v>
      </c>
      <c r="D100" s="55" t="s">
        <v>269</v>
      </c>
      <c r="E100" s="58"/>
    </row>
    <row r="101" spans="2:17" ht="15.75" thickBot="1"/>
    <row r="102" spans="2:17" ht="34.5" customHeight="1" thickBot="1">
      <c r="B102" s="304" t="s">
        <v>282</v>
      </c>
      <c r="C102" s="305"/>
      <c r="D102" s="305"/>
      <c r="E102" s="306"/>
      <c r="G102" s="315" t="s">
        <v>281</v>
      </c>
      <c r="H102" s="316"/>
      <c r="I102" s="316"/>
      <c r="J102" s="316"/>
      <c r="K102" s="316"/>
      <c r="L102" s="316"/>
      <c r="M102" s="316"/>
      <c r="N102" s="316"/>
      <c r="O102" s="316"/>
      <c r="P102" s="316"/>
      <c r="Q102" s="316"/>
    </row>
    <row r="104" spans="2:17">
      <c r="B104" s="244" t="s">
        <v>101</v>
      </c>
      <c r="C104" s="244"/>
      <c r="D104" s="244"/>
      <c r="E104" s="244"/>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44" t="s">
        <v>123</v>
      </c>
      <c r="C113" s="244"/>
      <c r="D113" s="244"/>
      <c r="E113" s="244"/>
    </row>
    <row r="114" spans="2:6">
      <c r="B114" s="59" t="s">
        <v>205</v>
      </c>
      <c r="C114" s="55">
        <f>C106+C107+C108+C109+C110+C111+C112</f>
        <v>2203.3000000000002</v>
      </c>
      <c r="D114" s="55" t="s">
        <v>243</v>
      </c>
      <c r="E114" s="58"/>
    </row>
    <row r="116" spans="2:6">
      <c r="B116" s="38" t="s">
        <v>176</v>
      </c>
    </row>
    <row r="118" spans="2:6">
      <c r="B118" s="244" t="s">
        <v>213</v>
      </c>
      <c r="C118" s="244"/>
      <c r="D118" s="244"/>
      <c r="E118" s="244"/>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30">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75" thickBot="1"/>
    <row r="133" spans="2:11" ht="15.75" thickBot="1">
      <c r="B133" s="33" t="s">
        <v>178</v>
      </c>
      <c r="C133" s="32" t="s">
        <v>187</v>
      </c>
    </row>
    <row r="135" spans="2:11">
      <c r="B135" s="245" t="s">
        <v>213</v>
      </c>
      <c r="C135" s="245"/>
      <c r="D135" s="245"/>
      <c r="E135" s="245"/>
      <c r="F135" s="245"/>
      <c r="G135" s="245"/>
      <c r="H135" s="245"/>
      <c r="I135" s="245"/>
      <c r="J135" s="245"/>
    </row>
    <row r="136" spans="2:11">
      <c r="B136" s="42" t="s">
        <v>179</v>
      </c>
      <c r="C136" s="42" t="s">
        <v>33</v>
      </c>
      <c r="D136" s="42" t="s">
        <v>34</v>
      </c>
      <c r="E136" s="42" t="s">
        <v>35</v>
      </c>
      <c r="F136" s="42" t="s">
        <v>50</v>
      </c>
      <c r="G136" s="246" t="s">
        <v>196</v>
      </c>
      <c r="H136" s="247"/>
      <c r="I136" s="119" t="s">
        <v>189</v>
      </c>
      <c r="J136" s="42" t="s">
        <v>190</v>
      </c>
      <c r="K136" s="1"/>
    </row>
    <row r="137" spans="2:11" ht="117" customHeight="1">
      <c r="B137" s="182" t="s">
        <v>2</v>
      </c>
      <c r="C137" s="177" t="s">
        <v>194</v>
      </c>
      <c r="D137" s="177" t="s">
        <v>289</v>
      </c>
      <c r="E137" s="177" t="s">
        <v>565</v>
      </c>
      <c r="F137" s="182"/>
      <c r="G137" s="141" t="s">
        <v>757</v>
      </c>
      <c r="H137" s="54" t="s">
        <v>291</v>
      </c>
      <c r="I137" s="262" t="s">
        <v>293</v>
      </c>
      <c r="J137" s="177" t="s">
        <v>579</v>
      </c>
      <c r="K137" s="143"/>
    </row>
    <row r="138" spans="2:11" ht="45">
      <c r="B138" s="183"/>
      <c r="C138" s="178"/>
      <c r="D138" s="178"/>
      <c r="E138" s="178"/>
      <c r="F138" s="183"/>
      <c r="G138" s="51" t="s">
        <v>660</v>
      </c>
      <c r="H138" s="54" t="s">
        <v>292</v>
      </c>
      <c r="I138" s="264"/>
      <c r="J138" s="178"/>
      <c r="K138" s="1"/>
    </row>
    <row r="139" spans="2:11" ht="105">
      <c r="B139" s="34" t="s">
        <v>180</v>
      </c>
      <c r="C139" s="59" t="s">
        <v>661</v>
      </c>
      <c r="D139" s="36" t="s">
        <v>200</v>
      </c>
      <c r="E139" s="36"/>
      <c r="F139" s="34"/>
      <c r="G139" s="52" t="s">
        <v>662</v>
      </c>
      <c r="H139" s="36" t="s">
        <v>291</v>
      </c>
      <c r="I139" s="120">
        <v>0.6</v>
      </c>
      <c r="J139" s="36" t="s">
        <v>580</v>
      </c>
      <c r="K139" s="1"/>
    </row>
    <row r="140" spans="2:11" ht="30">
      <c r="B140" s="34" t="s">
        <v>181</v>
      </c>
      <c r="C140" s="36" t="s">
        <v>569</v>
      </c>
      <c r="D140" s="45" t="s">
        <v>202</v>
      </c>
      <c r="E140" s="45" t="s">
        <v>296</v>
      </c>
      <c r="F140" s="37" t="s">
        <v>551</v>
      </c>
      <c r="G140" s="24" t="s">
        <v>758</v>
      </c>
      <c r="H140" s="36" t="s">
        <v>759</v>
      </c>
      <c r="I140" s="121" t="s">
        <v>557</v>
      </c>
      <c r="J140" s="36" t="s">
        <v>664</v>
      </c>
      <c r="K140" s="77"/>
    </row>
    <row r="141" spans="2:11" ht="124.5" customHeight="1">
      <c r="B141" s="37" t="s">
        <v>7</v>
      </c>
      <c r="C141" s="36" t="s">
        <v>297</v>
      </c>
      <c r="D141" s="36" t="s">
        <v>666</v>
      </c>
      <c r="E141" s="36" t="s">
        <v>665</v>
      </c>
      <c r="F141" s="36" t="s">
        <v>645</v>
      </c>
      <c r="G141" s="52" t="s">
        <v>667</v>
      </c>
      <c r="H141" s="79" t="s">
        <v>668</v>
      </c>
      <c r="I141" s="120">
        <v>1</v>
      </c>
      <c r="J141" s="45" t="s">
        <v>581</v>
      </c>
      <c r="K141" s="1"/>
    </row>
    <row r="142" spans="2:11" ht="104.25" customHeight="1">
      <c r="B142" s="182" t="s">
        <v>183</v>
      </c>
      <c r="C142" s="177" t="s">
        <v>297</v>
      </c>
      <c r="D142" s="177" t="s">
        <v>641</v>
      </c>
      <c r="E142" s="177" t="s">
        <v>642</v>
      </c>
      <c r="F142" s="177" t="s">
        <v>669</v>
      </c>
      <c r="G142" s="142"/>
      <c r="H142" s="80"/>
      <c r="I142" s="307" t="s">
        <v>763</v>
      </c>
      <c r="J142" s="177" t="s">
        <v>672</v>
      </c>
      <c r="K142" s="310"/>
    </row>
    <row r="143" spans="2:11" ht="232.5" customHeight="1">
      <c r="B143" s="295"/>
      <c r="C143" s="291"/>
      <c r="D143" s="291"/>
      <c r="E143" s="291"/>
      <c r="F143" s="291"/>
      <c r="G143" s="142" t="s">
        <v>762</v>
      </c>
      <c r="H143" s="156" t="s">
        <v>760</v>
      </c>
      <c r="I143" s="308"/>
      <c r="J143" s="291"/>
      <c r="K143" s="310"/>
    </row>
    <row r="144" spans="2:11" ht="91.5" customHeight="1">
      <c r="B144" s="295"/>
      <c r="C144" s="291"/>
      <c r="D144" s="291"/>
      <c r="E144" s="291"/>
      <c r="F144" s="291"/>
      <c r="G144" s="36" t="s">
        <v>761</v>
      </c>
      <c r="H144" s="80" t="s">
        <v>671</v>
      </c>
      <c r="I144" s="308"/>
      <c r="J144" s="291"/>
      <c r="K144" s="310"/>
    </row>
    <row r="145" spans="2:13" ht="87.75" customHeight="1">
      <c r="B145" s="183"/>
      <c r="C145" s="178"/>
      <c r="D145" s="178"/>
      <c r="E145" s="178"/>
      <c r="F145" s="178"/>
      <c r="G145" s="36"/>
      <c r="H145" s="80"/>
      <c r="I145" s="309"/>
      <c r="J145" s="178"/>
      <c r="K145" s="310"/>
    </row>
    <row r="146" spans="2:13" ht="279" customHeight="1">
      <c r="B146" s="182" t="s">
        <v>184</v>
      </c>
      <c r="C146" s="177" t="s">
        <v>297</v>
      </c>
      <c r="D146" s="177" t="s">
        <v>641</v>
      </c>
      <c r="E146" s="177" t="s">
        <v>670</v>
      </c>
      <c r="F146" s="177" t="s">
        <v>645</v>
      </c>
      <c r="G146" s="52" t="s">
        <v>765</v>
      </c>
      <c r="H146" s="36" t="s">
        <v>764</v>
      </c>
      <c r="I146" s="302" t="s">
        <v>639</v>
      </c>
      <c r="J146" s="177" t="s">
        <v>672</v>
      </c>
      <c r="K146" s="311"/>
    </row>
    <row r="147" spans="2:13" ht="195.75" customHeight="1">
      <c r="B147" s="183"/>
      <c r="C147" s="178"/>
      <c r="D147" s="178"/>
      <c r="E147" s="178"/>
      <c r="F147" s="178"/>
      <c r="G147" s="36" t="s">
        <v>674</v>
      </c>
      <c r="H147" s="80" t="s">
        <v>671</v>
      </c>
      <c r="I147" s="303"/>
      <c r="J147" s="178"/>
      <c r="K147" s="312"/>
    </row>
    <row r="149" spans="2:13" ht="15.75" thickBot="1"/>
    <row r="150" spans="2:13">
      <c r="B150" s="266" t="s">
        <v>300</v>
      </c>
      <c r="C150" s="267"/>
      <c r="D150" s="267"/>
      <c r="E150" s="267"/>
      <c r="F150" s="267"/>
      <c r="G150" s="267"/>
      <c r="H150" s="267"/>
      <c r="I150" s="267"/>
      <c r="J150" s="267"/>
      <c r="K150" s="267"/>
      <c r="L150" s="267"/>
      <c r="M150" s="268"/>
    </row>
    <row r="151" spans="2:13" ht="15.75" thickBot="1"/>
    <row r="152" spans="2:13" ht="18.75" thickBot="1">
      <c r="B152" s="33" t="s">
        <v>77</v>
      </c>
      <c r="C152" s="32" t="s">
        <v>78</v>
      </c>
    </row>
    <row r="153" spans="2:13" ht="15.75" thickBot="1"/>
    <row r="154" spans="2:13" ht="15.75" thickBot="1">
      <c r="B154" s="304" t="s">
        <v>282</v>
      </c>
      <c r="C154" s="305"/>
      <c r="D154" s="305"/>
      <c r="E154" s="306"/>
    </row>
    <row r="156" spans="2:13">
      <c r="B156" s="244" t="s">
        <v>101</v>
      </c>
      <c r="C156" s="244"/>
      <c r="D156" s="244"/>
      <c r="E156" s="244"/>
    </row>
    <row r="157" spans="2:13">
      <c r="B157" s="42" t="s">
        <v>66</v>
      </c>
      <c r="C157" s="42" t="s">
        <v>244</v>
      </c>
      <c r="D157" s="42" t="s">
        <v>87</v>
      </c>
      <c r="E157" s="42" t="s">
        <v>102</v>
      </c>
    </row>
    <row r="158" spans="2:13">
      <c r="B158" s="59" t="s">
        <v>238</v>
      </c>
      <c r="C158" s="55">
        <f>C30</f>
        <v>1920</v>
      </c>
      <c r="D158" s="59" t="s">
        <v>303</v>
      </c>
      <c r="E158" s="75" t="s">
        <v>541</v>
      </c>
    </row>
    <row r="159" spans="2:13">
      <c r="B159" s="59" t="s">
        <v>237</v>
      </c>
      <c r="C159" s="55">
        <f>C29</f>
        <v>320</v>
      </c>
      <c r="D159" s="59" t="s">
        <v>303</v>
      </c>
      <c r="E159" s="75" t="s">
        <v>543</v>
      </c>
    </row>
    <row r="160" spans="2:13">
      <c r="B160" s="59" t="s">
        <v>211</v>
      </c>
      <c r="C160" s="55">
        <f>C31</f>
        <v>160</v>
      </c>
      <c r="D160" s="59" t="s">
        <v>303</v>
      </c>
      <c r="E160" s="59" t="s">
        <v>545</v>
      </c>
    </row>
    <row r="161" spans="2:5">
      <c r="B161" s="244" t="s">
        <v>123</v>
      </c>
      <c r="C161" s="244"/>
      <c r="D161" s="244"/>
      <c r="E161" s="244"/>
    </row>
    <row r="162" spans="2:5">
      <c r="B162" s="59" t="s">
        <v>302</v>
      </c>
      <c r="C162" s="55">
        <f>C158+C160+C159</f>
        <v>2400</v>
      </c>
      <c r="D162" s="59" t="s">
        <v>303</v>
      </c>
      <c r="E162" s="58"/>
    </row>
    <row r="163" spans="2:5" ht="15.75" thickBot="1"/>
    <row r="164" spans="2:5" ht="15.75" thickBot="1">
      <c r="B164" s="304" t="s">
        <v>422</v>
      </c>
      <c r="C164" s="305"/>
      <c r="D164" s="305"/>
      <c r="E164" s="306"/>
    </row>
    <row r="165" spans="2:5" ht="15.75" thickBot="1"/>
    <row r="166" spans="2:5" ht="15.75" thickBot="1">
      <c r="B166" s="304" t="s">
        <v>248</v>
      </c>
      <c r="C166" s="305"/>
      <c r="D166" s="305"/>
      <c r="E166" s="306"/>
    </row>
    <row r="168" spans="2:5">
      <c r="B168" s="118" t="s">
        <v>249</v>
      </c>
    </row>
    <row r="169" spans="2:5">
      <c r="B169" s="244" t="s">
        <v>101</v>
      </c>
      <c r="C169" s="244"/>
      <c r="D169" s="244"/>
      <c r="E169" s="244"/>
    </row>
    <row r="170" spans="2:5">
      <c r="B170" s="73" t="s">
        <v>66</v>
      </c>
      <c r="C170" s="73" t="s">
        <v>253</v>
      </c>
      <c r="D170" s="74" t="s">
        <v>87</v>
      </c>
      <c r="E170" s="42" t="s">
        <v>102</v>
      </c>
    </row>
    <row r="171" spans="2:5">
      <c r="B171" s="59" t="s">
        <v>302</v>
      </c>
      <c r="C171" s="55">
        <f>C162</f>
        <v>2400</v>
      </c>
      <c r="D171" s="59" t="s">
        <v>303</v>
      </c>
      <c r="E171" s="75"/>
    </row>
    <row r="172" spans="2:5" ht="60">
      <c r="B172" s="67" t="s">
        <v>426</v>
      </c>
      <c r="C172" s="70">
        <f>0.0067*C171</f>
        <v>16.080000000000002</v>
      </c>
      <c r="D172" s="59" t="s">
        <v>428</v>
      </c>
      <c r="E172" s="75" t="s">
        <v>287</v>
      </c>
    </row>
    <row r="173" spans="2:5" ht="60">
      <c r="B173" s="67" t="s">
        <v>425</v>
      </c>
      <c r="C173" s="70">
        <f>0.00895*C171</f>
        <v>21.48</v>
      </c>
      <c r="D173" s="59" t="s">
        <v>427</v>
      </c>
      <c r="E173" s="75" t="s">
        <v>254</v>
      </c>
    </row>
    <row r="174" spans="2:5" ht="60">
      <c r="B174" s="67" t="s">
        <v>256</v>
      </c>
      <c r="C174" s="70">
        <v>9.76</v>
      </c>
      <c r="D174" s="59" t="s">
        <v>424</v>
      </c>
      <c r="E174" s="34" t="s">
        <v>255</v>
      </c>
    </row>
    <row r="175" spans="2:5">
      <c r="B175" s="244" t="s">
        <v>123</v>
      </c>
      <c r="C175" s="244"/>
      <c r="D175" s="244"/>
      <c r="E175" s="244"/>
    </row>
    <row r="176" spans="2:5" ht="30">
      <c r="B176" s="59" t="s">
        <v>420</v>
      </c>
      <c r="C176" s="55">
        <f>0.7*C171</f>
        <v>1680</v>
      </c>
      <c r="D176" s="59" t="s">
        <v>423</v>
      </c>
      <c r="E176" s="58"/>
    </row>
    <row r="177" spans="2:6" ht="30">
      <c r="B177" s="59" t="s">
        <v>251</v>
      </c>
      <c r="C177" s="59">
        <f>C171*0.3</f>
        <v>720</v>
      </c>
      <c r="D177" s="59" t="s">
        <v>421</v>
      </c>
      <c r="E177" s="59"/>
    </row>
    <row r="178" spans="2:6" ht="15.75" thickBot="1"/>
    <row r="179" spans="2:6" ht="15.75" thickBot="1">
      <c r="B179" s="304" t="s">
        <v>277</v>
      </c>
      <c r="C179" s="305"/>
      <c r="D179" s="305"/>
      <c r="E179" s="306"/>
    </row>
    <row r="181" spans="2:6">
      <c r="B181" s="244" t="s">
        <v>101</v>
      </c>
      <c r="C181" s="244"/>
      <c r="D181" s="244"/>
      <c r="E181" s="244"/>
    </row>
    <row r="182" spans="2:6">
      <c r="B182" s="42" t="s">
        <v>66</v>
      </c>
      <c r="C182" s="42" t="s">
        <v>253</v>
      </c>
      <c r="D182" s="42" t="s">
        <v>87</v>
      </c>
      <c r="E182" s="42" t="s">
        <v>102</v>
      </c>
    </row>
    <row r="183" spans="2:6">
      <c r="B183" s="59" t="s">
        <v>429</v>
      </c>
      <c r="C183" s="55">
        <f>C177</f>
        <v>720</v>
      </c>
      <c r="D183" s="59" t="s">
        <v>430</v>
      </c>
      <c r="E183" s="76" t="s">
        <v>539</v>
      </c>
    </row>
    <row r="184" spans="2:6">
      <c r="B184" s="244" t="s">
        <v>123</v>
      </c>
      <c r="C184" s="244"/>
      <c r="D184" s="244"/>
      <c r="E184" s="244"/>
    </row>
    <row r="185" spans="2:6">
      <c r="B185" s="59" t="s">
        <v>279</v>
      </c>
      <c r="C185" s="55">
        <f>C183</f>
        <v>720</v>
      </c>
      <c r="D185" s="55" t="s">
        <v>431</v>
      </c>
      <c r="E185" s="58"/>
    </row>
    <row r="187" spans="2:6">
      <c r="B187" s="38" t="s">
        <v>176</v>
      </c>
    </row>
    <row r="189" spans="2:6">
      <c r="B189" s="244" t="s">
        <v>300</v>
      </c>
      <c r="C189" s="244"/>
      <c r="D189" s="244"/>
      <c r="E189" s="244"/>
      <c r="F189" s="105"/>
    </row>
    <row r="190" spans="2:6">
      <c r="B190" s="1" t="s">
        <v>162</v>
      </c>
      <c r="C190" s="58" t="s">
        <v>81</v>
      </c>
      <c r="D190" s="58" t="s">
        <v>175</v>
      </c>
      <c r="E190" s="58" t="s">
        <v>177</v>
      </c>
      <c r="F190" s="106"/>
    </row>
    <row r="191" spans="2:6">
      <c r="B191" s="36" t="s">
        <v>163</v>
      </c>
      <c r="C191" s="44">
        <v>9.2199999999999998E-6</v>
      </c>
      <c r="D191" s="57">
        <v>3.8800000000000001E-6</v>
      </c>
      <c r="E191" s="44">
        <v>4.4900000000000002E-4</v>
      </c>
    </row>
    <row r="192" spans="2:6">
      <c r="B192" s="36" t="s">
        <v>164</v>
      </c>
      <c r="C192" s="44">
        <v>1030</v>
      </c>
      <c r="D192" s="57">
        <v>137</v>
      </c>
      <c r="E192" s="44">
        <v>1140</v>
      </c>
    </row>
    <row r="193" spans="2:10">
      <c r="B193" s="36" t="s">
        <v>165</v>
      </c>
      <c r="C193" s="44">
        <v>3.6299999999999999E-2</v>
      </c>
      <c r="D193" s="57">
        <v>6.1199999999999997E-2</v>
      </c>
      <c r="E193" s="44">
        <v>0.108</v>
      </c>
    </row>
    <row r="194" spans="2:10">
      <c r="B194" s="36" t="s">
        <v>166</v>
      </c>
      <c r="C194" s="44">
        <v>6.2300000000000003E-3</v>
      </c>
      <c r="D194" s="57">
        <v>6.8500000000000002E-3</v>
      </c>
      <c r="E194" s="44">
        <v>1.8100000000000002E-2</v>
      </c>
    </row>
    <row r="195" spans="2:10">
      <c r="B195" s="36" t="s">
        <v>167</v>
      </c>
      <c r="C195" s="44">
        <v>0.40500000000000003</v>
      </c>
      <c r="D195" s="57">
        <v>4.2299999999999997E-2</v>
      </c>
      <c r="E195" s="44">
        <v>0.10100000000000001</v>
      </c>
    </row>
    <row r="196" spans="2:10">
      <c r="B196" s="36" t="s">
        <v>168</v>
      </c>
      <c r="C196" s="44">
        <v>7.63</v>
      </c>
      <c r="D196" s="57">
        <v>10.199999999999999</v>
      </c>
      <c r="E196" s="44">
        <v>156</v>
      </c>
    </row>
    <row r="197" spans="2:10" ht="30">
      <c r="B197" s="36" t="s">
        <v>169</v>
      </c>
      <c r="C197" s="44">
        <v>11.6</v>
      </c>
      <c r="D197" s="57">
        <v>10.6</v>
      </c>
      <c r="E197" s="44">
        <v>156</v>
      </c>
    </row>
    <row r="198" spans="2:10">
      <c r="B198" s="36" t="s">
        <v>170</v>
      </c>
      <c r="C198" s="44">
        <v>1.32</v>
      </c>
      <c r="D198" s="57">
        <v>0.52600000000000002</v>
      </c>
      <c r="E198" s="44">
        <v>4.6100000000000003</v>
      </c>
    </row>
    <row r="199" spans="2:10">
      <c r="B199" s="36" t="s">
        <v>171</v>
      </c>
      <c r="C199" s="44">
        <v>1330</v>
      </c>
      <c r="D199" s="57">
        <v>2210</v>
      </c>
      <c r="E199" s="44">
        <v>3890</v>
      </c>
    </row>
    <row r="200" spans="2:10" ht="30">
      <c r="B200" s="36" t="s">
        <v>172</v>
      </c>
      <c r="C200" s="44">
        <v>6.2800000000000005E-11</v>
      </c>
      <c r="D200" s="57">
        <v>3.0099999999999998E-11</v>
      </c>
      <c r="E200" s="44">
        <v>5.2700000000000004E-10</v>
      </c>
    </row>
    <row r="201" spans="2:10">
      <c r="B201" s="36" t="s">
        <v>173</v>
      </c>
      <c r="C201" s="44">
        <v>5.4900000000000001E-3</v>
      </c>
      <c r="D201" s="57">
        <v>4.7699999999999999E-3</v>
      </c>
      <c r="E201" s="44">
        <v>9.3100000000000006E-3</v>
      </c>
    </row>
    <row r="202" spans="2:10">
      <c r="B202" s="36" t="s">
        <v>174</v>
      </c>
      <c r="C202" s="44">
        <v>0.152</v>
      </c>
      <c r="D202" s="57">
        <v>0.28299999999999997</v>
      </c>
      <c r="E202" s="44">
        <v>0.19500000000000001</v>
      </c>
    </row>
    <row r="203" spans="2:10" ht="15.75" thickBot="1"/>
    <row r="204" spans="2:10" ht="15.75" thickBot="1">
      <c r="B204" s="33" t="s">
        <v>178</v>
      </c>
      <c r="C204" s="32" t="s">
        <v>187</v>
      </c>
    </row>
    <row r="206" spans="2:10">
      <c r="B206" s="245" t="s">
        <v>300</v>
      </c>
      <c r="C206" s="245"/>
      <c r="D206" s="245"/>
      <c r="E206" s="245"/>
      <c r="F206" s="245"/>
      <c r="G206" s="245"/>
      <c r="H206" s="245"/>
      <c r="I206" s="245"/>
      <c r="J206" s="245"/>
    </row>
    <row r="207" spans="2:10">
      <c r="B207" s="42" t="s">
        <v>179</v>
      </c>
      <c r="C207" s="42" t="s">
        <v>33</v>
      </c>
      <c r="D207" s="42" t="s">
        <v>34</v>
      </c>
      <c r="E207" s="42" t="s">
        <v>35</v>
      </c>
      <c r="F207" s="42" t="s">
        <v>50</v>
      </c>
      <c r="G207" s="246" t="s">
        <v>196</v>
      </c>
      <c r="H207" s="247"/>
      <c r="I207" s="119" t="s">
        <v>189</v>
      </c>
      <c r="J207" s="42" t="s">
        <v>190</v>
      </c>
    </row>
    <row r="208" spans="2:10" ht="87" customHeight="1">
      <c r="B208" s="182" t="s">
        <v>2</v>
      </c>
      <c r="C208" s="177" t="s">
        <v>194</v>
      </c>
      <c r="D208" s="177" t="s">
        <v>289</v>
      </c>
      <c r="E208" s="177" t="s">
        <v>565</v>
      </c>
      <c r="F208" s="182"/>
      <c r="G208" s="325" t="s">
        <v>634</v>
      </c>
      <c r="H208" s="327" t="s">
        <v>635</v>
      </c>
      <c r="I208" s="262">
        <v>0.5</v>
      </c>
      <c r="J208" s="177" t="s">
        <v>290</v>
      </c>
    </row>
    <row r="209" spans="2:11" ht="1.5" customHeight="1">
      <c r="B209" s="183"/>
      <c r="C209" s="178"/>
      <c r="D209" s="178"/>
      <c r="E209" s="178"/>
      <c r="F209" s="183"/>
      <c r="G209" s="326"/>
      <c r="H209" s="328"/>
      <c r="I209" s="264"/>
      <c r="J209" s="178"/>
    </row>
    <row r="210" spans="2:11" ht="39.75" customHeight="1">
      <c r="B210" s="182" t="s">
        <v>180</v>
      </c>
      <c r="C210" s="177" t="s">
        <v>576</v>
      </c>
      <c r="D210" s="177" t="s">
        <v>200</v>
      </c>
      <c r="E210" s="177" t="s">
        <v>551</v>
      </c>
      <c r="F210" s="180"/>
      <c r="G210" s="52" t="s">
        <v>637</v>
      </c>
      <c r="H210" s="50" t="s">
        <v>294</v>
      </c>
      <c r="I210" s="262">
        <v>0</v>
      </c>
      <c r="J210" s="177" t="s">
        <v>577</v>
      </c>
    </row>
    <row r="211" spans="2:11" ht="39.75" customHeight="1">
      <c r="B211" s="183"/>
      <c r="C211" s="178"/>
      <c r="D211" s="178"/>
      <c r="E211" s="178"/>
      <c r="F211" s="181"/>
      <c r="G211" s="36" t="s">
        <v>636</v>
      </c>
      <c r="H211" s="34" t="s">
        <v>575</v>
      </c>
      <c r="I211" s="264"/>
      <c r="J211" s="178"/>
    </row>
    <row r="212" spans="2:11" ht="30" customHeight="1">
      <c r="B212" s="182" t="s">
        <v>181</v>
      </c>
      <c r="C212" s="177" t="s">
        <v>569</v>
      </c>
      <c r="D212" s="177" t="s">
        <v>202</v>
      </c>
      <c r="E212" s="177" t="s">
        <v>296</v>
      </c>
      <c r="F212" s="177" t="s">
        <v>551</v>
      </c>
      <c r="G212" s="329" t="s">
        <v>751</v>
      </c>
      <c r="H212" s="182" t="s">
        <v>752</v>
      </c>
      <c r="I212" s="296" t="s">
        <v>753</v>
      </c>
      <c r="J212" s="177" t="s">
        <v>638</v>
      </c>
      <c r="K212" s="77"/>
    </row>
    <row r="213" spans="2:11">
      <c r="B213" s="183"/>
      <c r="C213" s="178"/>
      <c r="D213" s="178"/>
      <c r="E213" s="178"/>
      <c r="F213" s="178"/>
      <c r="G213" s="330"/>
      <c r="H213" s="183"/>
      <c r="I213" s="298"/>
      <c r="J213" s="178"/>
      <c r="K213" s="128"/>
    </row>
    <row r="214" spans="2:11" ht="120">
      <c r="B214" s="37" t="s">
        <v>7</v>
      </c>
      <c r="C214" s="36" t="s">
        <v>640</v>
      </c>
      <c r="D214" s="36" t="s">
        <v>641</v>
      </c>
      <c r="E214" s="36" t="s">
        <v>642</v>
      </c>
      <c r="F214" s="36" t="s">
        <v>299</v>
      </c>
      <c r="G214" s="52" t="s">
        <v>643</v>
      </c>
      <c r="H214" s="79" t="s">
        <v>644</v>
      </c>
      <c r="I214" s="120">
        <v>1</v>
      </c>
      <c r="J214" s="45" t="s">
        <v>578</v>
      </c>
    </row>
    <row r="215" spans="2:11" ht="157.5" customHeight="1">
      <c r="B215" s="182" t="s">
        <v>183</v>
      </c>
      <c r="C215" s="177" t="s">
        <v>640</v>
      </c>
      <c r="D215" s="177" t="s">
        <v>641</v>
      </c>
      <c r="E215" s="177" t="s">
        <v>298</v>
      </c>
      <c r="F215" s="177" t="s">
        <v>645</v>
      </c>
      <c r="G215" s="299" t="s">
        <v>646</v>
      </c>
      <c r="H215" s="300" t="s">
        <v>647</v>
      </c>
      <c r="I215" s="292">
        <v>0.52</v>
      </c>
      <c r="J215" s="301" t="s">
        <v>648</v>
      </c>
      <c r="K215" s="322"/>
    </row>
    <row r="216" spans="2:11" ht="15.75" customHeight="1">
      <c r="B216" s="295"/>
      <c r="C216" s="291"/>
      <c r="D216" s="291"/>
      <c r="E216" s="291"/>
      <c r="F216" s="291"/>
      <c r="G216" s="299"/>
      <c r="H216" s="300"/>
      <c r="I216" s="293"/>
      <c r="J216" s="291"/>
      <c r="K216" s="323"/>
    </row>
    <row r="217" spans="2:11" ht="15.75" customHeight="1">
      <c r="B217" s="183"/>
      <c r="C217" s="178"/>
      <c r="D217" s="178"/>
      <c r="E217" s="178"/>
      <c r="F217" s="178"/>
      <c r="G217" s="299"/>
      <c r="H217" s="300"/>
      <c r="I217" s="294"/>
      <c r="J217" s="178"/>
      <c r="K217" s="324"/>
    </row>
    <row r="218" spans="2:11" ht="30">
      <c r="B218" s="182" t="s">
        <v>184</v>
      </c>
      <c r="C218" s="177" t="s">
        <v>640</v>
      </c>
      <c r="D218" s="177" t="s">
        <v>641</v>
      </c>
      <c r="E218" s="177" t="s">
        <v>298</v>
      </c>
      <c r="F218" s="177" t="s">
        <v>645</v>
      </c>
      <c r="G218" s="52" t="s">
        <v>649</v>
      </c>
      <c r="H218" s="36" t="s">
        <v>647</v>
      </c>
      <c r="I218" s="296" t="s">
        <v>639</v>
      </c>
      <c r="J218" s="177" t="s">
        <v>656</v>
      </c>
    </row>
    <row r="219" spans="2:11" ht="30">
      <c r="B219" s="295"/>
      <c r="C219" s="291"/>
      <c r="D219" s="291"/>
      <c r="E219" s="291"/>
      <c r="F219" s="291"/>
      <c r="G219" s="69" t="s">
        <v>650</v>
      </c>
      <c r="H219" s="36" t="s">
        <v>651</v>
      </c>
      <c r="I219" s="297"/>
      <c r="J219" s="291"/>
    </row>
    <row r="220" spans="2:11" ht="45">
      <c r="B220" s="295"/>
      <c r="C220" s="291"/>
      <c r="D220" s="291"/>
      <c r="E220" s="291"/>
      <c r="F220" s="291"/>
      <c r="G220" s="69" t="s">
        <v>654</v>
      </c>
      <c r="H220" s="36" t="s">
        <v>652</v>
      </c>
      <c r="I220" s="297"/>
      <c r="J220" s="291"/>
    </row>
    <row r="221" spans="2:11" ht="30">
      <c r="B221" s="295"/>
      <c r="C221" s="291"/>
      <c r="D221" s="291"/>
      <c r="E221" s="291"/>
      <c r="F221" s="291"/>
      <c r="G221" s="69" t="s">
        <v>755</v>
      </c>
      <c r="H221" s="155" t="s">
        <v>756</v>
      </c>
      <c r="I221" s="297"/>
      <c r="J221" s="291"/>
    </row>
    <row r="222" spans="2:11" ht="30">
      <c r="B222" s="183"/>
      <c r="C222" s="178"/>
      <c r="D222" s="178"/>
      <c r="E222" s="178"/>
      <c r="F222" s="178"/>
      <c r="G222" s="69" t="s">
        <v>655</v>
      </c>
      <c r="H222" s="78" t="s">
        <v>653</v>
      </c>
      <c r="I222" s="298"/>
      <c r="J222" s="178"/>
    </row>
    <row r="225" spans="2:4">
      <c r="B225" s="24"/>
      <c r="C225" s="77"/>
      <c r="D225" s="24"/>
    </row>
    <row r="251" spans="2:2">
      <c r="B251" t="s">
        <v>680</v>
      </c>
    </row>
  </sheetData>
  <autoFilter ref="B135:J147"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9">
    <mergeCell ref="K215:K217"/>
    <mergeCell ref="G208:G209"/>
    <mergeCell ref="H208:H209"/>
    <mergeCell ref="B210:B211"/>
    <mergeCell ref="C210:C211"/>
    <mergeCell ref="D210:D211"/>
    <mergeCell ref="E210:E211"/>
    <mergeCell ref="F210:F211"/>
    <mergeCell ref="I210:I211"/>
    <mergeCell ref="J210:J211"/>
    <mergeCell ref="B212:B213"/>
    <mergeCell ref="C212:C213"/>
    <mergeCell ref="D212:D213"/>
    <mergeCell ref="E212:E213"/>
    <mergeCell ref="F212:F213"/>
    <mergeCell ref="I212:I213"/>
    <mergeCell ref="J212:J213"/>
    <mergeCell ref="G212:G213"/>
    <mergeCell ref="H212:H213"/>
    <mergeCell ref="B38:M38"/>
    <mergeCell ref="B27:C27"/>
    <mergeCell ref="D27:E27"/>
    <mergeCell ref="B31:B35"/>
    <mergeCell ref="C31:C35"/>
    <mergeCell ref="B44:E44"/>
    <mergeCell ref="B49:E49"/>
    <mergeCell ref="B42:E42"/>
    <mergeCell ref="B54:E54"/>
    <mergeCell ref="E46:E47"/>
    <mergeCell ref="B73:E73"/>
    <mergeCell ref="B66:E66"/>
    <mergeCell ref="B79:E79"/>
    <mergeCell ref="B80:E80"/>
    <mergeCell ref="B57:E57"/>
    <mergeCell ref="B62:E62"/>
    <mergeCell ref="B67:E67"/>
    <mergeCell ref="G102:Q102"/>
    <mergeCell ref="B84:E84"/>
    <mergeCell ref="B88:E88"/>
    <mergeCell ref="B90:E90"/>
    <mergeCell ref="B93:E93"/>
    <mergeCell ref="B96:E96"/>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E142:E145"/>
    <mergeCell ref="F142:F145"/>
    <mergeCell ref="B150:M150"/>
    <mergeCell ref="B154:E154"/>
    <mergeCell ref="B156:E156"/>
    <mergeCell ref="I142:I145"/>
    <mergeCell ref="F146:F147"/>
    <mergeCell ref="E146:E147"/>
    <mergeCell ref="D146:D147"/>
    <mergeCell ref="B142:B145"/>
    <mergeCell ref="C142:C145"/>
    <mergeCell ref="D142:D145"/>
    <mergeCell ref="K142:K145"/>
    <mergeCell ref="K146:K147"/>
    <mergeCell ref="J142:J145"/>
    <mergeCell ref="B161:E161"/>
    <mergeCell ref="C146:C147"/>
    <mergeCell ref="B146:B147"/>
    <mergeCell ref="I146:I147"/>
    <mergeCell ref="J146:J147"/>
    <mergeCell ref="B179:E179"/>
    <mergeCell ref="B181:E181"/>
    <mergeCell ref="B184:E184"/>
    <mergeCell ref="B164:E164"/>
    <mergeCell ref="B166:E166"/>
    <mergeCell ref="B169:E169"/>
    <mergeCell ref="B175:E175"/>
    <mergeCell ref="B189:E189"/>
    <mergeCell ref="B206:J206"/>
    <mergeCell ref="G207:H207"/>
    <mergeCell ref="B208:B209"/>
    <mergeCell ref="C208:C209"/>
    <mergeCell ref="D208:D209"/>
    <mergeCell ref="E208:E209"/>
    <mergeCell ref="F208:F209"/>
    <mergeCell ref="I208:I209"/>
    <mergeCell ref="J208:J209"/>
    <mergeCell ref="J218:J222"/>
    <mergeCell ref="I215:I217"/>
    <mergeCell ref="B218:B222"/>
    <mergeCell ref="C218:C222"/>
    <mergeCell ref="D218:D222"/>
    <mergeCell ref="E218:E222"/>
    <mergeCell ref="F218:F222"/>
    <mergeCell ref="I218:I222"/>
    <mergeCell ref="B215:B217"/>
    <mergeCell ref="C215:C217"/>
    <mergeCell ref="D215:D217"/>
    <mergeCell ref="E215:E217"/>
    <mergeCell ref="F215:F217"/>
    <mergeCell ref="G215:G217"/>
    <mergeCell ref="H215:H217"/>
    <mergeCell ref="J215:J217"/>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baseColWidth="10" defaultColWidth="10.85546875" defaultRowHeight="15"/>
  <sheetData>
    <row r="1" spans="1:26" ht="21">
      <c r="A1" s="11" t="s">
        <v>304</v>
      </c>
    </row>
    <row r="3" spans="1:26" ht="15.75">
      <c r="B3" s="334" t="s">
        <v>305</v>
      </c>
      <c r="C3" s="81" t="s">
        <v>306</v>
      </c>
      <c r="D3" s="82">
        <v>1322</v>
      </c>
      <c r="F3" s="83" t="s">
        <v>307</v>
      </c>
    </row>
    <row r="4" spans="1:26">
      <c r="B4" s="334"/>
      <c r="C4" s="45" t="s">
        <v>308</v>
      </c>
      <c r="D4" s="84">
        <v>330.5</v>
      </c>
    </row>
    <row r="5" spans="1:26">
      <c r="B5" s="334"/>
      <c r="C5" s="81" t="s">
        <v>309</v>
      </c>
      <c r="D5" s="82">
        <v>6</v>
      </c>
      <c r="F5" s="85" t="s">
        <v>310</v>
      </c>
      <c r="G5" t="s">
        <v>311</v>
      </c>
      <c r="J5" s="25" t="s">
        <v>312</v>
      </c>
      <c r="K5" t="s">
        <v>313</v>
      </c>
    </row>
    <row r="6" spans="1:26">
      <c r="B6" s="334"/>
      <c r="C6" s="37" t="s">
        <v>314</v>
      </c>
      <c r="D6" s="84">
        <v>280</v>
      </c>
      <c r="F6" s="86" t="s">
        <v>315</v>
      </c>
      <c r="G6" s="25" t="s">
        <v>316</v>
      </c>
      <c r="H6" s="87">
        <f>D8/(D6+D7)</f>
        <v>0.42666666666666669</v>
      </c>
      <c r="J6" s="25" t="s">
        <v>317</v>
      </c>
      <c r="K6" t="s">
        <v>318</v>
      </c>
    </row>
    <row r="7" spans="1:26">
      <c r="B7" s="334"/>
      <c r="C7" s="88" t="s">
        <v>319</v>
      </c>
      <c r="D7" s="82">
        <v>95</v>
      </c>
      <c r="F7" s="85"/>
      <c r="J7" s="25" t="s">
        <v>320</v>
      </c>
      <c r="K7" t="s">
        <v>321</v>
      </c>
    </row>
    <row r="8" spans="1:26">
      <c r="B8" s="334"/>
      <c r="C8" s="45" t="s">
        <v>322</v>
      </c>
      <c r="D8" s="84">
        <v>160</v>
      </c>
    </row>
    <row r="9" spans="1:26">
      <c r="B9" s="334"/>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199" t="s">
        <v>328</v>
      </c>
      <c r="H12" s="199"/>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199" t="s">
        <v>334</v>
      </c>
      <c r="H17" s="199"/>
      <c r="I17" s="25">
        <f>I12-I15</f>
        <v>46.2</v>
      </c>
      <c r="J17" t="s">
        <v>326</v>
      </c>
    </row>
    <row r="18" spans="1:14">
      <c r="G18" s="85"/>
      <c r="H18" s="85"/>
      <c r="I18" s="25"/>
    </row>
    <row r="19" spans="1:14" ht="15.75">
      <c r="I19" s="91" t="s">
        <v>335</v>
      </c>
      <c r="N19" s="92" t="s">
        <v>336</v>
      </c>
    </row>
    <row r="20" spans="1:14" ht="15.7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7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199" t="s">
        <v>376</v>
      </c>
      <c r="J58" s="199"/>
      <c r="K58" s="25">
        <f>37+E58</f>
        <v>46</v>
      </c>
      <c r="L58" t="s">
        <v>326</v>
      </c>
    </row>
    <row r="60" spans="2:12">
      <c r="H60" t="s">
        <v>377</v>
      </c>
    </row>
    <row r="61" spans="2:12">
      <c r="H61" s="85" t="s">
        <v>327</v>
      </c>
      <c r="I61" s="199" t="s">
        <v>378</v>
      </c>
      <c r="J61" s="199"/>
    </row>
    <row r="62" spans="2:12">
      <c r="H62" s="85" t="s">
        <v>379</v>
      </c>
      <c r="I62" s="199" t="s">
        <v>380</v>
      </c>
      <c r="J62" s="199"/>
      <c r="K62" s="25">
        <f>K58/0.92</f>
        <v>50</v>
      </c>
      <c r="L62" t="s">
        <v>326</v>
      </c>
    </row>
    <row r="64" spans="2:12">
      <c r="H64" t="s">
        <v>381</v>
      </c>
    </row>
    <row r="65" spans="9:20">
      <c r="I65" t="s">
        <v>382</v>
      </c>
      <c r="N65" s="4" t="s">
        <v>383</v>
      </c>
    </row>
    <row r="66" spans="9:20" ht="15.7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199" t="s">
        <v>402</v>
      </c>
      <c r="S82" s="199"/>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199" t="s">
        <v>406</v>
      </c>
      <c r="S86" s="199"/>
      <c r="T86" s="97">
        <f>T82*E35</f>
        <v>1915.6129032258063</v>
      </c>
      <c r="U86" t="s">
        <v>407</v>
      </c>
      <c r="X86" s="16"/>
      <c r="Y86" s="16"/>
      <c r="Z86" s="24"/>
    </row>
    <row r="87" spans="1:26" ht="15.75" thickBot="1">
      <c r="S87" s="85" t="s">
        <v>408</v>
      </c>
      <c r="T87" s="25">
        <v>1920</v>
      </c>
      <c r="U87" t="s">
        <v>407</v>
      </c>
      <c r="X87" s="16"/>
      <c r="Y87" s="16"/>
      <c r="Z87" s="24"/>
    </row>
    <row r="88" spans="1:26">
      <c r="S88" s="25"/>
      <c r="V88" s="98"/>
      <c r="W88" s="331" t="s">
        <v>305</v>
      </c>
      <c r="X88" s="99" t="s">
        <v>409</v>
      </c>
      <c r="Y88" s="100">
        <v>320</v>
      </c>
    </row>
    <row r="89" spans="1:26">
      <c r="P89" t="s">
        <v>410</v>
      </c>
      <c r="S89" s="25"/>
      <c r="V89" s="98"/>
      <c r="W89" s="332"/>
      <c r="X89" s="45" t="s">
        <v>411</v>
      </c>
      <c r="Y89" s="101">
        <v>1920</v>
      </c>
    </row>
    <row r="90" spans="1:26" ht="15.75" thickBot="1">
      <c r="Q90" s="85" t="s">
        <v>412</v>
      </c>
      <c r="R90" t="s">
        <v>413</v>
      </c>
      <c r="V90" s="98"/>
      <c r="W90" s="333"/>
      <c r="X90" s="102" t="s">
        <v>322</v>
      </c>
      <c r="Y90" s="103">
        <v>160</v>
      </c>
    </row>
    <row r="91" spans="1:26">
      <c r="Q91" s="85" t="s">
        <v>315</v>
      </c>
      <c r="R91" s="199" t="s">
        <v>414</v>
      </c>
      <c r="S91" s="199"/>
      <c r="T91" s="25">
        <f>E53+S70+T87</f>
        <v>2400</v>
      </c>
      <c r="U91" t="s">
        <v>407</v>
      </c>
    </row>
    <row r="92" spans="1:26">
      <c r="S92" s="25"/>
    </row>
    <row r="93" spans="1:26">
      <c r="S93" s="25"/>
      <c r="U93" t="s">
        <v>415</v>
      </c>
    </row>
    <row r="95" spans="1:26" ht="20.25">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Suzana Ostojic</cp:lastModifiedBy>
  <dcterms:created xsi:type="dcterms:W3CDTF">2025-01-20T15:46:05Z</dcterms:created>
  <dcterms:modified xsi:type="dcterms:W3CDTF">2025-02-25T07:26:49Z</dcterms:modified>
</cp:coreProperties>
</file>