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BioChem/BioChemCode_home/excel files/"/>
    </mc:Choice>
  </mc:AlternateContent>
  <xr:revisionPtr revIDLastSave="713" documentId="13_ncr:1_{E2D4F1BA-2C18-134E-A75E-8F9E4335778D}" xr6:coauthVersionLast="47" xr6:coauthVersionMax="47" xr10:uidLastSave="{E6044E42-7F2B-401C-BEA2-B800EF5040AC}"/>
  <bookViews>
    <workbookView xWindow="3060" yWindow="915" windowWidth="24975" windowHeight="13995" tabRatio="868" activeTab="7" xr2:uid="{969DB570-CA27-458B-9C48-4926AE1EBFDE}"/>
  </bookViews>
  <sheets>
    <sheet name="Compounds" sheetId="6" r:id="rId1"/>
    <sheet name="Parameters" sheetId="2" r:id="rId2"/>
    <sheet name="ParametersOriginal" sheetId="8" r:id="rId3"/>
    <sheet name="parametersCoCulture" sheetId="12" r:id="rId4"/>
    <sheet name="Stoichiometry" sheetId="3" r:id="rId5"/>
    <sheet name="StoichiometryBacillus" sheetId="10" r:id="rId6"/>
    <sheet name="StoichiometryCoCulture" sheetId="11" r:id="rId7"/>
    <sheet name="calculations" sheetId="9" r:id="rId8"/>
  </sheets>
  <definedNames>
    <definedName name="solver_adj" localSheetId="7" hidden="1">calculations!$D$57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calculations!$D$62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20.8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F5" i="9"/>
  <c r="E6" i="9"/>
  <c r="F3" i="9"/>
  <c r="B8" i="9"/>
  <c r="C23" i="9"/>
  <c r="B20" i="9"/>
  <c r="G27" i="9"/>
  <c r="G26" i="9"/>
  <c r="B19" i="9"/>
  <c r="F12" i="9"/>
  <c r="C24" i="9"/>
  <c r="C25" i="9" s="1"/>
  <c r="B6" i="9"/>
  <c r="F4" i="9"/>
  <c r="G51" i="9"/>
  <c r="D51" i="9"/>
  <c r="D52" i="9"/>
  <c r="D60" i="9"/>
  <c r="D59" i="9"/>
  <c r="D62" i="9"/>
  <c r="D58" i="9"/>
  <c r="G58" i="9"/>
  <c r="G59" i="9"/>
  <c r="G50" i="9"/>
  <c r="D50" i="9"/>
  <c r="H45" i="9"/>
  <c r="B36" i="9"/>
  <c r="B40" i="9"/>
  <c r="B41" i="9"/>
  <c r="B43" i="9" s="1"/>
  <c r="E40" i="9" s="1"/>
  <c r="H40" i="9" s="1"/>
  <c r="H42" i="9" s="1"/>
  <c r="D37" i="9"/>
  <c r="G41" i="9"/>
  <c r="H44" i="9"/>
  <c r="B12" i="9"/>
  <c r="D37" i="2"/>
  <c r="D34" i="2"/>
  <c r="D33" i="2"/>
  <c r="D31" i="2"/>
  <c r="D30" i="2"/>
  <c r="D28" i="2"/>
  <c r="D27" i="2"/>
  <c r="D26" i="2"/>
  <c r="D23" i="2"/>
  <c r="D21" i="2"/>
  <c r="D3" i="2"/>
  <c r="D19" i="12"/>
  <c r="D39" i="12"/>
  <c r="D36" i="12"/>
  <c r="D35" i="12"/>
  <c r="D33" i="12"/>
  <c r="D32" i="12"/>
  <c r="D30" i="12"/>
  <c r="D29" i="12"/>
  <c r="D28" i="12"/>
  <c r="D25" i="12"/>
  <c r="D23" i="12"/>
  <c r="D37" i="8"/>
  <c r="D34" i="8"/>
  <c r="D33" i="8"/>
  <c r="D31" i="8"/>
  <c r="D30" i="8"/>
  <c r="D28" i="8"/>
  <c r="D27" i="8"/>
  <c r="D26" i="8"/>
  <c r="D23" i="8"/>
  <c r="D21" i="8"/>
  <c r="D3" i="8"/>
</calcChain>
</file>

<file path=xl/sharedStrings.xml><?xml version="1.0" encoding="utf-8"?>
<sst xmlns="http://schemas.openxmlformats.org/spreadsheetml/2006/main" count="692" uniqueCount="232">
  <si>
    <t>M</t>
  </si>
  <si>
    <t>Spro</t>
  </si>
  <si>
    <t>Sac</t>
  </si>
  <si>
    <t>Sh2</t>
  </si>
  <si>
    <t>Hydrogen</t>
  </si>
  <si>
    <t>Stic</t>
  </si>
  <si>
    <t>Inorganic carbon</t>
  </si>
  <si>
    <t>SIn</t>
  </si>
  <si>
    <t>Inorganic nitrogen</t>
  </si>
  <si>
    <t>Xc</t>
  </si>
  <si>
    <t>Xsu</t>
  </si>
  <si>
    <t>Sugar degraders</t>
  </si>
  <si>
    <t>Scat</t>
  </si>
  <si>
    <t>Cations</t>
  </si>
  <si>
    <t>San</t>
  </si>
  <si>
    <t>Anions</t>
  </si>
  <si>
    <t>Abb</t>
  </si>
  <si>
    <t>Name</t>
  </si>
  <si>
    <t>Flag</t>
  </si>
  <si>
    <t>Units</t>
  </si>
  <si>
    <t>Value</t>
  </si>
  <si>
    <t>ADM1</t>
  </si>
  <si>
    <t>Name/meaning</t>
  </si>
  <si>
    <t>Inhibition constant</t>
  </si>
  <si>
    <t>maximum rate sugar uptade</t>
  </si>
  <si>
    <t>affinity constant sugar uptake</t>
  </si>
  <si>
    <t>decay rate coeff. sugar degraders</t>
  </si>
  <si>
    <t>km_su</t>
  </si>
  <si>
    <t>KS_su</t>
  </si>
  <si>
    <t>KI_NH3</t>
  </si>
  <si>
    <t>kdec_Xsu</t>
  </si>
  <si>
    <t>Process/Compounds</t>
  </si>
  <si>
    <t>Ysu</t>
  </si>
  <si>
    <t>Nxc</t>
  </si>
  <si>
    <t>Cxc</t>
  </si>
  <si>
    <t>Csu</t>
  </si>
  <si>
    <t>Nbac</t>
  </si>
  <si>
    <t>Cpro</t>
  </si>
  <si>
    <t>Cac</t>
  </si>
  <si>
    <t>Cbac</t>
  </si>
  <si>
    <t>pHUL_aa</t>
  </si>
  <si>
    <t>pHLL_aa</t>
  </si>
  <si>
    <t>Kac_ac</t>
  </si>
  <si>
    <t>Kac_bu</t>
  </si>
  <si>
    <t>Kac_in</t>
  </si>
  <si>
    <t>Kac_va</t>
  </si>
  <si>
    <t>Kac_pro</t>
  </si>
  <si>
    <t>Kw</t>
  </si>
  <si>
    <t>Kac_tic</t>
  </si>
  <si>
    <t>H_co2</t>
  </si>
  <si>
    <t>H_ch4</t>
  </si>
  <si>
    <t>H_h2</t>
  </si>
  <si>
    <t>kmole/m3/Pa</t>
  </si>
  <si>
    <t>Henry's constant CO2</t>
  </si>
  <si>
    <t>Henry's constant CH4</t>
  </si>
  <si>
    <t>Henry's constant H2</t>
  </si>
  <si>
    <t>Acidity constant (CO2 + H2O = HCO3 + H)</t>
  </si>
  <si>
    <t>Acidity constant acetate</t>
  </si>
  <si>
    <t>Water ionic product</t>
  </si>
  <si>
    <t>Acidity constant butyrate</t>
  </si>
  <si>
    <t>Acidity constant ammonium</t>
  </si>
  <si>
    <t>Acidity constant valerate</t>
  </si>
  <si>
    <t>Acidity constant propionate</t>
  </si>
  <si>
    <t>molarMass</t>
  </si>
  <si>
    <t>Liquid</t>
  </si>
  <si>
    <t>Gas</t>
  </si>
  <si>
    <t xml:space="preserve"> Cbac-Cxc</t>
  </si>
  <si>
    <t xml:space="preserve"> -Ysu*Nbac</t>
  </si>
  <si>
    <t xml:space="preserve"> Nbac-Nxc</t>
  </si>
  <si>
    <t>Slac</t>
  </si>
  <si>
    <t xml:space="preserve"> -Ylac*Nbac</t>
  </si>
  <si>
    <t>Xlac</t>
  </si>
  <si>
    <t>Ylac</t>
  </si>
  <si>
    <t>Lactate degraders</t>
  </si>
  <si>
    <t>Kac_lac</t>
  </si>
  <si>
    <t>Acidity constant lactate</t>
  </si>
  <si>
    <t>Clac</t>
  </si>
  <si>
    <t>kdec_Xlac</t>
  </si>
  <si>
    <t>km_lac</t>
  </si>
  <si>
    <t>KS_lac</t>
  </si>
  <si>
    <t>affinity constant lactate uptake</t>
  </si>
  <si>
    <t>affinity constant ammonium inhibition</t>
  </si>
  <si>
    <t>Upper limit acidogenesis/acetogenesis pH inhibition equation</t>
  </si>
  <si>
    <t>Lower limit acidogenesis/acetogenesis pH inhibition equation</t>
  </si>
  <si>
    <t>decay rate coeff. lactate degraders</t>
  </si>
  <si>
    <t>kLa</t>
  </si>
  <si>
    <t>Volume specific mass transfer coefficient</t>
  </si>
  <si>
    <t>KI_VFA</t>
  </si>
  <si>
    <t>(1-Ysu)*1</t>
  </si>
  <si>
    <t>Csu-(1-Ysu)*Clac-Ysu*Cbac</t>
  </si>
  <si>
    <t>Sglu</t>
  </si>
  <si>
    <t>Glucose</t>
  </si>
  <si>
    <t>h-1</t>
  </si>
  <si>
    <t>KS_IN</t>
  </si>
  <si>
    <t>g L-1</t>
  </si>
  <si>
    <t>L</t>
  </si>
  <si>
    <t>V</t>
  </si>
  <si>
    <t>Volume</t>
  </si>
  <si>
    <t>Propionate</t>
  </si>
  <si>
    <t>Lactate</t>
  </si>
  <si>
    <t>Acetate</t>
  </si>
  <si>
    <t>Compostion</t>
  </si>
  <si>
    <t>g COD L-1</t>
  </si>
  <si>
    <r>
      <t>g COD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g COD-1</t>
    </r>
  </si>
  <si>
    <t>mol C g COD-1</t>
  </si>
  <si>
    <t>mol N g COD-1</t>
  </si>
  <si>
    <t>K_I</t>
  </si>
  <si>
    <t>1. Glucose uptake</t>
  </si>
  <si>
    <t>(1-Ylac)*(64/96/3)</t>
  </si>
  <si>
    <t>(1-Ylac)*(2*112/3/96)</t>
  </si>
  <si>
    <t>Clac-(1-Ylac)*(2*112/96/3*Cpro+64/96/3*Cac)-Ylac*Cbac</t>
  </si>
  <si>
    <t>2. Yeast extract consumption</t>
  </si>
  <si>
    <t>3. Lactate uptake</t>
  </si>
  <si>
    <t>4. Decay of sugar degraders</t>
  </si>
  <si>
    <t>5 Decay of lactate degraders</t>
  </si>
  <si>
    <t>Sye</t>
  </si>
  <si>
    <t>(1-Yye)*1</t>
  </si>
  <si>
    <t>Yye</t>
  </si>
  <si>
    <t>Cye-(1-Yye)*Clac-Yye*Cbac</t>
  </si>
  <si>
    <t>Yeast extract</t>
  </si>
  <si>
    <t>km_ye</t>
  </si>
  <si>
    <t>maximum rate lactate uptake</t>
  </si>
  <si>
    <t>maximum rate yeast extract uptake</t>
  </si>
  <si>
    <t>KS_ye</t>
  </si>
  <si>
    <t>affinity constant yeast extract uptake</t>
  </si>
  <si>
    <t>Cye</t>
  </si>
  <si>
    <t xml:space="preserve"> Nye-Yye*Nbac</t>
  </si>
  <si>
    <t>Nye</t>
  </si>
  <si>
    <t>lag_time</t>
  </si>
  <si>
    <t>KI_pro</t>
  </si>
  <si>
    <t>KI_lac</t>
  </si>
  <si>
    <t>K_YE</t>
  </si>
  <si>
    <t>gCOD/molLac</t>
  </si>
  <si>
    <t>gCOD/molAce</t>
  </si>
  <si>
    <r>
      <t>CH</t>
    </r>
    <r>
      <rPr>
        <vertAlign val="subscript"/>
        <sz val="11"/>
        <color rgb="FF202124"/>
        <rFont val="Arial"/>
        <family val="2"/>
      </rPr>
      <t>1.7</t>
    </r>
    <r>
      <rPr>
        <sz val="16"/>
        <color rgb="FF202124"/>
        <rFont val="Arial"/>
        <family val="2"/>
      </rPr>
      <t>O</t>
    </r>
    <r>
      <rPr>
        <vertAlign val="subscript"/>
        <sz val="11"/>
        <color rgb="FF202124"/>
        <rFont val="Arial"/>
        <family val="2"/>
      </rPr>
      <t>0.4</t>
    </r>
    <r>
      <rPr>
        <sz val="16"/>
        <color rgb="FF202124"/>
        <rFont val="Arial"/>
        <family val="2"/>
      </rPr>
      <t>N</t>
    </r>
    <r>
      <rPr>
        <vertAlign val="subscript"/>
        <sz val="11"/>
        <color rgb="FF202124"/>
        <rFont val="Arial"/>
        <family val="2"/>
      </rPr>
      <t>0.2</t>
    </r>
  </si>
  <si>
    <t>Biomass</t>
  </si>
  <si>
    <t>2. Yeast extract consumption Bacillus</t>
  </si>
  <si>
    <t>3. Yeast extract consumption Veilliionella</t>
  </si>
  <si>
    <t>4. Lactate uptake</t>
  </si>
  <si>
    <t>5. Decay of sugar degraders</t>
  </si>
  <si>
    <t>6. Decay of lactate degraders</t>
  </si>
  <si>
    <t>Yyeb</t>
  </si>
  <si>
    <t>Yyev</t>
  </si>
  <si>
    <t>(1-Yyev)</t>
  </si>
  <si>
    <t>(1-Yyeb)*1</t>
  </si>
  <si>
    <t>Cye-(1-Yyeb)*Clac-Yyeb*Cbac</t>
  </si>
  <si>
    <r>
      <t>g COD</t>
    </r>
    <r>
      <rPr>
        <vertAlign val="subscript"/>
        <sz val="11"/>
        <color rgb="FF00B050"/>
        <rFont val="Calibri"/>
        <family val="2"/>
        <scheme val="minor"/>
      </rPr>
      <t>X</t>
    </r>
    <r>
      <rPr>
        <sz val="11"/>
        <color rgb="FF00B050"/>
        <rFont val="Calibri"/>
        <family val="2"/>
        <scheme val="minor"/>
      </rPr>
      <t xml:space="preserve"> g COD-0</t>
    </r>
    <r>
      <rPr>
        <sz val="12"/>
        <color theme="1"/>
        <rFont val="Calibri"/>
        <family val="2"/>
        <scheme val="minor"/>
      </rPr>
      <t/>
    </r>
  </si>
  <si>
    <t>KS_yev</t>
  </si>
  <si>
    <t>KS_yeb</t>
  </si>
  <si>
    <t>affinity constant yeast extract uptake Bacillus</t>
  </si>
  <si>
    <t>affinity constant yeast extract uptake Vellionella</t>
  </si>
  <si>
    <t>Inhibition constant of VFA</t>
  </si>
  <si>
    <r>
      <t>g COD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g COD-2</t>
    </r>
    <r>
      <rPr>
        <sz val="12"/>
        <color theme="1"/>
        <rFont val="Calibri"/>
        <family val="2"/>
        <scheme val="minor"/>
      </rPr>
      <t/>
    </r>
  </si>
  <si>
    <t xml:space="preserve"> Nye-Yyeb*Nbac</t>
  </si>
  <si>
    <t xml:space="preserve"> Nye-Yyev*Nbac</t>
  </si>
  <si>
    <t>batch bacillius</t>
  </si>
  <si>
    <t>assumed</t>
  </si>
  <si>
    <t>g COD L-2</t>
  </si>
  <si>
    <t>lactate inhibition constant</t>
  </si>
  <si>
    <t xml:space="preserve">proprionate inhibition constant </t>
  </si>
  <si>
    <t>g</t>
  </si>
  <si>
    <t>spike Veillionella</t>
  </si>
  <si>
    <t>Cye- (1-Yyev)*Cpro -(Yyev*Cbac)</t>
  </si>
  <si>
    <t>h</t>
  </si>
  <si>
    <t>Process</t>
  </si>
  <si>
    <t>Compounds</t>
  </si>
  <si>
    <t>Glucose (g/L)</t>
  </si>
  <si>
    <t>Lactate (g/L)</t>
  </si>
  <si>
    <t>Yeast (g/L)</t>
  </si>
  <si>
    <t>propionate (g/L)</t>
  </si>
  <si>
    <t>Acetate (g/L)</t>
  </si>
  <si>
    <t>Biomass B. (g/L)</t>
  </si>
  <si>
    <t>5. Decay of lactate degraders</t>
  </si>
  <si>
    <t>Biomass V.  (g/L)</t>
  </si>
  <si>
    <t>vol</t>
  </si>
  <si>
    <t>gCOD/g prop</t>
  </si>
  <si>
    <t xml:space="preserve">g/mol </t>
  </si>
  <si>
    <t>gCOD/mol</t>
  </si>
  <si>
    <t>gCOD/g</t>
  </si>
  <si>
    <t>g/mol</t>
  </si>
  <si>
    <t xml:space="preserve">initial </t>
  </si>
  <si>
    <t>added</t>
  </si>
  <si>
    <t>spikes</t>
  </si>
  <si>
    <t xml:space="preserve">total glucose </t>
  </si>
  <si>
    <t xml:space="preserve">convert </t>
  </si>
  <si>
    <t>mol</t>
  </si>
  <si>
    <t>propionate</t>
  </si>
  <si>
    <t xml:space="preserve">max in reservoir </t>
  </si>
  <si>
    <t xml:space="preserve">lactate </t>
  </si>
  <si>
    <t>convert</t>
  </si>
  <si>
    <t>gCOD</t>
  </si>
  <si>
    <t>gCOD/l</t>
  </si>
  <si>
    <t>gCOD/L</t>
  </si>
  <si>
    <t>Xin</t>
  </si>
  <si>
    <t>C</t>
  </si>
  <si>
    <t>total available</t>
  </si>
  <si>
    <t>gCODglu</t>
  </si>
  <si>
    <t>gCOD prop</t>
  </si>
  <si>
    <t>gCOD/L/H</t>
  </si>
  <si>
    <t>total Extr</t>
  </si>
  <si>
    <t>rate</t>
  </si>
  <si>
    <t>time extrc</t>
  </si>
  <si>
    <t>strategy 2</t>
  </si>
  <si>
    <t>total not avail</t>
  </si>
  <si>
    <t>r1</t>
  </si>
  <si>
    <t>r2</t>
  </si>
  <si>
    <r>
      <t>g COD</t>
    </r>
    <r>
      <rPr>
        <vertAlign val="subscript"/>
        <sz val="11"/>
        <rFont val="Calibri"/>
        <family val="2"/>
        <scheme val="minor"/>
      </rPr>
      <t>X</t>
    </r>
    <r>
      <rPr>
        <sz val="11"/>
        <rFont val="Calibri"/>
        <family val="2"/>
        <scheme val="minor"/>
      </rPr>
      <t xml:space="preserve"> g COD-1</t>
    </r>
  </si>
  <si>
    <r>
      <t>g COD</t>
    </r>
    <r>
      <rPr>
        <vertAlign val="subscript"/>
        <sz val="11"/>
        <rFont val="Calibri"/>
        <family val="2"/>
        <scheme val="minor"/>
      </rPr>
      <t>X</t>
    </r>
    <r>
      <rPr>
        <sz val="11"/>
        <rFont val="Calibri"/>
        <family val="2"/>
        <scheme val="minor"/>
      </rPr>
      <t xml:space="preserve"> g COD-0</t>
    </r>
    <r>
      <rPr>
        <sz val="12"/>
        <color theme="1"/>
        <rFont val="Calibri"/>
        <family val="2"/>
        <scheme val="minor"/>
      </rPr>
      <t/>
    </r>
  </si>
  <si>
    <t>parBoostrapBacillus</t>
  </si>
  <si>
    <t>parBoostrapVeillionella</t>
  </si>
  <si>
    <t>THE CORRECT PARAMETERS ARE IN MATLAB  IN THE FILE Calibration/saved data</t>
  </si>
  <si>
    <t>prop</t>
  </si>
  <si>
    <t>ace</t>
  </si>
  <si>
    <t>glu</t>
  </si>
  <si>
    <t>cf1</t>
  </si>
  <si>
    <t>PROPIONATE</t>
  </si>
  <si>
    <t xml:space="preserve">LACTATE </t>
  </si>
  <si>
    <t xml:space="preserve">Acetate </t>
  </si>
  <si>
    <t>cf2</t>
  </si>
  <si>
    <t>Molar mass</t>
  </si>
  <si>
    <t>COD mass</t>
  </si>
  <si>
    <t>DATA</t>
  </si>
  <si>
    <t>BIOMASS</t>
  </si>
  <si>
    <t>Conversion</t>
  </si>
  <si>
    <t>g-COD/g</t>
  </si>
  <si>
    <t>lac</t>
  </si>
  <si>
    <t>pro</t>
  </si>
  <si>
    <t>Bm</t>
  </si>
  <si>
    <t>YE</t>
  </si>
  <si>
    <t>Suc</t>
  </si>
  <si>
    <t xml:space="preserve">butyrate </t>
  </si>
  <si>
    <r>
      <t>gCOD</t>
    </r>
    <r>
      <rPr>
        <vertAlign val="subscript"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>/gCOD</t>
    </r>
    <r>
      <rPr>
        <vertAlign val="subscript"/>
        <sz val="11"/>
        <color theme="1"/>
        <rFont val="Calibri"/>
        <family val="2"/>
        <scheme val="minor"/>
      </rPr>
      <t>lac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</si>
</sst>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rgb="FF202124"/>
      <name val="Arial"/>
      <family val="2"/>
    </font>
    <font>
      <vertAlign val="subscript"/>
      <sz val="11"/>
      <color rgb="FF202124"/>
      <name val="Arial"/>
      <family val="2"/>
    </font>
    <font>
      <sz val="11"/>
      <color rgb="FF00B050"/>
      <name val="Calibri"/>
      <family val="2"/>
      <scheme val="minor"/>
    </font>
    <font>
      <vertAlign val="subscript"/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rgb="FF111111"/>
      <name val="Roboto"/>
    </font>
    <font>
      <sz val="12"/>
      <color rgb="FF202124"/>
      <name val="Calibri"/>
      <family val="2"/>
      <scheme val="minor"/>
    </font>
    <font>
      <sz val="12"/>
      <color rgb="FF1111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11" fontId="0" fillId="0" borderId="0" xfId="0" applyNumberFormat="1"/>
    <xf numFmtId="0" fontId="4" fillId="0" borderId="0" xfId="0" applyFont="1"/>
    <xf numFmtId="11" fontId="3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6" fillId="0" borderId="0" xfId="0" applyFont="1" applyBorder="1"/>
    <xf numFmtId="0" fontId="5" fillId="0" borderId="1" xfId="0" applyFont="1" applyBorder="1"/>
    <xf numFmtId="0" fontId="0" fillId="0" borderId="0" xfId="0" applyNumberFormat="1"/>
    <xf numFmtId="0" fontId="0" fillId="2" borderId="0" xfId="0" applyFont="1" applyFill="1"/>
    <xf numFmtId="2" fontId="0" fillId="0" borderId="0" xfId="0" applyNumberFormat="1"/>
    <xf numFmtId="11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Font="1" applyFill="1"/>
    <xf numFmtId="11" fontId="0" fillId="0" borderId="0" xfId="0" applyNumberFormat="1" applyFont="1" applyFill="1"/>
    <xf numFmtId="0" fontId="9" fillId="0" borderId="0" xfId="0" applyFont="1"/>
    <xf numFmtId="0" fontId="11" fillId="0" borderId="0" xfId="0" applyFont="1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2" fontId="2" fillId="0" borderId="0" xfId="0" applyNumberFormat="1" applyFont="1"/>
    <xf numFmtId="2" fontId="0" fillId="3" borderId="0" xfId="0" applyNumberFormat="1" applyFill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5" borderId="0" xfId="0" applyNumberFormat="1" applyFont="1" applyFill="1"/>
    <xf numFmtId="2" fontId="0" fillId="3" borderId="0" xfId="0" applyNumberFormat="1" applyFont="1" applyFill="1"/>
    <xf numFmtId="2" fontId="0" fillId="4" borderId="0" xfId="0" applyNumberFormat="1" applyFill="1"/>
    <xf numFmtId="0" fontId="0" fillId="0" borderId="0" xfId="0" applyBorder="1"/>
    <xf numFmtId="0" fontId="0" fillId="6" borderId="2" xfId="0" applyFont="1" applyFill="1" applyBorder="1"/>
    <xf numFmtId="0" fontId="0" fillId="6" borderId="3" xfId="0" applyFill="1" applyBorder="1"/>
    <xf numFmtId="0" fontId="0" fillId="6" borderId="0" xfId="0" applyFill="1" applyBorder="1"/>
    <xf numFmtId="0" fontId="2" fillId="6" borderId="0" xfId="0" applyFont="1" applyFill="1" applyBorder="1" applyAlignment="1">
      <alignment horizont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2" fillId="6" borderId="0" xfId="0" applyFont="1" applyFill="1" applyBorder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0" borderId="0" xfId="0" applyFill="1" applyBorder="1"/>
    <xf numFmtId="0" fontId="15" fillId="0" borderId="0" xfId="0" applyFont="1" applyFill="1"/>
    <xf numFmtId="11" fontId="15" fillId="0" borderId="0" xfId="0" applyNumberFormat="1" applyFont="1" applyFill="1"/>
    <xf numFmtId="0" fontId="16" fillId="0" borderId="0" xfId="0" applyFont="1" applyFill="1"/>
    <xf numFmtId="164" fontId="15" fillId="0" borderId="0" xfId="0" applyNumberFormat="1" applyFont="1" applyFill="1"/>
    <xf numFmtId="0" fontId="15" fillId="0" borderId="0" xfId="0" applyNumberFormat="1" applyFont="1" applyFill="1"/>
    <xf numFmtId="0" fontId="18" fillId="0" borderId="0" xfId="0" applyFont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3" xfId="0" applyFont="1" applyBorder="1"/>
    <xf numFmtId="165" fontId="19" fillId="0" borderId="0" xfId="0" applyNumberFormat="1" applyFont="1"/>
    <xf numFmtId="165" fontId="20" fillId="0" borderId="0" xfId="0" applyNumberFormat="1" applyFont="1"/>
    <xf numFmtId="165" fontId="1" fillId="0" borderId="10" xfId="0" applyNumberFormat="1" applyFont="1" applyBorder="1"/>
    <xf numFmtId="165" fontId="1" fillId="0" borderId="5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150812</xdr:colOff>
      <xdr:row>14</xdr:row>
      <xdr:rowOff>87313</xdr:rowOff>
    </xdr:from>
    <xdr:to>
      <xdr:col>22</xdr:col>
      <xdr:colOff>531812</xdr:colOff>
      <xdr:row>16</xdr:row>
      <xdr:rowOff>96838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BD31D40-64C7-43AD-A201-FCC7362A4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75" y="2833688"/>
          <a:ext cx="1905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400049</xdr:colOff>
      <xdr:row>18</xdr:row>
      <xdr:rowOff>150813</xdr:rowOff>
    </xdr:from>
    <xdr:ext cx="3830638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D67A331-5A90-4A21-9402-32F255310ACE}"/>
            </a:ext>
          </a:extLst>
        </xdr:cNvPr>
        <xdr:cNvSpPr txBox="1"/>
      </xdr:nvSpPr>
      <xdr:spPr>
        <a:xfrm>
          <a:off x="16775112" y="3659188"/>
          <a:ext cx="38306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6"/>
  <sheetViews>
    <sheetView zoomScale="110" zoomScaleNormal="110" workbookViewId="0">
      <selection activeCell="D12" sqref="D12"/>
    </sheetView>
  </sheetViews>
  <sheetFormatPr defaultColWidth="11.42578125" defaultRowHeight="15" x14ac:dyDescent="0.25"/>
  <cols>
    <col min="2" max="2" width="14.140625" customWidth="1"/>
    <col min="3" max="3" width="21" customWidth="1"/>
    <col min="5" max="5" width="21.85546875" customWidth="1"/>
    <col min="6" max="6" width="19.140625" customWidth="1"/>
  </cols>
  <sheetData>
    <row r="2" spans="2:9" ht="18.75" x14ac:dyDescent="0.3">
      <c r="B2" s="8" t="s">
        <v>16</v>
      </c>
      <c r="C2" s="8" t="s">
        <v>17</v>
      </c>
      <c r="D2" s="1" t="s">
        <v>18</v>
      </c>
      <c r="E2" s="1" t="s">
        <v>19</v>
      </c>
      <c r="F2" s="1" t="s">
        <v>63</v>
      </c>
      <c r="G2" s="1" t="s">
        <v>21</v>
      </c>
      <c r="H2" s="1" t="s">
        <v>64</v>
      </c>
      <c r="I2" s="1" t="s">
        <v>65</v>
      </c>
    </row>
    <row r="3" spans="2:9" ht="18.75" x14ac:dyDescent="0.3">
      <c r="B3" s="8" t="s">
        <v>96</v>
      </c>
      <c r="C3" s="8" t="s">
        <v>97</v>
      </c>
      <c r="D3" s="1">
        <v>1</v>
      </c>
      <c r="E3" s="1" t="s">
        <v>95</v>
      </c>
      <c r="F3" s="1"/>
      <c r="G3" s="1"/>
      <c r="H3" s="1"/>
      <c r="I3" s="1"/>
    </row>
    <row r="4" spans="2:9" ht="18.75" x14ac:dyDescent="0.3">
      <c r="B4" s="9" t="s">
        <v>90</v>
      </c>
      <c r="C4" s="9" t="s">
        <v>91</v>
      </c>
      <c r="D4">
        <v>2</v>
      </c>
      <c r="E4" t="s">
        <v>94</v>
      </c>
      <c r="F4">
        <v>180.16</v>
      </c>
      <c r="G4">
        <v>1</v>
      </c>
      <c r="H4">
        <v>1</v>
      </c>
      <c r="I4">
        <v>0</v>
      </c>
    </row>
    <row r="5" spans="2:9" ht="18.75" x14ac:dyDescent="0.3">
      <c r="B5" s="9" t="s">
        <v>69</v>
      </c>
      <c r="C5" s="9" t="s">
        <v>99</v>
      </c>
      <c r="D5" s="1">
        <v>3</v>
      </c>
      <c r="E5" t="s">
        <v>94</v>
      </c>
      <c r="F5">
        <v>90.08</v>
      </c>
      <c r="G5">
        <v>1</v>
      </c>
      <c r="H5">
        <v>1</v>
      </c>
      <c r="I5">
        <v>0</v>
      </c>
    </row>
    <row r="6" spans="2:9" ht="18.75" x14ac:dyDescent="0.3">
      <c r="B6" s="9" t="s">
        <v>115</v>
      </c>
      <c r="C6" s="9" t="s">
        <v>119</v>
      </c>
      <c r="D6" s="1">
        <v>4</v>
      </c>
      <c r="E6" t="s">
        <v>94</v>
      </c>
      <c r="F6">
        <v>1</v>
      </c>
      <c r="G6">
        <v>1</v>
      </c>
      <c r="H6">
        <v>1</v>
      </c>
      <c r="I6">
        <v>0</v>
      </c>
    </row>
    <row r="7" spans="2:9" ht="18.75" x14ac:dyDescent="0.3">
      <c r="B7" s="9" t="s">
        <v>1</v>
      </c>
      <c r="C7" s="9" t="s">
        <v>98</v>
      </c>
      <c r="D7" s="1">
        <v>5</v>
      </c>
      <c r="E7" t="s">
        <v>94</v>
      </c>
      <c r="F7">
        <v>74.08</v>
      </c>
      <c r="G7">
        <v>1</v>
      </c>
      <c r="H7">
        <v>1</v>
      </c>
      <c r="I7">
        <v>0</v>
      </c>
    </row>
    <row r="8" spans="2:9" ht="18.75" x14ac:dyDescent="0.3">
      <c r="B8" s="9" t="s">
        <v>2</v>
      </c>
      <c r="C8" s="9" t="s">
        <v>100</v>
      </c>
      <c r="D8" s="1">
        <v>6</v>
      </c>
      <c r="E8" t="s">
        <v>94</v>
      </c>
      <c r="F8">
        <v>60.05</v>
      </c>
      <c r="G8">
        <v>1</v>
      </c>
      <c r="H8">
        <v>1</v>
      </c>
      <c r="I8">
        <v>0</v>
      </c>
    </row>
    <row r="9" spans="2:9" ht="18.75" x14ac:dyDescent="0.3">
      <c r="B9" s="9" t="s">
        <v>3</v>
      </c>
      <c r="C9" s="9" t="s">
        <v>4</v>
      </c>
      <c r="D9" s="1">
        <v>7</v>
      </c>
      <c r="E9" t="s">
        <v>94</v>
      </c>
      <c r="F9">
        <v>16</v>
      </c>
      <c r="G9">
        <v>1</v>
      </c>
      <c r="H9">
        <v>1</v>
      </c>
      <c r="I9">
        <v>0</v>
      </c>
    </row>
    <row r="10" spans="2:9" ht="18.75" x14ac:dyDescent="0.3">
      <c r="B10" s="9" t="s">
        <v>5</v>
      </c>
      <c r="C10" s="9" t="s">
        <v>6</v>
      </c>
      <c r="D10" s="1">
        <v>8</v>
      </c>
      <c r="E10" t="s">
        <v>94</v>
      </c>
      <c r="F10">
        <v>44</v>
      </c>
      <c r="G10">
        <v>1</v>
      </c>
      <c r="H10">
        <v>1</v>
      </c>
      <c r="I10">
        <v>0</v>
      </c>
    </row>
    <row r="11" spans="2:9" ht="18.75" x14ac:dyDescent="0.3">
      <c r="B11" s="9" t="s">
        <v>7</v>
      </c>
      <c r="C11" s="9" t="s">
        <v>8</v>
      </c>
      <c r="D11" s="1">
        <v>9</v>
      </c>
      <c r="E11" t="s">
        <v>94</v>
      </c>
      <c r="F11">
        <v>18</v>
      </c>
      <c r="G11">
        <v>1</v>
      </c>
      <c r="H11">
        <v>1</v>
      </c>
      <c r="I11">
        <v>0</v>
      </c>
    </row>
    <row r="12" spans="2:9" ht="18.75" x14ac:dyDescent="0.3">
      <c r="B12" s="9" t="s">
        <v>9</v>
      </c>
      <c r="C12" s="9" t="s">
        <v>101</v>
      </c>
      <c r="D12" s="1">
        <v>10</v>
      </c>
      <c r="E12" t="s">
        <v>94</v>
      </c>
      <c r="F12">
        <v>1</v>
      </c>
      <c r="G12">
        <v>1</v>
      </c>
      <c r="H12">
        <v>1</v>
      </c>
      <c r="I12">
        <v>0</v>
      </c>
    </row>
    <row r="13" spans="2:9" ht="18.75" x14ac:dyDescent="0.3">
      <c r="B13" s="9" t="s">
        <v>10</v>
      </c>
      <c r="C13" s="9" t="s">
        <v>11</v>
      </c>
      <c r="D13" s="1">
        <v>11</v>
      </c>
      <c r="E13" t="s">
        <v>94</v>
      </c>
      <c r="F13">
        <v>24.6</v>
      </c>
      <c r="G13">
        <v>1</v>
      </c>
      <c r="H13">
        <v>1</v>
      </c>
      <c r="I13">
        <v>0</v>
      </c>
    </row>
    <row r="14" spans="2:9" ht="18.75" x14ac:dyDescent="0.3">
      <c r="B14" s="9" t="s">
        <v>71</v>
      </c>
      <c r="C14" s="9" t="s">
        <v>73</v>
      </c>
      <c r="D14" s="1">
        <v>12</v>
      </c>
      <c r="E14" t="s">
        <v>94</v>
      </c>
      <c r="F14">
        <v>24.6</v>
      </c>
      <c r="G14">
        <v>1</v>
      </c>
      <c r="H14">
        <v>1</v>
      </c>
      <c r="I14">
        <v>0</v>
      </c>
    </row>
    <row r="15" spans="2:9" ht="18.75" x14ac:dyDescent="0.3">
      <c r="B15" s="9" t="s">
        <v>12</v>
      </c>
      <c r="C15" s="9" t="s">
        <v>13</v>
      </c>
      <c r="D15" s="1">
        <v>13</v>
      </c>
      <c r="E15" t="s">
        <v>94</v>
      </c>
      <c r="F15">
        <v>1</v>
      </c>
      <c r="G15">
        <v>1</v>
      </c>
      <c r="H15">
        <v>1</v>
      </c>
      <c r="I15">
        <v>0</v>
      </c>
    </row>
    <row r="16" spans="2:9" ht="18.75" x14ac:dyDescent="0.3">
      <c r="B16" s="9" t="s">
        <v>14</v>
      </c>
      <c r="C16" s="9" t="s">
        <v>15</v>
      </c>
      <c r="D16" s="1">
        <v>14</v>
      </c>
      <c r="E16" t="s">
        <v>94</v>
      </c>
      <c r="F16">
        <v>1</v>
      </c>
      <c r="G16">
        <v>1</v>
      </c>
      <c r="H16">
        <v>1</v>
      </c>
      <c r="I16"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45"/>
  <sheetViews>
    <sheetView zoomScale="125" workbookViewId="0">
      <selection activeCell="G12" sqref="G12"/>
    </sheetView>
  </sheetViews>
  <sheetFormatPr defaultColWidth="11.42578125" defaultRowHeight="15" x14ac:dyDescent="0.25"/>
  <cols>
    <col min="3" max="3" width="40" customWidth="1"/>
    <col min="4" max="4" width="14.42578125" customWidth="1"/>
    <col min="5" max="5" width="21.85546875" customWidth="1"/>
  </cols>
  <sheetData>
    <row r="2" spans="2:12" x14ac:dyDescent="0.25">
      <c r="B2" s="1" t="s">
        <v>16</v>
      </c>
      <c r="C2" s="1" t="s">
        <v>22</v>
      </c>
      <c r="D2" s="1" t="s">
        <v>20</v>
      </c>
      <c r="E2" s="1" t="s">
        <v>19</v>
      </c>
      <c r="F2" s="1" t="s">
        <v>210</v>
      </c>
      <c r="G2" s="7"/>
      <c r="H2" s="7"/>
      <c r="I2" s="7"/>
      <c r="J2" s="7"/>
      <c r="K2" s="7"/>
      <c r="L2" s="7"/>
    </row>
    <row r="3" spans="2:12" x14ac:dyDescent="0.25">
      <c r="B3" t="s">
        <v>27</v>
      </c>
      <c r="C3" t="s">
        <v>24</v>
      </c>
      <c r="D3" s="63">
        <f>30/24</f>
        <v>1.25</v>
      </c>
      <c r="E3" s="63" t="s">
        <v>92</v>
      </c>
      <c r="F3" t="s">
        <v>208</v>
      </c>
      <c r="G3" s="7"/>
      <c r="H3" s="7"/>
      <c r="I3" s="7"/>
      <c r="J3" s="7"/>
      <c r="K3" s="7"/>
      <c r="L3" s="7"/>
    </row>
    <row r="4" spans="2:12" x14ac:dyDescent="0.25">
      <c r="B4" t="s">
        <v>78</v>
      </c>
      <c r="C4" t="s">
        <v>121</v>
      </c>
      <c r="D4" s="63">
        <v>0</v>
      </c>
      <c r="E4" s="63" t="s">
        <v>92</v>
      </c>
      <c r="F4" t="s">
        <v>209</v>
      </c>
      <c r="G4" s="7"/>
      <c r="H4" s="7"/>
      <c r="I4" s="7"/>
      <c r="J4" s="7"/>
      <c r="K4" s="7"/>
      <c r="L4" s="7"/>
    </row>
    <row r="5" spans="2:12" x14ac:dyDescent="0.25">
      <c r="B5" t="s">
        <v>120</v>
      </c>
      <c r="C5" t="s">
        <v>122</v>
      </c>
      <c r="D5" s="63">
        <v>0</v>
      </c>
      <c r="E5" s="63" t="s">
        <v>92</v>
      </c>
      <c r="G5" s="7"/>
      <c r="H5" s="7"/>
      <c r="I5" s="7"/>
      <c r="J5" s="7"/>
      <c r="K5" s="7"/>
      <c r="L5" s="7"/>
    </row>
    <row r="6" spans="2:12" x14ac:dyDescent="0.25">
      <c r="B6" t="s">
        <v>28</v>
      </c>
      <c r="C6" t="s">
        <v>25</v>
      </c>
      <c r="D6" s="63">
        <v>0.1</v>
      </c>
      <c r="E6" s="63" t="s">
        <v>102</v>
      </c>
      <c r="G6" s="7"/>
      <c r="H6" s="7"/>
      <c r="I6" s="7"/>
      <c r="J6" s="7"/>
      <c r="K6" s="7"/>
      <c r="L6" s="7"/>
    </row>
    <row r="7" spans="2:12" x14ac:dyDescent="0.25">
      <c r="B7" t="s">
        <v>79</v>
      </c>
      <c r="C7" t="s">
        <v>80</v>
      </c>
      <c r="D7" s="63">
        <v>0.5</v>
      </c>
      <c r="E7" s="63" t="s">
        <v>102</v>
      </c>
    </row>
    <row r="8" spans="2:12" x14ac:dyDescent="0.25">
      <c r="B8" t="s">
        <v>123</v>
      </c>
      <c r="C8" t="s">
        <v>124</v>
      </c>
      <c r="D8" s="63">
        <v>0.1</v>
      </c>
      <c r="E8" s="63" t="s">
        <v>102</v>
      </c>
    </row>
    <row r="9" spans="2:12" x14ac:dyDescent="0.25">
      <c r="B9" t="s">
        <v>40</v>
      </c>
      <c r="C9" s="4" t="s">
        <v>82</v>
      </c>
      <c r="D9" s="63">
        <v>5.5</v>
      </c>
      <c r="E9" s="63"/>
    </row>
    <row r="10" spans="2:12" x14ac:dyDescent="0.25">
      <c r="B10" t="s">
        <v>41</v>
      </c>
      <c r="C10" s="4" t="s">
        <v>83</v>
      </c>
      <c r="D10" s="63">
        <v>4</v>
      </c>
      <c r="E10" s="63"/>
    </row>
    <row r="11" spans="2:12" x14ac:dyDescent="0.25">
      <c r="B11" t="s">
        <v>29</v>
      </c>
      <c r="C11" s="4" t="s">
        <v>81</v>
      </c>
      <c r="D11" s="63">
        <v>1.8E-3</v>
      </c>
      <c r="E11" s="63" t="s">
        <v>0</v>
      </c>
    </row>
    <row r="12" spans="2:12" x14ac:dyDescent="0.25">
      <c r="B12" t="s">
        <v>93</v>
      </c>
      <c r="C12" t="s">
        <v>23</v>
      </c>
      <c r="D12" s="64">
        <v>1E-4</v>
      </c>
      <c r="E12" s="65" t="s">
        <v>0</v>
      </c>
    </row>
    <row r="13" spans="2:12" x14ac:dyDescent="0.25">
      <c r="B13" t="s">
        <v>87</v>
      </c>
      <c r="D13" s="64">
        <v>7</v>
      </c>
      <c r="E13" s="63" t="s">
        <v>102</v>
      </c>
    </row>
    <row r="14" spans="2:12" x14ac:dyDescent="0.25">
      <c r="B14" t="s">
        <v>30</v>
      </c>
      <c r="C14" t="s">
        <v>26</v>
      </c>
      <c r="D14" s="63">
        <v>0</v>
      </c>
      <c r="E14" s="63" t="s">
        <v>92</v>
      </c>
    </row>
    <row r="15" spans="2:12" x14ac:dyDescent="0.25">
      <c r="B15" t="s">
        <v>77</v>
      </c>
      <c r="C15" t="s">
        <v>84</v>
      </c>
      <c r="D15" s="63">
        <v>0</v>
      </c>
      <c r="E15" s="63" t="s">
        <v>92</v>
      </c>
    </row>
    <row r="16" spans="2:12" ht="18" x14ac:dyDescent="0.35">
      <c r="B16" t="s">
        <v>32</v>
      </c>
      <c r="D16" s="63">
        <v>0.1</v>
      </c>
      <c r="E16" s="63" t="s">
        <v>206</v>
      </c>
    </row>
    <row r="17" spans="2:6" ht="15" customHeight="1" x14ac:dyDescent="0.35">
      <c r="B17" t="s">
        <v>72</v>
      </c>
      <c r="D17" s="63">
        <v>0.05</v>
      </c>
      <c r="E17" s="63" t="s">
        <v>206</v>
      </c>
    </row>
    <row r="18" spans="2:6" ht="15" customHeight="1" x14ac:dyDescent="0.35">
      <c r="B18" s="22" t="s">
        <v>117</v>
      </c>
      <c r="C18" s="22"/>
      <c r="D18" s="63">
        <v>0.1</v>
      </c>
      <c r="E18" s="63" t="s">
        <v>207</v>
      </c>
    </row>
    <row r="19" spans="2:6" x14ac:dyDescent="0.25">
      <c r="B19" t="s">
        <v>34</v>
      </c>
      <c r="D19" s="63">
        <v>2.7859999999999999E-2</v>
      </c>
      <c r="E19" s="63" t="s">
        <v>104</v>
      </c>
    </row>
    <row r="20" spans="2:6" x14ac:dyDescent="0.25">
      <c r="B20" t="s">
        <v>35</v>
      </c>
      <c r="D20" s="63">
        <v>3.1300000000000001E-2</v>
      </c>
      <c r="E20" s="63" t="s">
        <v>104</v>
      </c>
    </row>
    <row r="21" spans="2:6" x14ac:dyDescent="0.25">
      <c r="B21" t="s">
        <v>125</v>
      </c>
      <c r="D21" s="63">
        <f>0.4/1.37/12</f>
        <v>2.4330900243309E-2</v>
      </c>
      <c r="E21" s="63" t="s">
        <v>104</v>
      </c>
    </row>
    <row r="22" spans="2:6" x14ac:dyDescent="0.25">
      <c r="B22" t="s">
        <v>37</v>
      </c>
      <c r="D22" s="63">
        <v>2.6800000000000001E-2</v>
      </c>
      <c r="E22" s="63" t="s">
        <v>104</v>
      </c>
    </row>
    <row r="23" spans="2:6" x14ac:dyDescent="0.25">
      <c r="B23" t="s">
        <v>76</v>
      </c>
      <c r="D23" s="63">
        <f>3/96</f>
        <v>3.125E-2</v>
      </c>
      <c r="E23" s="63" t="s">
        <v>104</v>
      </c>
    </row>
    <row r="24" spans="2:6" x14ac:dyDescent="0.25">
      <c r="B24" t="s">
        <v>38</v>
      </c>
      <c r="D24" s="63">
        <v>3.1300000000000001E-2</v>
      </c>
      <c r="E24" s="63" t="s">
        <v>104</v>
      </c>
      <c r="F24" s="12"/>
    </row>
    <row r="25" spans="2:6" x14ac:dyDescent="0.25">
      <c r="B25" t="s">
        <v>39</v>
      </c>
      <c r="D25" s="63">
        <v>3.1300000000000001E-2</v>
      </c>
      <c r="E25" s="63" t="s">
        <v>104</v>
      </c>
    </row>
    <row r="26" spans="2:6" x14ac:dyDescent="0.25">
      <c r="B26" t="s">
        <v>127</v>
      </c>
      <c r="D26" s="63">
        <f>+D27</f>
        <v>5.7142857142857143E-3</v>
      </c>
      <c r="E26" s="63" t="s">
        <v>105</v>
      </c>
    </row>
    <row r="27" spans="2:6" x14ac:dyDescent="0.25">
      <c r="B27" t="s">
        <v>36</v>
      </c>
      <c r="D27" s="63">
        <f>0.08/14</f>
        <v>5.7142857142857143E-3</v>
      </c>
      <c r="E27" s="63" t="s">
        <v>105</v>
      </c>
      <c r="F27" s="10"/>
    </row>
    <row r="28" spans="2:6" x14ac:dyDescent="0.25">
      <c r="B28" t="s">
        <v>33</v>
      </c>
      <c r="D28" s="63">
        <f>0.0376/14</f>
        <v>2.6857142857142856E-3</v>
      </c>
      <c r="E28" s="63" t="s">
        <v>105</v>
      </c>
    </row>
    <row r="29" spans="2:6" x14ac:dyDescent="0.25">
      <c r="B29" t="s">
        <v>48</v>
      </c>
      <c r="C29" t="s">
        <v>56</v>
      </c>
      <c r="D29" s="66">
        <v>4.9399999999999995E-7</v>
      </c>
      <c r="E29" s="63"/>
    </row>
    <row r="30" spans="2:6" x14ac:dyDescent="0.25">
      <c r="B30" t="s">
        <v>42</v>
      </c>
      <c r="C30" t="s">
        <v>57</v>
      </c>
      <c r="D30" s="66">
        <f>10^-4.76</f>
        <v>1.7378008287493744E-5</v>
      </c>
      <c r="E30" s="63"/>
    </row>
    <row r="31" spans="2:6" x14ac:dyDescent="0.25">
      <c r="B31" t="s">
        <v>43</v>
      </c>
      <c r="C31" t="s">
        <v>59</v>
      </c>
      <c r="D31" s="66">
        <f>10^-4.82</f>
        <v>1.5135612484362051E-5</v>
      </c>
      <c r="E31" s="63"/>
    </row>
    <row r="32" spans="2:6" x14ac:dyDescent="0.25">
      <c r="B32" t="s">
        <v>44</v>
      </c>
      <c r="C32" t="s">
        <v>60</v>
      </c>
      <c r="D32" s="66">
        <v>1.1100000000000001E-9</v>
      </c>
      <c r="E32" s="63"/>
    </row>
    <row r="33" spans="2:5" x14ac:dyDescent="0.25">
      <c r="B33" t="s">
        <v>45</v>
      </c>
      <c r="C33" t="s">
        <v>61</v>
      </c>
      <c r="D33" s="66">
        <f>10^-4.86</f>
        <v>1.3803842646028827E-5</v>
      </c>
      <c r="E33" s="63"/>
    </row>
    <row r="34" spans="2:5" x14ac:dyDescent="0.25">
      <c r="B34" t="s">
        <v>46</v>
      </c>
      <c r="C34" t="s">
        <v>62</v>
      </c>
      <c r="D34" s="66">
        <f>10^-4.88</f>
        <v>1.3182567385564052E-5</v>
      </c>
      <c r="E34" s="63"/>
    </row>
    <row r="35" spans="2:5" x14ac:dyDescent="0.25">
      <c r="B35" t="s">
        <v>74</v>
      </c>
      <c r="C35" t="s">
        <v>75</v>
      </c>
      <c r="D35" s="66">
        <v>1.6429833340503007E-4</v>
      </c>
      <c r="E35" s="63"/>
    </row>
    <row r="36" spans="2:5" x14ac:dyDescent="0.25">
      <c r="B36" t="s">
        <v>47</v>
      </c>
      <c r="C36" t="s">
        <v>58</v>
      </c>
      <c r="D36" s="66">
        <v>2.08E-14</v>
      </c>
      <c r="E36" s="63"/>
    </row>
    <row r="37" spans="2:5" x14ac:dyDescent="0.25">
      <c r="B37" t="s">
        <v>49</v>
      </c>
      <c r="C37" t="s">
        <v>53</v>
      </c>
      <c r="D37" s="64">
        <f>0.000000271</f>
        <v>2.7099999999999998E-7</v>
      </c>
      <c r="E37" s="63" t="s">
        <v>52</v>
      </c>
    </row>
    <row r="38" spans="2:5" x14ac:dyDescent="0.25">
      <c r="B38" t="s">
        <v>50</v>
      </c>
      <c r="C38" t="s">
        <v>54</v>
      </c>
      <c r="D38" s="64">
        <v>1.16E-8</v>
      </c>
      <c r="E38" s="63" t="s">
        <v>52</v>
      </c>
    </row>
    <row r="39" spans="2:5" x14ac:dyDescent="0.25">
      <c r="B39" t="s">
        <v>51</v>
      </c>
      <c r="C39" t="s">
        <v>55</v>
      </c>
      <c r="D39" s="64">
        <v>7.3799999999999997E-9</v>
      </c>
      <c r="E39" s="63" t="s">
        <v>52</v>
      </c>
    </row>
    <row r="40" spans="2:5" x14ac:dyDescent="0.25">
      <c r="B40" t="s">
        <v>85</v>
      </c>
      <c r="C40" t="s">
        <v>86</v>
      </c>
      <c r="D40" s="63">
        <v>1000</v>
      </c>
      <c r="E40" s="63" t="s">
        <v>92</v>
      </c>
    </row>
    <row r="41" spans="2:5" x14ac:dyDescent="0.25">
      <c r="B41" t="s">
        <v>106</v>
      </c>
      <c r="D41" s="64">
        <v>1</v>
      </c>
      <c r="E41" s="63"/>
    </row>
    <row r="42" spans="2:5" x14ac:dyDescent="0.25">
      <c r="B42" t="s">
        <v>128</v>
      </c>
      <c r="D42" s="64">
        <v>1</v>
      </c>
      <c r="E42" s="63"/>
    </row>
    <row r="43" spans="2:5" x14ac:dyDescent="0.25">
      <c r="B43" t="s">
        <v>129</v>
      </c>
      <c r="D43" s="67">
        <v>8</v>
      </c>
      <c r="E43" s="63" t="s">
        <v>102</v>
      </c>
    </row>
    <row r="44" spans="2:5" x14ac:dyDescent="0.25">
      <c r="B44" t="s">
        <v>130</v>
      </c>
      <c r="D44" s="67">
        <v>10</v>
      </c>
      <c r="E44" s="63" t="s">
        <v>102</v>
      </c>
    </row>
    <row r="45" spans="2:5" x14ac:dyDescent="0.25">
      <c r="B45" t="s">
        <v>131</v>
      </c>
      <c r="D45" s="67">
        <v>0</v>
      </c>
      <c r="E45" s="63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6B92-D281-3149-AE3E-782F8704A59D}">
  <dimension ref="B2:F45"/>
  <sheetViews>
    <sheetView zoomScale="119" workbookViewId="0">
      <selection activeCell="C18" sqref="C18:C19"/>
    </sheetView>
  </sheetViews>
  <sheetFormatPr defaultColWidth="11.42578125" defaultRowHeight="15" x14ac:dyDescent="0.25"/>
  <cols>
    <col min="3" max="3" width="49.28515625" bestFit="1" customWidth="1"/>
    <col min="4" max="4" width="14.42578125" customWidth="1"/>
    <col min="5" max="5" width="21.85546875" customWidth="1"/>
  </cols>
  <sheetData>
    <row r="2" spans="2:6" x14ac:dyDescent="0.25">
      <c r="B2" s="1" t="s">
        <v>16</v>
      </c>
      <c r="C2" s="1" t="s">
        <v>22</v>
      </c>
      <c r="D2" s="1" t="s">
        <v>20</v>
      </c>
      <c r="E2" s="1" t="s">
        <v>19</v>
      </c>
      <c r="F2" s="1"/>
    </row>
    <row r="3" spans="2:6" x14ac:dyDescent="0.25">
      <c r="B3" t="s">
        <v>27</v>
      </c>
      <c r="C3" t="s">
        <v>24</v>
      </c>
      <c r="D3">
        <f>30/24</f>
        <v>1.25</v>
      </c>
      <c r="E3" t="s">
        <v>92</v>
      </c>
    </row>
    <row r="4" spans="2:6" x14ac:dyDescent="0.25">
      <c r="B4" t="s">
        <v>78</v>
      </c>
      <c r="C4" t="s">
        <v>121</v>
      </c>
      <c r="D4" s="7">
        <v>0</v>
      </c>
      <c r="E4" t="s">
        <v>92</v>
      </c>
    </row>
    <row r="5" spans="2:6" x14ac:dyDescent="0.25">
      <c r="B5" t="s">
        <v>120</v>
      </c>
      <c r="C5" t="s">
        <v>122</v>
      </c>
      <c r="D5" s="7">
        <v>0</v>
      </c>
      <c r="E5" t="s">
        <v>92</v>
      </c>
    </row>
    <row r="6" spans="2:6" x14ac:dyDescent="0.25">
      <c r="B6" t="s">
        <v>28</v>
      </c>
      <c r="C6" t="s">
        <v>25</v>
      </c>
      <c r="D6" s="6">
        <v>0.1</v>
      </c>
      <c r="E6" t="s">
        <v>102</v>
      </c>
    </row>
    <row r="7" spans="2:6" x14ac:dyDescent="0.25">
      <c r="B7" t="s">
        <v>79</v>
      </c>
      <c r="C7" t="s">
        <v>80</v>
      </c>
      <c r="D7" s="6">
        <v>0.5</v>
      </c>
      <c r="E7" t="s">
        <v>102</v>
      </c>
    </row>
    <row r="8" spans="2:6" x14ac:dyDescent="0.25">
      <c r="B8" t="s">
        <v>123</v>
      </c>
      <c r="C8" t="s">
        <v>124</v>
      </c>
      <c r="D8" s="6">
        <v>0.1</v>
      </c>
      <c r="E8" t="s">
        <v>102</v>
      </c>
    </row>
    <row r="9" spans="2:6" x14ac:dyDescent="0.25">
      <c r="B9" t="s">
        <v>40</v>
      </c>
      <c r="C9" s="4" t="s">
        <v>82</v>
      </c>
      <c r="D9">
        <v>5.5</v>
      </c>
    </row>
    <row r="10" spans="2:6" x14ac:dyDescent="0.25">
      <c r="B10" t="s">
        <v>41</v>
      </c>
      <c r="C10" s="4" t="s">
        <v>83</v>
      </c>
      <c r="D10">
        <v>4</v>
      </c>
    </row>
    <row r="11" spans="2:6" x14ac:dyDescent="0.25">
      <c r="B11" t="s">
        <v>29</v>
      </c>
      <c r="C11" s="4" t="s">
        <v>81</v>
      </c>
      <c r="D11">
        <v>1.8E-3</v>
      </c>
      <c r="E11" t="s">
        <v>0</v>
      </c>
    </row>
    <row r="12" spans="2:6" x14ac:dyDescent="0.25">
      <c r="B12" t="s">
        <v>93</v>
      </c>
      <c r="C12" t="s">
        <v>23</v>
      </c>
      <c r="D12" s="2">
        <v>1E-4</v>
      </c>
      <c r="E12" s="3" t="s">
        <v>0</v>
      </c>
    </row>
    <row r="13" spans="2:6" x14ac:dyDescent="0.25">
      <c r="B13" t="s">
        <v>87</v>
      </c>
      <c r="D13" s="13">
        <v>7</v>
      </c>
      <c r="E13" t="s">
        <v>102</v>
      </c>
    </row>
    <row r="14" spans="2:6" x14ac:dyDescent="0.25">
      <c r="B14" t="s">
        <v>30</v>
      </c>
      <c r="C14" t="s">
        <v>26</v>
      </c>
      <c r="D14" s="6">
        <v>0</v>
      </c>
      <c r="E14" t="s">
        <v>92</v>
      </c>
    </row>
    <row r="15" spans="2:6" x14ac:dyDescent="0.25">
      <c r="B15" t="s">
        <v>77</v>
      </c>
      <c r="C15" t="s">
        <v>84</v>
      </c>
      <c r="D15" s="6">
        <v>0</v>
      </c>
      <c r="E15" t="s">
        <v>92</v>
      </c>
    </row>
    <row r="16" spans="2:6" ht="18" x14ac:dyDescent="0.35">
      <c r="B16" t="s">
        <v>32</v>
      </c>
      <c r="D16" s="6">
        <v>0.1</v>
      </c>
      <c r="E16" t="s">
        <v>103</v>
      </c>
    </row>
    <row r="17" spans="2:6" ht="15" customHeight="1" x14ac:dyDescent="0.35">
      <c r="B17" t="s">
        <v>72</v>
      </c>
      <c r="D17" s="11">
        <v>0.05</v>
      </c>
      <c r="E17" t="s">
        <v>103</v>
      </c>
    </row>
    <row r="18" spans="2:6" ht="15" customHeight="1" x14ac:dyDescent="0.35">
      <c r="B18" s="22" t="s">
        <v>117</v>
      </c>
      <c r="C18" s="22"/>
      <c r="D18" s="22">
        <v>0.1</v>
      </c>
      <c r="E18" s="22" t="s">
        <v>146</v>
      </c>
    </row>
    <row r="19" spans="2:6" x14ac:dyDescent="0.25">
      <c r="B19" t="s">
        <v>34</v>
      </c>
      <c r="D19">
        <v>2.7859999999999999E-2</v>
      </c>
      <c r="E19" t="s">
        <v>104</v>
      </c>
    </row>
    <row r="20" spans="2:6" x14ac:dyDescent="0.25">
      <c r="B20" t="s">
        <v>35</v>
      </c>
      <c r="D20">
        <v>3.1300000000000001E-2</v>
      </c>
      <c r="E20" t="s">
        <v>104</v>
      </c>
    </row>
    <row r="21" spans="2:6" x14ac:dyDescent="0.25">
      <c r="B21" t="s">
        <v>125</v>
      </c>
      <c r="D21">
        <f>0.4/1.37/12</f>
        <v>2.4330900243309E-2</v>
      </c>
      <c r="E21" t="s">
        <v>104</v>
      </c>
    </row>
    <row r="22" spans="2:6" x14ac:dyDescent="0.25">
      <c r="B22" t="s">
        <v>37</v>
      </c>
      <c r="D22">
        <v>2.6800000000000001E-2</v>
      </c>
      <c r="E22" t="s">
        <v>104</v>
      </c>
    </row>
    <row r="23" spans="2:6" x14ac:dyDescent="0.25">
      <c r="B23" t="s">
        <v>76</v>
      </c>
      <c r="D23">
        <f>3/96</f>
        <v>3.125E-2</v>
      </c>
      <c r="E23" t="s">
        <v>104</v>
      </c>
    </row>
    <row r="24" spans="2:6" x14ac:dyDescent="0.25">
      <c r="B24" t="s">
        <v>38</v>
      </c>
      <c r="D24">
        <v>3.1300000000000001E-2</v>
      </c>
      <c r="E24" t="s">
        <v>104</v>
      </c>
      <c r="F24" s="12"/>
    </row>
    <row r="25" spans="2:6" x14ac:dyDescent="0.25">
      <c r="B25" t="s">
        <v>39</v>
      </c>
      <c r="D25">
        <v>3.1300000000000001E-2</v>
      </c>
      <c r="E25" t="s">
        <v>104</v>
      </c>
    </row>
    <row r="26" spans="2:6" x14ac:dyDescent="0.25">
      <c r="B26" t="s">
        <v>127</v>
      </c>
      <c r="D26">
        <f>+D27</f>
        <v>5.7142857142857143E-3</v>
      </c>
      <c r="E26" t="s">
        <v>105</v>
      </c>
    </row>
    <row r="27" spans="2:6" x14ac:dyDescent="0.25">
      <c r="B27" t="s">
        <v>36</v>
      </c>
      <c r="D27">
        <f>0.08/14</f>
        <v>5.7142857142857143E-3</v>
      </c>
      <c r="E27" t="s">
        <v>105</v>
      </c>
      <c r="F27" s="10"/>
    </row>
    <row r="28" spans="2:6" x14ac:dyDescent="0.25">
      <c r="B28" t="s">
        <v>33</v>
      </c>
      <c r="D28">
        <f>0.0376/14</f>
        <v>2.6857142857142856E-3</v>
      </c>
      <c r="E28" t="s">
        <v>105</v>
      </c>
    </row>
    <row r="29" spans="2:6" x14ac:dyDescent="0.25">
      <c r="B29" t="s">
        <v>48</v>
      </c>
      <c r="C29" t="s">
        <v>56</v>
      </c>
      <c r="D29" s="5">
        <v>4.9399999999999995E-7</v>
      </c>
    </row>
    <row r="30" spans="2:6" x14ac:dyDescent="0.25">
      <c r="B30" t="s">
        <v>42</v>
      </c>
      <c r="C30" t="s">
        <v>57</v>
      </c>
      <c r="D30" s="5">
        <f>10^-4.76</f>
        <v>1.7378008287493744E-5</v>
      </c>
    </row>
    <row r="31" spans="2:6" x14ac:dyDescent="0.25">
      <c r="B31" t="s">
        <v>43</v>
      </c>
      <c r="C31" t="s">
        <v>59</v>
      </c>
      <c r="D31" s="5">
        <f>10^-4.82</f>
        <v>1.5135612484362051E-5</v>
      </c>
    </row>
    <row r="32" spans="2:6" x14ac:dyDescent="0.25">
      <c r="B32" t="s">
        <v>44</v>
      </c>
      <c r="C32" t="s">
        <v>60</v>
      </c>
      <c r="D32" s="5">
        <v>1.1100000000000001E-9</v>
      </c>
    </row>
    <row r="33" spans="2:5" x14ac:dyDescent="0.25">
      <c r="B33" t="s">
        <v>45</v>
      </c>
      <c r="C33" t="s">
        <v>61</v>
      </c>
      <c r="D33" s="5">
        <f>10^-4.86</f>
        <v>1.3803842646028827E-5</v>
      </c>
    </row>
    <row r="34" spans="2:5" x14ac:dyDescent="0.25">
      <c r="B34" t="s">
        <v>46</v>
      </c>
      <c r="C34" t="s">
        <v>62</v>
      </c>
      <c r="D34" s="5">
        <f>10^-4.88</f>
        <v>1.3182567385564052E-5</v>
      </c>
      <c r="E34" s="7"/>
    </row>
    <row r="35" spans="2:5" x14ac:dyDescent="0.25">
      <c r="B35" t="s">
        <v>74</v>
      </c>
      <c r="C35" t="s">
        <v>75</v>
      </c>
      <c r="D35" s="5">
        <v>1.6429833340503007E-4</v>
      </c>
      <c r="E35" s="7"/>
    </row>
    <row r="36" spans="2:5" x14ac:dyDescent="0.25">
      <c r="B36" t="s">
        <v>47</v>
      </c>
      <c r="C36" t="s">
        <v>58</v>
      </c>
      <c r="D36" s="5">
        <v>2.08E-14</v>
      </c>
      <c r="E36" s="7"/>
    </row>
    <row r="37" spans="2:5" x14ac:dyDescent="0.25">
      <c r="B37" t="s">
        <v>49</v>
      </c>
      <c r="C37" t="s">
        <v>53</v>
      </c>
      <c r="D37" s="2">
        <f>0.000000271</f>
        <v>2.7099999999999998E-7</v>
      </c>
      <c r="E37" s="7" t="s">
        <v>52</v>
      </c>
    </row>
    <row r="38" spans="2:5" x14ac:dyDescent="0.25">
      <c r="B38" t="s">
        <v>50</v>
      </c>
      <c r="C38" t="s">
        <v>54</v>
      </c>
      <c r="D38" s="2">
        <v>1.16E-8</v>
      </c>
      <c r="E38" s="7" t="s">
        <v>52</v>
      </c>
    </row>
    <row r="39" spans="2:5" x14ac:dyDescent="0.25">
      <c r="B39" t="s">
        <v>51</v>
      </c>
      <c r="C39" t="s">
        <v>55</v>
      </c>
      <c r="D39" s="2">
        <v>7.3799999999999997E-9</v>
      </c>
      <c r="E39" s="7" t="s">
        <v>52</v>
      </c>
    </row>
    <row r="40" spans="2:5" x14ac:dyDescent="0.25">
      <c r="B40" t="s">
        <v>85</v>
      </c>
      <c r="C40" t="s">
        <v>86</v>
      </c>
      <c r="D40">
        <v>1000</v>
      </c>
      <c r="E40" t="s">
        <v>92</v>
      </c>
    </row>
    <row r="41" spans="2:5" x14ac:dyDescent="0.25">
      <c r="B41" t="s">
        <v>106</v>
      </c>
      <c r="D41" s="2">
        <v>1</v>
      </c>
    </row>
    <row r="42" spans="2:5" x14ac:dyDescent="0.25">
      <c r="B42" t="s">
        <v>128</v>
      </c>
      <c r="D42" s="2">
        <v>1</v>
      </c>
    </row>
    <row r="43" spans="2:5" x14ac:dyDescent="0.25">
      <c r="B43" t="s">
        <v>129</v>
      </c>
      <c r="D43" s="10">
        <v>8</v>
      </c>
      <c r="E43" t="s">
        <v>102</v>
      </c>
    </row>
    <row r="44" spans="2:5" x14ac:dyDescent="0.25">
      <c r="B44" t="s">
        <v>130</v>
      </c>
      <c r="D44" s="10">
        <v>10</v>
      </c>
      <c r="E44" t="s">
        <v>102</v>
      </c>
    </row>
    <row r="45" spans="2:5" x14ac:dyDescent="0.25">
      <c r="B45" t="s">
        <v>131</v>
      </c>
      <c r="D45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8FCC-16E9-D342-89C8-68427159815A}">
  <dimension ref="B2:H46"/>
  <sheetViews>
    <sheetView zoomScale="90" zoomScaleNormal="90" workbookViewId="0">
      <selection activeCell="G13" sqref="G13"/>
    </sheetView>
  </sheetViews>
  <sheetFormatPr defaultColWidth="11.42578125" defaultRowHeight="15" x14ac:dyDescent="0.25"/>
  <cols>
    <col min="3" max="3" width="48.7109375" bestFit="1" customWidth="1"/>
    <col min="4" max="4" width="10.85546875" style="12"/>
  </cols>
  <sheetData>
    <row r="2" spans="2:8" x14ac:dyDescent="0.25">
      <c r="B2" s="1" t="s">
        <v>16</v>
      </c>
      <c r="C2" s="1" t="s">
        <v>22</v>
      </c>
      <c r="D2" s="29" t="s">
        <v>20</v>
      </c>
      <c r="E2" s="1" t="s">
        <v>19</v>
      </c>
    </row>
    <row r="3" spans="2:8" x14ac:dyDescent="0.25">
      <c r="B3" s="23" t="s">
        <v>27</v>
      </c>
      <c r="C3" s="23" t="s">
        <v>24</v>
      </c>
      <c r="D3" s="30">
        <v>3.4121000000000001</v>
      </c>
      <c r="E3" s="23" t="s">
        <v>92</v>
      </c>
      <c r="G3" s="23"/>
      <c r="H3" t="s">
        <v>155</v>
      </c>
    </row>
    <row r="4" spans="2:8" x14ac:dyDescent="0.25">
      <c r="B4" s="25" t="s">
        <v>78</v>
      </c>
      <c r="C4" s="26" t="s">
        <v>121</v>
      </c>
      <c r="D4" s="31">
        <v>10.331</v>
      </c>
      <c r="E4" s="25" t="s">
        <v>92</v>
      </c>
      <c r="G4" s="25"/>
      <c r="H4" t="s">
        <v>161</v>
      </c>
    </row>
    <row r="5" spans="2:8" x14ac:dyDescent="0.25">
      <c r="B5" t="s">
        <v>120</v>
      </c>
      <c r="C5" s="19" t="s">
        <v>122</v>
      </c>
      <c r="D5" s="32">
        <v>0</v>
      </c>
      <c r="E5" t="s">
        <v>92</v>
      </c>
      <c r="G5" s="27"/>
      <c r="H5" t="s">
        <v>156</v>
      </c>
    </row>
    <row r="6" spans="2:8" x14ac:dyDescent="0.25">
      <c r="B6" t="s">
        <v>28</v>
      </c>
      <c r="C6" s="19" t="s">
        <v>25</v>
      </c>
      <c r="D6" s="32">
        <v>0.1</v>
      </c>
      <c r="E6" t="s">
        <v>102</v>
      </c>
    </row>
    <row r="7" spans="2:8" x14ac:dyDescent="0.25">
      <c r="B7" s="7" t="s">
        <v>79</v>
      </c>
      <c r="C7" s="19" t="s">
        <v>80</v>
      </c>
      <c r="D7" s="32">
        <v>0.27350000000000002</v>
      </c>
      <c r="E7" s="7" t="s">
        <v>102</v>
      </c>
    </row>
    <row r="8" spans="2:8" x14ac:dyDescent="0.25">
      <c r="B8" s="27" t="s">
        <v>148</v>
      </c>
      <c r="C8" s="28" t="s">
        <v>149</v>
      </c>
      <c r="D8" s="33">
        <v>0.1</v>
      </c>
      <c r="E8" s="27" t="s">
        <v>102</v>
      </c>
    </row>
    <row r="9" spans="2:8" x14ac:dyDescent="0.25">
      <c r="B9" s="27" t="s">
        <v>147</v>
      </c>
      <c r="C9" s="28" t="s">
        <v>150</v>
      </c>
      <c r="D9" s="33">
        <v>0.5</v>
      </c>
      <c r="E9" s="27" t="s">
        <v>157</v>
      </c>
    </row>
    <row r="10" spans="2:8" x14ac:dyDescent="0.25">
      <c r="B10" t="s">
        <v>40</v>
      </c>
      <c r="C10" s="20" t="s">
        <v>82</v>
      </c>
      <c r="D10" s="32">
        <v>5.5</v>
      </c>
    </row>
    <row r="11" spans="2:8" x14ac:dyDescent="0.25">
      <c r="B11" t="s">
        <v>41</v>
      </c>
      <c r="C11" s="20" t="s">
        <v>83</v>
      </c>
      <c r="D11" s="32">
        <v>4</v>
      </c>
    </row>
    <row r="12" spans="2:8" x14ac:dyDescent="0.25">
      <c r="B12" t="s">
        <v>29</v>
      </c>
      <c r="C12" s="20" t="s">
        <v>81</v>
      </c>
      <c r="D12" s="32">
        <v>1.8E-3</v>
      </c>
      <c r="E12" t="s">
        <v>0</v>
      </c>
    </row>
    <row r="13" spans="2:8" x14ac:dyDescent="0.25">
      <c r="B13" t="s">
        <v>93</v>
      </c>
      <c r="C13" s="19" t="s">
        <v>23</v>
      </c>
      <c r="D13" s="32">
        <v>1E-4</v>
      </c>
      <c r="E13" s="3" t="s">
        <v>0</v>
      </c>
    </row>
    <row r="14" spans="2:8" x14ac:dyDescent="0.25">
      <c r="B14" t="s">
        <v>87</v>
      </c>
      <c r="C14" s="20" t="s">
        <v>151</v>
      </c>
      <c r="D14" s="32">
        <v>26</v>
      </c>
      <c r="E14" t="s">
        <v>102</v>
      </c>
    </row>
    <row r="15" spans="2:8" x14ac:dyDescent="0.25">
      <c r="B15" t="s">
        <v>30</v>
      </c>
      <c r="C15" s="19" t="s">
        <v>26</v>
      </c>
      <c r="D15" s="32">
        <v>0</v>
      </c>
      <c r="E15" t="s">
        <v>92</v>
      </c>
    </row>
    <row r="16" spans="2:8" x14ac:dyDescent="0.25">
      <c r="B16" s="25" t="s">
        <v>77</v>
      </c>
      <c r="C16" s="26" t="s">
        <v>84</v>
      </c>
      <c r="D16" s="31">
        <v>4.2999999999999997E-2</v>
      </c>
      <c r="E16" s="25" t="s">
        <v>92</v>
      </c>
    </row>
    <row r="17" spans="2:5" ht="18" x14ac:dyDescent="0.35">
      <c r="B17" s="23" t="s">
        <v>32</v>
      </c>
      <c r="C17" s="24"/>
      <c r="D17" s="34">
        <v>7.1800000000000003E-2</v>
      </c>
      <c r="E17" s="23" t="s">
        <v>103</v>
      </c>
    </row>
    <row r="18" spans="2:5" ht="18" x14ac:dyDescent="0.35">
      <c r="B18" s="25" t="s">
        <v>72</v>
      </c>
      <c r="C18" s="26"/>
      <c r="D18" s="31">
        <v>2.98E-2</v>
      </c>
      <c r="E18" s="25" t="s">
        <v>103</v>
      </c>
    </row>
    <row r="19" spans="2:5" ht="18" x14ac:dyDescent="0.35">
      <c r="B19" s="27" t="s">
        <v>141</v>
      </c>
      <c r="C19" s="28"/>
      <c r="D19" s="33">
        <f>D17</f>
        <v>7.1800000000000003E-2</v>
      </c>
      <c r="E19" s="27" t="s">
        <v>103</v>
      </c>
    </row>
    <row r="20" spans="2:5" ht="18" x14ac:dyDescent="0.35">
      <c r="B20" s="27" t="s">
        <v>142</v>
      </c>
      <c r="C20" s="27"/>
      <c r="D20" s="33">
        <v>0.02</v>
      </c>
      <c r="E20" s="27" t="s">
        <v>152</v>
      </c>
    </row>
    <row r="21" spans="2:5" x14ac:dyDescent="0.25">
      <c r="B21" t="s">
        <v>34</v>
      </c>
      <c r="C21" s="19"/>
      <c r="D21" s="32">
        <v>2.7859999999999999E-2</v>
      </c>
      <c r="E21" t="s">
        <v>104</v>
      </c>
    </row>
    <row r="22" spans="2:5" x14ac:dyDescent="0.25">
      <c r="B22" t="s">
        <v>35</v>
      </c>
      <c r="C22" s="19"/>
      <c r="D22" s="32">
        <v>3.1300000000000001E-2</v>
      </c>
      <c r="E22" t="s">
        <v>104</v>
      </c>
    </row>
    <row r="23" spans="2:5" x14ac:dyDescent="0.25">
      <c r="B23" t="s">
        <v>125</v>
      </c>
      <c r="C23" s="19"/>
      <c r="D23" s="32">
        <f>0.4/1.37/12</f>
        <v>2.4330900243309E-2</v>
      </c>
      <c r="E23" t="s">
        <v>104</v>
      </c>
    </row>
    <row r="24" spans="2:5" x14ac:dyDescent="0.25">
      <c r="B24" t="s">
        <v>37</v>
      </c>
      <c r="C24" s="19"/>
      <c r="D24" s="32">
        <v>2.6800000000000001E-2</v>
      </c>
      <c r="E24" t="s">
        <v>104</v>
      </c>
    </row>
    <row r="25" spans="2:5" x14ac:dyDescent="0.25">
      <c r="B25" t="s">
        <v>76</v>
      </c>
      <c r="C25" s="19"/>
      <c r="D25" s="32">
        <f>3/96</f>
        <v>3.125E-2</v>
      </c>
      <c r="E25" t="s">
        <v>104</v>
      </c>
    </row>
    <row r="26" spans="2:5" x14ac:dyDescent="0.25">
      <c r="B26" t="s">
        <v>38</v>
      </c>
      <c r="C26" s="19"/>
      <c r="D26" s="32">
        <v>3.1300000000000001E-2</v>
      </c>
      <c r="E26" t="s">
        <v>104</v>
      </c>
    </row>
    <row r="27" spans="2:5" x14ac:dyDescent="0.25">
      <c r="B27" t="s">
        <v>39</v>
      </c>
      <c r="D27" s="12">
        <v>3.1300000000000001E-2</v>
      </c>
      <c r="E27" t="s">
        <v>104</v>
      </c>
    </row>
    <row r="28" spans="2:5" x14ac:dyDescent="0.25">
      <c r="B28" t="s">
        <v>127</v>
      </c>
      <c r="D28" s="12">
        <f>+D29</f>
        <v>5.7142857142857143E-3</v>
      </c>
      <c r="E28" t="s">
        <v>105</v>
      </c>
    </row>
    <row r="29" spans="2:5" x14ac:dyDescent="0.25">
      <c r="B29" t="s">
        <v>36</v>
      </c>
      <c r="D29" s="12">
        <f>0.08/14</f>
        <v>5.7142857142857143E-3</v>
      </c>
      <c r="E29" t="s">
        <v>105</v>
      </c>
    </row>
    <row r="30" spans="2:5" x14ac:dyDescent="0.25">
      <c r="B30" t="s">
        <v>33</v>
      </c>
      <c r="D30" s="12">
        <f>0.0376/14</f>
        <v>2.6857142857142856E-3</v>
      </c>
      <c r="E30" t="s">
        <v>105</v>
      </c>
    </row>
    <row r="31" spans="2:5" x14ac:dyDescent="0.25">
      <c r="B31" t="s">
        <v>48</v>
      </c>
      <c r="C31" t="s">
        <v>56</v>
      </c>
      <c r="D31" s="12">
        <v>4.9399999999999995E-7</v>
      </c>
    </row>
    <row r="32" spans="2:5" x14ac:dyDescent="0.25">
      <c r="B32" t="s">
        <v>42</v>
      </c>
      <c r="C32" t="s">
        <v>57</v>
      </c>
      <c r="D32" s="12">
        <f>10^-4.76</f>
        <v>1.7378008287493744E-5</v>
      </c>
    </row>
    <row r="33" spans="2:5" x14ac:dyDescent="0.25">
      <c r="B33" t="s">
        <v>43</v>
      </c>
      <c r="C33" t="s">
        <v>59</v>
      </c>
      <c r="D33" s="12">
        <f>10^-4.82</f>
        <v>1.5135612484362051E-5</v>
      </c>
    </row>
    <row r="34" spans="2:5" x14ac:dyDescent="0.25">
      <c r="B34" t="s">
        <v>44</v>
      </c>
      <c r="C34" t="s">
        <v>60</v>
      </c>
      <c r="D34" s="12">
        <v>1.1100000000000001E-9</v>
      </c>
    </row>
    <row r="35" spans="2:5" x14ac:dyDescent="0.25">
      <c r="B35" t="s">
        <v>45</v>
      </c>
      <c r="C35" t="s">
        <v>61</v>
      </c>
      <c r="D35" s="12">
        <f>10^-4.86</f>
        <v>1.3803842646028827E-5</v>
      </c>
    </row>
    <row r="36" spans="2:5" x14ac:dyDescent="0.25">
      <c r="B36" t="s">
        <v>46</v>
      </c>
      <c r="C36" t="s">
        <v>62</v>
      </c>
      <c r="D36" s="12">
        <f>10^-4.88</f>
        <v>1.3182567385564052E-5</v>
      </c>
      <c r="E36" s="7"/>
    </row>
    <row r="37" spans="2:5" x14ac:dyDescent="0.25">
      <c r="B37" t="s">
        <v>74</v>
      </c>
      <c r="C37" t="s">
        <v>75</v>
      </c>
      <c r="D37" s="12">
        <v>1.6429833340503007E-4</v>
      </c>
      <c r="E37" s="7"/>
    </row>
    <row r="38" spans="2:5" x14ac:dyDescent="0.25">
      <c r="B38" t="s">
        <v>47</v>
      </c>
      <c r="C38" t="s">
        <v>58</v>
      </c>
      <c r="D38" s="12">
        <v>2.08E-14</v>
      </c>
      <c r="E38" s="7"/>
    </row>
    <row r="39" spans="2:5" x14ac:dyDescent="0.25">
      <c r="B39" t="s">
        <v>49</v>
      </c>
      <c r="C39" t="s">
        <v>53</v>
      </c>
      <c r="D39" s="12">
        <f>0.000000271</f>
        <v>2.7099999999999998E-7</v>
      </c>
      <c r="E39" s="7" t="s">
        <v>52</v>
      </c>
    </row>
    <row r="40" spans="2:5" x14ac:dyDescent="0.25">
      <c r="B40" t="s">
        <v>50</v>
      </c>
      <c r="C40" t="s">
        <v>54</v>
      </c>
      <c r="D40" s="12">
        <v>1.16E-8</v>
      </c>
      <c r="E40" s="7" t="s">
        <v>52</v>
      </c>
    </row>
    <row r="41" spans="2:5" x14ac:dyDescent="0.25">
      <c r="B41" t="s">
        <v>51</v>
      </c>
      <c r="C41" t="s">
        <v>55</v>
      </c>
      <c r="D41" s="12">
        <v>7.3799999999999997E-9</v>
      </c>
      <c r="E41" s="7" t="s">
        <v>52</v>
      </c>
    </row>
    <row r="42" spans="2:5" x14ac:dyDescent="0.25">
      <c r="B42" t="s">
        <v>85</v>
      </c>
      <c r="C42" t="s">
        <v>86</v>
      </c>
      <c r="D42" s="12">
        <v>1000</v>
      </c>
      <c r="E42" t="s">
        <v>92</v>
      </c>
    </row>
    <row r="43" spans="2:5" x14ac:dyDescent="0.25">
      <c r="B43" t="s">
        <v>106</v>
      </c>
      <c r="D43" s="12">
        <v>1</v>
      </c>
    </row>
    <row r="44" spans="2:5" x14ac:dyDescent="0.25">
      <c r="B44" s="23" t="s">
        <v>128</v>
      </c>
      <c r="C44" s="23"/>
      <c r="D44" s="30">
        <v>0</v>
      </c>
      <c r="E44" t="s">
        <v>163</v>
      </c>
    </row>
    <row r="45" spans="2:5" x14ac:dyDescent="0.25">
      <c r="B45" s="25" t="s">
        <v>130</v>
      </c>
      <c r="C45" s="25" t="s">
        <v>158</v>
      </c>
      <c r="D45" s="35">
        <v>10.0426</v>
      </c>
      <c r="E45" s="25" t="s">
        <v>102</v>
      </c>
    </row>
    <row r="46" spans="2:5" x14ac:dyDescent="0.25">
      <c r="B46" s="25" t="s">
        <v>129</v>
      </c>
      <c r="C46" s="25" t="s">
        <v>159</v>
      </c>
      <c r="D46" s="35">
        <v>7.3364000000000003</v>
      </c>
      <c r="E46" s="25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7"/>
  <sheetViews>
    <sheetView zoomScale="125" workbookViewId="0">
      <selection activeCell="C18" sqref="C18:C19"/>
    </sheetView>
  </sheetViews>
  <sheetFormatPr defaultColWidth="11.42578125" defaultRowHeight="15" x14ac:dyDescent="0.25"/>
  <cols>
    <col min="2" max="2" width="26.5703125" customWidth="1"/>
    <col min="3" max="3" width="7.42578125" customWidth="1"/>
    <col min="4" max="5" width="9.85546875" customWidth="1"/>
    <col min="6" max="6" width="21.7109375" bestFit="1" customWidth="1"/>
    <col min="7" max="7" width="18.28515625" customWidth="1"/>
    <col min="8" max="8" width="6.85546875" customWidth="1"/>
    <col min="9" max="9" width="52" customWidth="1"/>
    <col min="10" max="10" width="14.140625" customWidth="1"/>
    <col min="11" max="11" width="6.7109375" customWidth="1"/>
    <col min="12" max="12" width="10.140625" customWidth="1"/>
    <col min="13" max="13" width="4.85546875" customWidth="1"/>
    <col min="14" max="14" width="23.28515625" bestFit="1" customWidth="1"/>
  </cols>
  <sheetData>
    <row r="2" spans="2:14" x14ac:dyDescent="0.25">
      <c r="B2" s="17" t="s">
        <v>31</v>
      </c>
      <c r="C2" s="18" t="s">
        <v>90</v>
      </c>
      <c r="D2" s="18" t="s">
        <v>69</v>
      </c>
      <c r="E2" s="18" t="s">
        <v>115</v>
      </c>
      <c r="F2" s="18" t="s">
        <v>1</v>
      </c>
      <c r="G2" s="18" t="s">
        <v>2</v>
      </c>
      <c r="H2" s="18" t="s">
        <v>3</v>
      </c>
      <c r="I2" s="18" t="s">
        <v>5</v>
      </c>
      <c r="J2" s="18" t="s">
        <v>7</v>
      </c>
      <c r="K2" s="18" t="s">
        <v>9</v>
      </c>
      <c r="L2" s="18" t="s">
        <v>10</v>
      </c>
      <c r="M2" s="18" t="s">
        <v>71</v>
      </c>
      <c r="N2" s="17" t="s">
        <v>31</v>
      </c>
    </row>
    <row r="3" spans="2:14" s="7" customFormat="1" x14ac:dyDescent="0.25">
      <c r="B3" s="7" t="s">
        <v>107</v>
      </c>
      <c r="C3" s="15">
        <v>-1</v>
      </c>
      <c r="D3" s="16" t="s">
        <v>88</v>
      </c>
      <c r="E3" s="16">
        <v>0</v>
      </c>
      <c r="F3" s="16">
        <v>0</v>
      </c>
      <c r="G3" s="16">
        <v>0</v>
      </c>
      <c r="H3" s="16">
        <v>0</v>
      </c>
      <c r="I3" s="16" t="s">
        <v>89</v>
      </c>
      <c r="J3" s="16" t="s">
        <v>67</v>
      </c>
      <c r="K3" s="16">
        <v>0</v>
      </c>
      <c r="L3" s="16" t="s">
        <v>32</v>
      </c>
      <c r="M3" s="16">
        <v>0</v>
      </c>
      <c r="N3" s="7" t="s">
        <v>107</v>
      </c>
    </row>
    <row r="4" spans="2:14" s="7" customFormat="1" x14ac:dyDescent="0.25">
      <c r="B4" s="7" t="s">
        <v>111</v>
      </c>
      <c r="C4" s="15">
        <v>0</v>
      </c>
      <c r="D4" s="16" t="s">
        <v>116</v>
      </c>
      <c r="E4" s="16">
        <v>-1</v>
      </c>
      <c r="F4" s="16">
        <v>0</v>
      </c>
      <c r="G4" s="16">
        <v>0</v>
      </c>
      <c r="H4" s="16">
        <v>0</v>
      </c>
      <c r="I4" s="16" t="s">
        <v>118</v>
      </c>
      <c r="J4" s="16" t="s">
        <v>126</v>
      </c>
      <c r="K4" s="16">
        <v>0</v>
      </c>
      <c r="L4" s="16" t="s">
        <v>117</v>
      </c>
      <c r="M4" s="16">
        <v>0</v>
      </c>
      <c r="N4" s="7" t="s">
        <v>111</v>
      </c>
    </row>
    <row r="5" spans="2:14" s="7" customFormat="1" x14ac:dyDescent="0.25">
      <c r="B5" s="7" t="s">
        <v>112</v>
      </c>
      <c r="C5" s="15">
        <v>0</v>
      </c>
      <c r="D5" s="16">
        <v>-1</v>
      </c>
      <c r="E5" s="16">
        <v>0</v>
      </c>
      <c r="F5" s="16" t="s">
        <v>109</v>
      </c>
      <c r="G5" s="16" t="s">
        <v>108</v>
      </c>
      <c r="H5" s="16">
        <v>0</v>
      </c>
      <c r="I5" s="16" t="s">
        <v>110</v>
      </c>
      <c r="J5" s="16" t="s">
        <v>70</v>
      </c>
      <c r="K5" s="16">
        <v>0</v>
      </c>
      <c r="L5" s="16">
        <v>0</v>
      </c>
      <c r="M5" s="16" t="s">
        <v>72</v>
      </c>
      <c r="N5" s="7" t="s">
        <v>112</v>
      </c>
    </row>
    <row r="6" spans="2:14" x14ac:dyDescent="0.25">
      <c r="B6" t="s">
        <v>113</v>
      </c>
      <c r="C6" s="14">
        <v>0</v>
      </c>
      <c r="D6" s="14">
        <v>0</v>
      </c>
      <c r="E6" s="16">
        <v>0</v>
      </c>
      <c r="F6" s="14">
        <v>0</v>
      </c>
      <c r="G6" s="14">
        <v>0</v>
      </c>
      <c r="H6" s="14">
        <v>0</v>
      </c>
      <c r="I6" s="14" t="s">
        <v>66</v>
      </c>
      <c r="J6" s="14" t="s">
        <v>68</v>
      </c>
      <c r="K6" s="14">
        <v>1</v>
      </c>
      <c r="L6" s="14">
        <v>-1</v>
      </c>
      <c r="M6" s="14">
        <v>0</v>
      </c>
      <c r="N6" t="s">
        <v>113</v>
      </c>
    </row>
    <row r="7" spans="2:14" x14ac:dyDescent="0.25">
      <c r="B7" t="s">
        <v>114</v>
      </c>
      <c r="C7" s="14">
        <v>0</v>
      </c>
      <c r="D7" s="14">
        <v>0</v>
      </c>
      <c r="E7" s="16">
        <v>0</v>
      </c>
      <c r="F7" s="14">
        <v>0</v>
      </c>
      <c r="G7" s="14">
        <v>0</v>
      </c>
      <c r="H7" s="14">
        <v>0</v>
      </c>
      <c r="I7" s="14" t="s">
        <v>66</v>
      </c>
      <c r="J7" s="14" t="s">
        <v>68</v>
      </c>
      <c r="K7" s="14">
        <v>1</v>
      </c>
      <c r="L7" s="14">
        <v>0</v>
      </c>
      <c r="M7" s="14">
        <v>-1</v>
      </c>
      <c r="N7" t="s">
        <v>114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40BF-7606-8C4D-BF21-AD42FF349886}">
  <dimension ref="B2:N7"/>
  <sheetViews>
    <sheetView zoomScale="140" workbookViewId="0">
      <selection activeCell="C18" sqref="C18:C19"/>
    </sheetView>
  </sheetViews>
  <sheetFormatPr defaultColWidth="11.42578125" defaultRowHeight="15" x14ac:dyDescent="0.25"/>
  <cols>
    <col min="2" max="2" width="23.42578125" customWidth="1"/>
    <col min="3" max="3" width="7.42578125" customWidth="1"/>
    <col min="4" max="5" width="9.85546875" customWidth="1"/>
    <col min="6" max="6" width="19.42578125" customWidth="1"/>
    <col min="7" max="7" width="18.28515625" customWidth="1"/>
    <col min="8" max="8" width="6.85546875" customWidth="1"/>
    <col min="9" max="9" width="52" customWidth="1"/>
    <col min="10" max="10" width="14.140625" customWidth="1"/>
    <col min="11" max="11" width="6.7109375" customWidth="1"/>
    <col min="12" max="12" width="10.140625" customWidth="1"/>
    <col min="13" max="13" width="4.85546875" customWidth="1"/>
  </cols>
  <sheetData>
    <row r="2" spans="2:14" x14ac:dyDescent="0.25">
      <c r="B2" s="17" t="s">
        <v>31</v>
      </c>
      <c r="C2" s="18" t="s">
        <v>90</v>
      </c>
      <c r="D2" s="18" t="s">
        <v>69</v>
      </c>
      <c r="E2" s="18" t="s">
        <v>115</v>
      </c>
      <c r="F2" s="18" t="s">
        <v>1</v>
      </c>
      <c r="G2" s="18" t="s">
        <v>2</v>
      </c>
      <c r="H2" s="18" t="s">
        <v>3</v>
      </c>
      <c r="I2" s="18" t="s">
        <v>5</v>
      </c>
      <c r="J2" s="18" t="s">
        <v>7</v>
      </c>
      <c r="K2" s="18" t="s">
        <v>9</v>
      </c>
      <c r="L2" s="18" t="s">
        <v>10</v>
      </c>
      <c r="M2" s="18" t="s">
        <v>71</v>
      </c>
      <c r="N2" s="17" t="s">
        <v>31</v>
      </c>
    </row>
    <row r="3" spans="2:14" s="7" customFormat="1" x14ac:dyDescent="0.25">
      <c r="B3" s="7" t="s">
        <v>107</v>
      </c>
      <c r="C3" s="15">
        <v>-1</v>
      </c>
      <c r="D3" s="16" t="s">
        <v>88</v>
      </c>
      <c r="E3" s="16">
        <v>0</v>
      </c>
      <c r="F3" s="16">
        <v>0</v>
      </c>
      <c r="G3" s="16">
        <v>0</v>
      </c>
      <c r="H3" s="16">
        <v>0</v>
      </c>
      <c r="I3" s="16" t="s">
        <v>89</v>
      </c>
      <c r="J3" s="16" t="s">
        <v>67</v>
      </c>
      <c r="K3" s="16">
        <v>0</v>
      </c>
      <c r="L3" s="16" t="s">
        <v>32</v>
      </c>
      <c r="M3" s="16">
        <v>0</v>
      </c>
      <c r="N3" s="7" t="s">
        <v>107</v>
      </c>
    </row>
    <row r="4" spans="2:14" s="7" customFormat="1" x14ac:dyDescent="0.25">
      <c r="B4" s="7" t="s">
        <v>111</v>
      </c>
      <c r="C4" s="15">
        <v>0</v>
      </c>
      <c r="D4" s="16" t="s">
        <v>116</v>
      </c>
      <c r="E4" s="16">
        <v>-1</v>
      </c>
      <c r="F4" s="16">
        <v>0</v>
      </c>
      <c r="G4" s="16">
        <v>0</v>
      </c>
      <c r="H4" s="16">
        <v>0</v>
      </c>
      <c r="I4" s="16" t="s">
        <v>118</v>
      </c>
      <c r="J4" s="16" t="s">
        <v>126</v>
      </c>
      <c r="K4" s="16">
        <v>0</v>
      </c>
      <c r="L4" s="16" t="s">
        <v>117</v>
      </c>
      <c r="M4" s="16">
        <v>0</v>
      </c>
      <c r="N4" s="7" t="s">
        <v>111</v>
      </c>
    </row>
    <row r="5" spans="2:14" s="7" customFormat="1" x14ac:dyDescent="0.25">
      <c r="B5" s="7" t="s">
        <v>112</v>
      </c>
      <c r="C5" s="15">
        <v>0</v>
      </c>
      <c r="D5" s="16">
        <v>-1</v>
      </c>
      <c r="E5" s="16">
        <v>0</v>
      </c>
      <c r="F5" s="16" t="s">
        <v>109</v>
      </c>
      <c r="G5" s="16" t="s">
        <v>108</v>
      </c>
      <c r="H5" s="16">
        <v>0</v>
      </c>
      <c r="I5" s="16" t="s">
        <v>110</v>
      </c>
      <c r="J5" s="16" t="s">
        <v>70</v>
      </c>
      <c r="K5" s="16">
        <v>0</v>
      </c>
      <c r="L5" s="16">
        <v>0</v>
      </c>
      <c r="M5" s="16" t="s">
        <v>72</v>
      </c>
      <c r="N5" s="7" t="s">
        <v>112</v>
      </c>
    </row>
    <row r="6" spans="2:14" x14ac:dyDescent="0.25">
      <c r="B6" t="s">
        <v>113</v>
      </c>
      <c r="C6" s="14">
        <v>0</v>
      </c>
      <c r="D6" s="14">
        <v>0</v>
      </c>
      <c r="E6" s="16">
        <v>0</v>
      </c>
      <c r="F6" s="14">
        <v>0</v>
      </c>
      <c r="G6" s="14">
        <v>0</v>
      </c>
      <c r="H6" s="14">
        <v>0</v>
      </c>
      <c r="I6" s="14" t="s">
        <v>66</v>
      </c>
      <c r="J6" s="14" t="s">
        <v>68</v>
      </c>
      <c r="K6" s="14">
        <v>1</v>
      </c>
      <c r="L6" s="14">
        <v>-1</v>
      </c>
      <c r="M6" s="14">
        <v>0</v>
      </c>
      <c r="N6" t="s">
        <v>113</v>
      </c>
    </row>
    <row r="7" spans="2:14" x14ac:dyDescent="0.25">
      <c r="B7" t="s">
        <v>114</v>
      </c>
      <c r="C7" s="14">
        <v>0</v>
      </c>
      <c r="D7" s="14">
        <v>0</v>
      </c>
      <c r="E7" s="16">
        <v>0</v>
      </c>
      <c r="F7" s="14">
        <v>0</v>
      </c>
      <c r="G7" s="14">
        <v>0</v>
      </c>
      <c r="H7" s="14">
        <v>0</v>
      </c>
      <c r="I7" s="14" t="s">
        <v>66</v>
      </c>
      <c r="J7" s="14" t="s">
        <v>68</v>
      </c>
      <c r="K7" s="14">
        <v>1</v>
      </c>
      <c r="L7" s="14">
        <v>0</v>
      </c>
      <c r="M7" s="14">
        <v>-1</v>
      </c>
      <c r="N7" t="s">
        <v>114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1CA8-3E4E-2C42-B874-2AFDBB12C680}">
  <dimension ref="B2:N8"/>
  <sheetViews>
    <sheetView topLeftCell="B1" zoomScale="106" zoomScaleNormal="106" workbookViewId="0">
      <selection activeCell="F5" sqref="F5"/>
    </sheetView>
  </sheetViews>
  <sheetFormatPr defaultColWidth="11.42578125" defaultRowHeight="15" x14ac:dyDescent="0.25"/>
  <cols>
    <col min="2" max="2" width="33" bestFit="1" customWidth="1"/>
    <col min="6" max="6" width="21.7109375" bestFit="1" customWidth="1"/>
    <col min="7" max="7" width="17.28515625" bestFit="1" customWidth="1"/>
    <col min="9" max="9" width="45.42578125" bestFit="1" customWidth="1"/>
    <col min="10" max="10" width="13.140625" bestFit="1" customWidth="1"/>
    <col min="14" max="14" width="33" bestFit="1" customWidth="1"/>
  </cols>
  <sheetData>
    <row r="2" spans="2:14" x14ac:dyDescent="0.25">
      <c r="B2" s="17" t="s">
        <v>31</v>
      </c>
      <c r="C2" s="18" t="s">
        <v>90</v>
      </c>
      <c r="D2" s="18" t="s">
        <v>69</v>
      </c>
      <c r="E2" s="18" t="s">
        <v>115</v>
      </c>
      <c r="F2" s="18" t="s">
        <v>1</v>
      </c>
      <c r="G2" s="18" t="s">
        <v>2</v>
      </c>
      <c r="H2" s="18" t="s">
        <v>3</v>
      </c>
      <c r="I2" s="18" t="s">
        <v>5</v>
      </c>
      <c r="J2" s="18" t="s">
        <v>7</v>
      </c>
      <c r="K2" s="18" t="s">
        <v>9</v>
      </c>
      <c r="L2" s="18" t="s">
        <v>10</v>
      </c>
      <c r="M2" s="18" t="s">
        <v>71</v>
      </c>
      <c r="N2" s="17" t="s">
        <v>31</v>
      </c>
    </row>
    <row r="3" spans="2:14" x14ac:dyDescent="0.25">
      <c r="B3" s="7" t="s">
        <v>107</v>
      </c>
      <c r="C3" s="15">
        <v>-1</v>
      </c>
      <c r="D3" s="16" t="s">
        <v>88</v>
      </c>
      <c r="E3" s="16">
        <v>0</v>
      </c>
      <c r="F3" s="16">
        <v>0</v>
      </c>
      <c r="G3" s="16">
        <v>0</v>
      </c>
      <c r="H3" s="16">
        <v>0</v>
      </c>
      <c r="I3" s="16" t="s">
        <v>89</v>
      </c>
      <c r="J3" s="16" t="s">
        <v>67</v>
      </c>
      <c r="K3" s="16">
        <v>0</v>
      </c>
      <c r="L3" s="16" t="s">
        <v>32</v>
      </c>
      <c r="M3" s="16">
        <v>0</v>
      </c>
      <c r="N3" s="7" t="s">
        <v>107</v>
      </c>
    </row>
    <row r="4" spans="2:14" x14ac:dyDescent="0.25">
      <c r="B4" s="7" t="s">
        <v>136</v>
      </c>
      <c r="C4" s="15">
        <v>0</v>
      </c>
      <c r="D4" s="16" t="s">
        <v>144</v>
      </c>
      <c r="E4" s="16">
        <v>-1</v>
      </c>
      <c r="F4" s="16">
        <v>0</v>
      </c>
      <c r="G4" s="16">
        <v>0</v>
      </c>
      <c r="H4" s="16">
        <v>0</v>
      </c>
      <c r="I4" s="16" t="s">
        <v>145</v>
      </c>
      <c r="J4" s="16" t="s">
        <v>153</v>
      </c>
      <c r="K4" s="16">
        <v>0</v>
      </c>
      <c r="L4" s="16" t="s">
        <v>141</v>
      </c>
      <c r="M4" s="16">
        <v>0</v>
      </c>
      <c r="N4" s="7" t="s">
        <v>136</v>
      </c>
    </row>
    <row r="5" spans="2:14" x14ac:dyDescent="0.25">
      <c r="B5" s="7" t="s">
        <v>137</v>
      </c>
      <c r="C5" s="14">
        <v>0</v>
      </c>
      <c r="D5" s="16">
        <v>0</v>
      </c>
      <c r="E5" s="16">
        <v>-1</v>
      </c>
      <c r="F5" s="16" t="s">
        <v>143</v>
      </c>
      <c r="G5" s="16">
        <v>0</v>
      </c>
      <c r="H5" s="16">
        <v>0</v>
      </c>
      <c r="I5" s="16" t="s">
        <v>162</v>
      </c>
      <c r="J5" s="16" t="s">
        <v>154</v>
      </c>
      <c r="K5" s="16">
        <v>0</v>
      </c>
      <c r="L5" s="16">
        <v>0</v>
      </c>
      <c r="M5" s="16" t="s">
        <v>142</v>
      </c>
      <c r="N5" s="7" t="s">
        <v>137</v>
      </c>
    </row>
    <row r="6" spans="2:14" x14ac:dyDescent="0.25">
      <c r="B6" s="7" t="s">
        <v>138</v>
      </c>
      <c r="C6" s="15">
        <v>0</v>
      </c>
      <c r="D6" s="16">
        <v>-1</v>
      </c>
      <c r="E6" s="16">
        <v>0</v>
      </c>
      <c r="F6" s="16" t="s">
        <v>109</v>
      </c>
      <c r="G6" s="16" t="s">
        <v>108</v>
      </c>
      <c r="H6" s="16">
        <v>0</v>
      </c>
      <c r="I6" s="16" t="s">
        <v>110</v>
      </c>
      <c r="J6" s="16" t="s">
        <v>70</v>
      </c>
      <c r="K6" s="16">
        <v>0</v>
      </c>
      <c r="L6" s="16">
        <v>0</v>
      </c>
      <c r="M6" s="16" t="s">
        <v>72</v>
      </c>
      <c r="N6" s="7" t="s">
        <v>138</v>
      </c>
    </row>
    <row r="7" spans="2:14" x14ac:dyDescent="0.25">
      <c r="B7" t="s">
        <v>139</v>
      </c>
      <c r="C7" s="14">
        <v>0</v>
      </c>
      <c r="D7" s="14">
        <v>0</v>
      </c>
      <c r="E7" s="16">
        <v>0</v>
      </c>
      <c r="F7" s="14">
        <v>0</v>
      </c>
      <c r="G7" s="14">
        <v>0</v>
      </c>
      <c r="H7" s="14">
        <v>0</v>
      </c>
      <c r="I7" s="14" t="s">
        <v>66</v>
      </c>
      <c r="J7" s="14" t="s">
        <v>68</v>
      </c>
      <c r="K7" s="14">
        <v>1</v>
      </c>
      <c r="L7" s="14">
        <v>-1</v>
      </c>
      <c r="M7" s="14">
        <v>0</v>
      </c>
      <c r="N7" t="s">
        <v>139</v>
      </c>
    </row>
    <row r="8" spans="2:14" x14ac:dyDescent="0.25">
      <c r="B8" t="s">
        <v>140</v>
      </c>
      <c r="C8" s="14">
        <v>0</v>
      </c>
      <c r="D8" s="14">
        <v>0</v>
      </c>
      <c r="E8" s="16">
        <v>0</v>
      </c>
      <c r="F8" s="14">
        <v>0</v>
      </c>
      <c r="G8" s="14">
        <v>0</v>
      </c>
      <c r="H8" s="14">
        <v>0</v>
      </c>
      <c r="I8" s="14" t="s">
        <v>66</v>
      </c>
      <c r="J8" s="14" t="s">
        <v>68</v>
      </c>
      <c r="K8" s="14">
        <v>1</v>
      </c>
      <c r="L8" s="14">
        <v>0</v>
      </c>
      <c r="M8" s="14">
        <v>-1</v>
      </c>
      <c r="N8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1424-BB1B-1F42-AA68-2A8FFAE3A825}">
  <dimension ref="A1:R78"/>
  <sheetViews>
    <sheetView tabSelected="1" zoomScale="110" zoomScaleNormal="110" workbookViewId="0">
      <selection activeCell="D21" sqref="D21"/>
    </sheetView>
  </sheetViews>
  <sheetFormatPr defaultColWidth="11.42578125" defaultRowHeight="15" x14ac:dyDescent="0.25"/>
  <cols>
    <col min="3" max="3" width="15" customWidth="1"/>
    <col min="7" max="7" width="13.5703125" bestFit="1" customWidth="1"/>
    <col min="10" max="10" width="38.28515625" bestFit="1" customWidth="1"/>
    <col min="11" max="11" width="12.7109375" bestFit="1" customWidth="1"/>
    <col min="12" max="12" width="12" bestFit="1" customWidth="1"/>
    <col min="14" max="14" width="20.42578125" bestFit="1" customWidth="1"/>
    <col min="15" max="15" width="17.140625" bestFit="1" customWidth="1"/>
    <col min="16" max="16" width="15" bestFit="1" customWidth="1"/>
    <col min="17" max="17" width="15.42578125" bestFit="1" customWidth="1"/>
  </cols>
  <sheetData>
    <row r="1" spans="2:18" x14ac:dyDescent="0.25">
      <c r="B1" t="s">
        <v>135</v>
      </c>
    </row>
    <row r="2" spans="2:18" ht="21" x14ac:dyDescent="0.35">
      <c r="B2" s="21" t="s">
        <v>134</v>
      </c>
    </row>
    <row r="3" spans="2:18" x14ac:dyDescent="0.25">
      <c r="E3" t="s">
        <v>204</v>
      </c>
      <c r="F3">
        <f xml:space="preserve"> (2*106/3/96)</f>
        <v>0.73611111111111116</v>
      </c>
    </row>
    <row r="4" spans="2:18" x14ac:dyDescent="0.25">
      <c r="E4" t="s">
        <v>205</v>
      </c>
      <c r="F4">
        <f>(64/96/3)</f>
        <v>0.22222222222222221</v>
      </c>
      <c r="J4" s="17" t="s">
        <v>31</v>
      </c>
      <c r="K4" s="18" t="s">
        <v>90</v>
      </c>
      <c r="L4" s="18" t="s">
        <v>69</v>
      </c>
      <c r="M4" s="18" t="s">
        <v>115</v>
      </c>
      <c r="N4" s="18" t="s">
        <v>1</v>
      </c>
      <c r="O4" s="18" t="s">
        <v>2</v>
      </c>
      <c r="P4" s="18" t="s">
        <v>10</v>
      </c>
      <c r="Q4" s="18" t="s">
        <v>71</v>
      </c>
      <c r="R4" s="17" t="s">
        <v>31</v>
      </c>
    </row>
    <row r="5" spans="2:18" x14ac:dyDescent="0.25">
      <c r="B5" t="s">
        <v>215</v>
      </c>
      <c r="F5">
        <f>F3+F4</f>
        <v>0.95833333333333337</v>
      </c>
      <c r="J5" s="7" t="s">
        <v>107</v>
      </c>
      <c r="K5" s="15">
        <v>-1</v>
      </c>
      <c r="L5" s="16" t="s">
        <v>88</v>
      </c>
      <c r="M5" s="16">
        <v>0</v>
      </c>
      <c r="N5" s="16">
        <v>0</v>
      </c>
      <c r="O5" s="16">
        <v>0</v>
      </c>
      <c r="P5" s="16" t="s">
        <v>32</v>
      </c>
      <c r="Q5" s="16">
        <v>0</v>
      </c>
      <c r="R5" s="7" t="s">
        <v>107</v>
      </c>
    </row>
    <row r="6" spans="2:18" x14ac:dyDescent="0.25">
      <c r="B6" s="69">
        <f>E6</f>
        <v>1.5135135135135136</v>
      </c>
      <c r="C6" s="69" t="s">
        <v>175</v>
      </c>
      <c r="E6" s="68">
        <f>3.5*32/74</f>
        <v>1.5135135135135136</v>
      </c>
      <c r="J6" s="7" t="s">
        <v>136</v>
      </c>
      <c r="K6" s="15">
        <v>0</v>
      </c>
      <c r="L6" s="16" t="s">
        <v>144</v>
      </c>
      <c r="M6" s="16">
        <v>-1</v>
      </c>
      <c r="N6" s="16">
        <v>0</v>
      </c>
      <c r="O6" s="16">
        <v>0</v>
      </c>
      <c r="P6" s="16" t="s">
        <v>141</v>
      </c>
      <c r="Q6" s="16">
        <v>0</v>
      </c>
      <c r="R6" s="7" t="s">
        <v>136</v>
      </c>
    </row>
    <row r="7" spans="2:18" ht="15.75" thickBot="1" x14ac:dyDescent="0.3">
      <c r="B7" s="69">
        <v>74</v>
      </c>
      <c r="C7" s="69" t="s">
        <v>176</v>
      </c>
      <c r="J7" s="7" t="s">
        <v>137</v>
      </c>
      <c r="K7" s="14">
        <v>0</v>
      </c>
      <c r="L7" s="16">
        <v>0</v>
      </c>
      <c r="M7" s="16">
        <v>-1</v>
      </c>
      <c r="N7" s="16" t="s">
        <v>143</v>
      </c>
      <c r="O7" s="16">
        <v>0</v>
      </c>
      <c r="P7" s="16">
        <v>0</v>
      </c>
      <c r="Q7" s="16" t="s">
        <v>142</v>
      </c>
      <c r="R7" s="7" t="s">
        <v>137</v>
      </c>
    </row>
    <row r="8" spans="2:18" ht="15.75" thickBot="1" x14ac:dyDescent="0.3">
      <c r="B8" s="69">
        <f>B6*B7</f>
        <v>112</v>
      </c>
      <c r="C8" s="69" t="s">
        <v>177</v>
      </c>
      <c r="F8" s="51"/>
      <c r="G8" s="75" t="s">
        <v>221</v>
      </c>
      <c r="H8" s="53"/>
      <c r="J8" s="7" t="s">
        <v>138</v>
      </c>
      <c r="K8" s="15">
        <v>0</v>
      </c>
      <c r="L8" s="16">
        <v>-1</v>
      </c>
      <c r="M8" s="16">
        <v>0</v>
      </c>
      <c r="N8" s="16" t="s">
        <v>109</v>
      </c>
      <c r="O8" s="16" t="s">
        <v>108</v>
      </c>
      <c r="P8" s="16">
        <v>0</v>
      </c>
      <c r="Q8" s="16" t="s">
        <v>72</v>
      </c>
      <c r="R8" s="7" t="s">
        <v>138</v>
      </c>
    </row>
    <row r="9" spans="2:18" x14ac:dyDescent="0.25">
      <c r="B9" t="s">
        <v>216</v>
      </c>
      <c r="F9" s="54" t="s">
        <v>219</v>
      </c>
      <c r="G9" s="36"/>
      <c r="H9" s="55"/>
      <c r="J9" t="s">
        <v>139</v>
      </c>
      <c r="K9" s="14">
        <v>0</v>
      </c>
      <c r="L9" s="14">
        <v>0</v>
      </c>
      <c r="M9" s="16">
        <v>0</v>
      </c>
      <c r="N9" s="14">
        <v>0</v>
      </c>
      <c r="O9" s="14">
        <v>0</v>
      </c>
      <c r="P9" s="14">
        <v>-1</v>
      </c>
      <c r="Q9" s="14">
        <v>0</v>
      </c>
      <c r="R9" t="s">
        <v>139</v>
      </c>
    </row>
    <row r="10" spans="2:18" x14ac:dyDescent="0.25">
      <c r="B10" s="69">
        <v>1.0669999999999999</v>
      </c>
      <c r="C10" s="69" t="s">
        <v>178</v>
      </c>
      <c r="F10" s="70">
        <v>96</v>
      </c>
      <c r="G10" s="69" t="s">
        <v>132</v>
      </c>
      <c r="H10" s="55"/>
      <c r="J10" t="s">
        <v>140</v>
      </c>
      <c r="K10" s="14">
        <v>0</v>
      </c>
      <c r="L10" s="14">
        <v>0</v>
      </c>
      <c r="M10" s="16">
        <v>0</v>
      </c>
      <c r="N10" s="14">
        <v>0</v>
      </c>
      <c r="O10" s="14">
        <v>0</v>
      </c>
      <c r="P10" s="14">
        <v>0</v>
      </c>
      <c r="Q10" s="14">
        <v>-1</v>
      </c>
      <c r="R10" t="s">
        <v>140</v>
      </c>
    </row>
    <row r="11" spans="2:18" x14ac:dyDescent="0.25">
      <c r="B11" s="69">
        <v>90</v>
      </c>
      <c r="C11" s="69" t="s">
        <v>179</v>
      </c>
      <c r="F11" s="70">
        <v>64</v>
      </c>
      <c r="G11" s="69" t="s">
        <v>133</v>
      </c>
      <c r="H11" s="55"/>
    </row>
    <row r="12" spans="2:18" x14ac:dyDescent="0.25">
      <c r="B12" s="69">
        <f>B10*B11</f>
        <v>96.03</v>
      </c>
      <c r="C12" s="69" t="s">
        <v>177</v>
      </c>
      <c r="F12">
        <f>12+1.7+0.4*16+0.2*14</f>
        <v>22.900000000000002</v>
      </c>
      <c r="G12" s="62" t="s">
        <v>179</v>
      </c>
    </row>
    <row r="13" spans="2:18" x14ac:dyDescent="0.25">
      <c r="B13" t="s">
        <v>217</v>
      </c>
      <c r="F13" s="54" t="s">
        <v>220</v>
      </c>
      <c r="G13" s="36"/>
      <c r="H13" s="55"/>
      <c r="I13" s="47"/>
      <c r="J13" s="47"/>
      <c r="K13" s="47"/>
      <c r="L13" s="47"/>
      <c r="M13" s="47"/>
      <c r="N13" s="47"/>
      <c r="O13" s="47"/>
      <c r="P13" s="47"/>
      <c r="Q13" s="47"/>
      <c r="R13" s="48"/>
    </row>
    <row r="14" spans="2:18" x14ac:dyDescent="0.25">
      <c r="B14" s="69">
        <v>1.0669999999999999</v>
      </c>
      <c r="C14" s="69" t="s">
        <v>178</v>
      </c>
      <c r="F14" s="70" t="s">
        <v>211</v>
      </c>
      <c r="G14" s="69">
        <v>1.44</v>
      </c>
      <c r="H14" s="71" t="s">
        <v>175</v>
      </c>
      <c r="I14" s="47"/>
      <c r="J14" s="37" t="s">
        <v>164</v>
      </c>
      <c r="K14" s="38" t="s">
        <v>165</v>
      </c>
      <c r="L14" s="38"/>
      <c r="M14" s="38"/>
      <c r="N14" s="38"/>
      <c r="O14" s="38"/>
      <c r="P14" s="38"/>
      <c r="Q14" s="38"/>
      <c r="R14" s="39"/>
    </row>
    <row r="15" spans="2:18" x14ac:dyDescent="0.25">
      <c r="B15" s="69">
        <v>64</v>
      </c>
      <c r="C15" s="69" t="s">
        <v>179</v>
      </c>
      <c r="F15" s="70" t="s">
        <v>212</v>
      </c>
      <c r="G15" s="69">
        <v>1.0669999999999999</v>
      </c>
      <c r="H15" s="71" t="s">
        <v>178</v>
      </c>
      <c r="I15" s="47"/>
      <c r="J15" s="39"/>
      <c r="K15" s="40" t="s">
        <v>166</v>
      </c>
      <c r="L15" s="40" t="s">
        <v>167</v>
      </c>
      <c r="M15" s="40" t="s">
        <v>168</v>
      </c>
      <c r="N15" s="40" t="s">
        <v>169</v>
      </c>
      <c r="O15" s="40" t="s">
        <v>170</v>
      </c>
      <c r="P15" s="40" t="s">
        <v>171</v>
      </c>
      <c r="Q15" s="40" t="s">
        <v>173</v>
      </c>
      <c r="R15" s="47"/>
    </row>
    <row r="16" spans="2:18" ht="15.75" thickBot="1" x14ac:dyDescent="0.3">
      <c r="B16" s="69">
        <f>B14*B15</f>
        <v>68.287999999999997</v>
      </c>
      <c r="C16" s="69" t="s">
        <v>177</v>
      </c>
      <c r="F16" s="72" t="s">
        <v>213</v>
      </c>
      <c r="G16" s="73">
        <v>1.0669999999999999</v>
      </c>
      <c r="H16" s="74" t="s">
        <v>178</v>
      </c>
      <c r="I16" s="47"/>
      <c r="J16" s="41" t="s">
        <v>107</v>
      </c>
      <c r="K16" s="42">
        <v>-1</v>
      </c>
      <c r="L16" s="43" t="s">
        <v>88</v>
      </c>
      <c r="M16" s="43">
        <v>0</v>
      </c>
      <c r="N16" s="43">
        <v>0</v>
      </c>
      <c r="O16" s="43">
        <v>0</v>
      </c>
      <c r="P16" s="43" t="s">
        <v>32</v>
      </c>
      <c r="Q16" s="43">
        <v>0</v>
      </c>
    </row>
    <row r="17" spans="2:18" x14ac:dyDescent="0.25">
      <c r="B17" t="s">
        <v>222</v>
      </c>
      <c r="I17" s="47"/>
      <c r="J17" s="39" t="s">
        <v>136</v>
      </c>
      <c r="K17" s="40">
        <v>0</v>
      </c>
      <c r="L17" s="44" t="s">
        <v>144</v>
      </c>
      <c r="M17" s="44">
        <v>-1</v>
      </c>
      <c r="N17" s="44">
        <v>0</v>
      </c>
      <c r="O17" s="44">
        <v>0</v>
      </c>
      <c r="P17" s="44" t="s">
        <v>141</v>
      </c>
      <c r="Q17" s="44">
        <v>0</v>
      </c>
      <c r="R17" s="47"/>
    </row>
    <row r="18" spans="2:18" ht="15.75" thickBot="1" x14ac:dyDescent="0.3">
      <c r="B18" s="69">
        <v>1.37</v>
      </c>
      <c r="C18" s="69" t="s">
        <v>224</v>
      </c>
      <c r="I18" s="47"/>
      <c r="J18" s="39" t="s">
        <v>137</v>
      </c>
      <c r="K18" s="44">
        <v>0</v>
      </c>
      <c r="L18" s="44">
        <v>0</v>
      </c>
      <c r="M18" s="44">
        <v>-1</v>
      </c>
      <c r="N18" s="44" t="s">
        <v>143</v>
      </c>
      <c r="O18" s="44">
        <v>0</v>
      </c>
      <c r="P18" s="44">
        <v>0</v>
      </c>
      <c r="Q18" s="44" t="s">
        <v>142</v>
      </c>
      <c r="R18" s="47"/>
    </row>
    <row r="19" spans="2:18" x14ac:dyDescent="0.25">
      <c r="B19" s="69">
        <f>12+1.7+0.4*16+0.2*14</f>
        <v>22.900000000000002</v>
      </c>
      <c r="C19" s="83" t="s">
        <v>179</v>
      </c>
      <c r="F19" s="51" t="s">
        <v>223</v>
      </c>
      <c r="G19" s="52"/>
      <c r="H19" s="53"/>
      <c r="I19" s="47"/>
      <c r="J19" s="39" t="s">
        <v>138</v>
      </c>
      <c r="K19" s="40">
        <v>0</v>
      </c>
      <c r="L19" s="44">
        <v>-1</v>
      </c>
      <c r="M19" s="44">
        <v>0</v>
      </c>
      <c r="N19" s="44" t="s">
        <v>109</v>
      </c>
      <c r="O19" s="44" t="s">
        <v>108</v>
      </c>
      <c r="P19" s="44">
        <v>0</v>
      </c>
      <c r="Q19" s="44" t="s">
        <v>72</v>
      </c>
      <c r="R19" s="47"/>
    </row>
    <row r="20" spans="2:18" ht="15.75" x14ac:dyDescent="0.25">
      <c r="B20" s="69">
        <f>B18*B19</f>
        <v>31.373000000000005</v>
      </c>
      <c r="C20" s="69" t="s">
        <v>177</v>
      </c>
      <c r="F20" s="54" t="s">
        <v>213</v>
      </c>
      <c r="G20" s="76">
        <v>1.0669999999999999</v>
      </c>
      <c r="H20" s="55" t="s">
        <v>224</v>
      </c>
      <c r="I20" s="47"/>
      <c r="J20" s="45" t="s">
        <v>172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-1</v>
      </c>
      <c r="R20" s="47"/>
    </row>
    <row r="21" spans="2:18" ht="15.75" x14ac:dyDescent="0.25">
      <c r="F21" s="54" t="s">
        <v>225</v>
      </c>
      <c r="G21" s="76">
        <v>1.0669999999999999</v>
      </c>
      <c r="H21" s="55" t="s">
        <v>224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2:18" ht="15.75" x14ac:dyDescent="0.25">
      <c r="F22" s="54" t="s">
        <v>212</v>
      </c>
      <c r="G22" s="77">
        <v>1.07</v>
      </c>
      <c r="H22" s="55" t="s">
        <v>224</v>
      </c>
      <c r="J22" s="39"/>
      <c r="K22" s="39"/>
      <c r="L22" s="39"/>
      <c r="M22" s="39"/>
      <c r="N22" s="39"/>
      <c r="O22" s="39"/>
      <c r="P22" s="39"/>
      <c r="Q22" s="39"/>
      <c r="R22" s="39"/>
    </row>
    <row r="23" spans="2:18" ht="18" x14ac:dyDescent="0.35">
      <c r="B23" t="s">
        <v>214</v>
      </c>
      <c r="C23">
        <f xml:space="preserve"> (2*B8/3/B12)</f>
        <v>0.77753479815335491</v>
      </c>
      <c r="D23" t="s">
        <v>231</v>
      </c>
      <c r="F23" s="54" t="s">
        <v>226</v>
      </c>
      <c r="G23" s="77">
        <v>1.51</v>
      </c>
      <c r="H23" s="55" t="s">
        <v>224</v>
      </c>
      <c r="J23" s="39"/>
      <c r="K23" s="39"/>
      <c r="L23" s="39"/>
      <c r="M23" s="39"/>
      <c r="N23" s="39"/>
      <c r="O23" s="39"/>
      <c r="P23" s="39"/>
      <c r="Q23" s="39"/>
      <c r="R23" s="39"/>
    </row>
    <row r="24" spans="2:18" ht="18.75" thickBot="1" x14ac:dyDescent="0.4">
      <c r="B24" t="s">
        <v>218</v>
      </c>
      <c r="C24">
        <f xml:space="preserve"> (1*B16/3/B12)</f>
        <v>0.23703703703703702</v>
      </c>
      <c r="D24" t="s">
        <v>231</v>
      </c>
      <c r="F24" s="58" t="s">
        <v>227</v>
      </c>
      <c r="G24" s="78">
        <v>1.37</v>
      </c>
      <c r="H24" s="60" t="s">
        <v>224</v>
      </c>
      <c r="J24" s="36"/>
      <c r="K24" s="36"/>
      <c r="L24" s="36"/>
      <c r="M24" s="36"/>
      <c r="N24" s="36"/>
      <c r="O24" s="36"/>
      <c r="P24" s="36"/>
      <c r="Q24" s="36"/>
      <c r="R24" s="36"/>
    </row>
    <row r="25" spans="2:18" ht="16.5" thickBot="1" x14ac:dyDescent="0.3">
      <c r="C25">
        <f>C23+C24</f>
        <v>1.0145718351903918</v>
      </c>
      <c r="F25" s="51" t="s">
        <v>228</v>
      </c>
      <c r="G25" s="79">
        <v>1.37</v>
      </c>
      <c r="H25" s="53" t="s">
        <v>224</v>
      </c>
    </row>
    <row r="26" spans="2:18" ht="15.75" thickBot="1" x14ac:dyDescent="0.3">
      <c r="F26" s="80" t="s">
        <v>229</v>
      </c>
      <c r="G26" s="81">
        <f>32*3.5/118</f>
        <v>0.94915254237288138</v>
      </c>
      <c r="H26" s="82" t="s">
        <v>224</v>
      </c>
    </row>
    <row r="27" spans="2:18" ht="15.75" thickBot="1" x14ac:dyDescent="0.3">
      <c r="F27" s="80" t="s">
        <v>230</v>
      </c>
      <c r="G27" s="81">
        <f>5*32/88.1</f>
        <v>1.8161180476730989</v>
      </c>
      <c r="H27" s="82" t="s">
        <v>224</v>
      </c>
      <c r="O27" s="49"/>
    </row>
    <row r="28" spans="2:18" x14ac:dyDescent="0.25">
      <c r="O28" s="50"/>
    </row>
    <row r="29" spans="2:18" x14ac:dyDescent="0.25">
      <c r="O29" s="50"/>
    </row>
    <row r="30" spans="2:18" x14ac:dyDescent="0.25">
      <c r="B30" s="27" t="s">
        <v>148</v>
      </c>
      <c r="C30" s="28" t="s">
        <v>149</v>
      </c>
      <c r="D30" s="33">
        <v>0.1</v>
      </c>
      <c r="E30" s="27" t="s">
        <v>102</v>
      </c>
      <c r="I30" s="39"/>
      <c r="O30" s="50"/>
    </row>
    <row r="31" spans="2:18" x14ac:dyDescent="0.25">
      <c r="B31" s="27" t="s">
        <v>147</v>
      </c>
      <c r="C31" s="28" t="s">
        <v>150</v>
      </c>
      <c r="D31" s="33">
        <v>15</v>
      </c>
      <c r="E31" s="27" t="s">
        <v>157</v>
      </c>
      <c r="I31" s="39"/>
    </row>
    <row r="32" spans="2:18" ht="15.75" thickBot="1" x14ac:dyDescent="0.3">
      <c r="I32" s="36"/>
    </row>
    <row r="33" spans="2:9" x14ac:dyDescent="0.25">
      <c r="B33" s="51" t="s">
        <v>180</v>
      </c>
      <c r="C33" s="52"/>
      <c r="D33" s="52" t="s">
        <v>181</v>
      </c>
      <c r="E33" s="53"/>
      <c r="F33" s="52"/>
      <c r="G33" s="52"/>
      <c r="H33" s="52"/>
      <c r="I33" s="53"/>
    </row>
    <row r="34" spans="2:9" x14ac:dyDescent="0.25">
      <c r="B34" s="54">
        <v>1.2</v>
      </c>
      <c r="C34" s="36" t="s">
        <v>174</v>
      </c>
      <c r="D34" s="36">
        <v>2.4E-2</v>
      </c>
      <c r="E34" s="55" t="s">
        <v>95</v>
      </c>
      <c r="F34" s="36"/>
      <c r="G34" s="36"/>
      <c r="H34" s="36"/>
      <c r="I34" s="55"/>
    </row>
    <row r="35" spans="2:9" x14ac:dyDescent="0.25">
      <c r="B35" s="54">
        <v>15</v>
      </c>
      <c r="C35" s="36" t="s">
        <v>191</v>
      </c>
      <c r="D35" s="36">
        <v>124.04847756411785</v>
      </c>
      <c r="E35" s="55" t="s">
        <v>192</v>
      </c>
      <c r="F35" s="36"/>
      <c r="G35" s="36"/>
      <c r="H35" s="36"/>
      <c r="I35" s="55"/>
    </row>
    <row r="36" spans="2:9" x14ac:dyDescent="0.25">
      <c r="B36" s="54">
        <f>B34*B35</f>
        <v>18</v>
      </c>
      <c r="C36" s="36" t="s">
        <v>190</v>
      </c>
      <c r="D36" s="36">
        <v>3</v>
      </c>
      <c r="E36" s="55" t="s">
        <v>182</v>
      </c>
      <c r="F36" s="36"/>
      <c r="G36" s="36"/>
      <c r="H36" s="36"/>
      <c r="I36" s="55"/>
    </row>
    <row r="37" spans="2:9" ht="15.75" thickBot="1" x14ac:dyDescent="0.3">
      <c r="B37" s="58"/>
      <c r="C37" s="59"/>
      <c r="D37" s="59">
        <f>D35*D34*D36</f>
        <v>8.9314903846164846</v>
      </c>
      <c r="E37" s="60" t="s">
        <v>190</v>
      </c>
      <c r="F37" s="58"/>
      <c r="G37" s="59"/>
      <c r="H37" s="59"/>
      <c r="I37" s="60"/>
    </row>
    <row r="38" spans="2:9" x14ac:dyDescent="0.25">
      <c r="B38" s="54"/>
      <c r="C38" s="36"/>
      <c r="D38" s="36"/>
      <c r="E38" s="36"/>
      <c r="F38" s="36"/>
      <c r="G38" s="36"/>
      <c r="H38" s="36"/>
      <c r="I38" s="55"/>
    </row>
    <row r="39" spans="2:9" x14ac:dyDescent="0.25">
      <c r="B39" s="54" t="s">
        <v>183</v>
      </c>
      <c r="C39" s="36"/>
      <c r="D39" s="36"/>
      <c r="E39" s="36" t="s">
        <v>188</v>
      </c>
      <c r="F39" s="36"/>
      <c r="G39" s="36"/>
      <c r="H39" s="36" t="s">
        <v>186</v>
      </c>
      <c r="I39" s="55"/>
    </row>
    <row r="40" spans="2:9" x14ac:dyDescent="0.25">
      <c r="B40" s="54">
        <f>D37+B36</f>
        <v>26.931490384616485</v>
      </c>
      <c r="C40" s="36" t="s">
        <v>190</v>
      </c>
      <c r="D40" s="36" t="s">
        <v>184</v>
      </c>
      <c r="E40" s="56">
        <f>B43*D41</f>
        <v>0.28044871794872939</v>
      </c>
      <c r="F40" s="36" t="s">
        <v>185</v>
      </c>
      <c r="G40" s="36" t="s">
        <v>189</v>
      </c>
      <c r="H40" s="56">
        <f>E40*G41</f>
        <v>0.18696581196581957</v>
      </c>
      <c r="I40" s="55" t="s">
        <v>185</v>
      </c>
    </row>
    <row r="41" spans="2:9" x14ac:dyDescent="0.25">
      <c r="B41" s="54">
        <f>B40/1.067</f>
        <v>25.240384615385647</v>
      </c>
      <c r="C41" s="36" t="s">
        <v>160</v>
      </c>
      <c r="D41" s="57">
        <v>2</v>
      </c>
      <c r="E41" s="36">
        <v>90</v>
      </c>
      <c r="F41" s="36" t="s">
        <v>176</v>
      </c>
      <c r="G41" s="36">
        <f>2/3</f>
        <v>0.66666666666666663</v>
      </c>
      <c r="H41" s="36">
        <v>112.32</v>
      </c>
      <c r="I41" s="55" t="s">
        <v>177</v>
      </c>
    </row>
    <row r="42" spans="2:9" x14ac:dyDescent="0.25">
      <c r="B42" s="54">
        <v>180</v>
      </c>
      <c r="C42" s="36" t="s">
        <v>176</v>
      </c>
      <c r="D42" s="36"/>
      <c r="E42" s="36"/>
      <c r="F42" s="36"/>
      <c r="G42" s="36"/>
      <c r="H42" s="36">
        <f>H41*H40</f>
        <v>21.000000000000853</v>
      </c>
      <c r="I42" s="55" t="s">
        <v>190</v>
      </c>
    </row>
    <row r="43" spans="2:9" x14ac:dyDescent="0.25">
      <c r="B43" s="54">
        <f>B41/B42</f>
        <v>0.14022435897436469</v>
      </c>
      <c r="C43" s="36" t="s">
        <v>185</v>
      </c>
      <c r="D43" s="36"/>
      <c r="E43" s="36"/>
      <c r="F43" s="36"/>
      <c r="G43" s="36"/>
      <c r="H43" s="36" t="s">
        <v>187</v>
      </c>
      <c r="I43" s="55"/>
    </row>
    <row r="44" spans="2:9" ht="15.75" thickBot="1" x14ac:dyDescent="0.3">
      <c r="B44" s="58"/>
      <c r="C44" s="59"/>
      <c r="D44" s="59"/>
      <c r="E44" s="59"/>
      <c r="F44" s="59"/>
      <c r="G44" s="59"/>
      <c r="H44" s="59">
        <f>2*(1.3+1.324+1.348+1.372)*2</f>
        <v>21.376000000000001</v>
      </c>
      <c r="I44" s="60" t="s">
        <v>190</v>
      </c>
    </row>
    <row r="45" spans="2:9" x14ac:dyDescent="0.25">
      <c r="H45">
        <f>8*2*1.3</f>
        <v>20.8</v>
      </c>
    </row>
    <row r="47" spans="2:9" ht="15.75" thickBot="1" x14ac:dyDescent="0.3"/>
    <row r="48" spans="2:9" x14ac:dyDescent="0.25">
      <c r="C48" s="51" t="s">
        <v>193</v>
      </c>
      <c r="D48" s="52">
        <v>15</v>
      </c>
      <c r="E48" s="53" t="s">
        <v>190</v>
      </c>
      <c r="F48" s="51" t="s">
        <v>200</v>
      </c>
      <c r="G48" s="52">
        <v>2</v>
      </c>
      <c r="H48" s="53" t="s">
        <v>198</v>
      </c>
    </row>
    <row r="49" spans="3:8" x14ac:dyDescent="0.25">
      <c r="C49" s="54" t="s">
        <v>194</v>
      </c>
      <c r="D49" s="61">
        <v>200</v>
      </c>
      <c r="E49" s="55" t="s">
        <v>192</v>
      </c>
      <c r="F49" s="54" t="s">
        <v>174</v>
      </c>
      <c r="G49" s="36">
        <v>1.3</v>
      </c>
      <c r="H49" s="55" t="s">
        <v>95</v>
      </c>
    </row>
    <row r="50" spans="3:8" x14ac:dyDescent="0.25">
      <c r="C50" s="54" t="s">
        <v>96</v>
      </c>
      <c r="D50" s="36">
        <f>3*0.024</f>
        <v>7.2000000000000008E-2</v>
      </c>
      <c r="E50" s="55" t="s">
        <v>95</v>
      </c>
      <c r="F50" s="54" t="s">
        <v>201</v>
      </c>
      <c r="G50" s="36">
        <f>2*4</f>
        <v>8</v>
      </c>
      <c r="H50" s="55" t="s">
        <v>163</v>
      </c>
    </row>
    <row r="51" spans="3:8" x14ac:dyDescent="0.25">
      <c r="C51" s="54" t="s">
        <v>195</v>
      </c>
      <c r="D51" s="36">
        <f>D48+D49*D50</f>
        <v>29.400000000000002</v>
      </c>
      <c r="E51" s="55" t="s">
        <v>196</v>
      </c>
      <c r="F51" s="54" t="s">
        <v>199</v>
      </c>
      <c r="G51" s="36">
        <f>G48*(1.3+1.324+1.348+1.372)*2</f>
        <v>21.376000000000001</v>
      </c>
      <c r="H51" s="55"/>
    </row>
    <row r="52" spans="3:8" ht="15.75" thickBot="1" x14ac:dyDescent="0.3">
      <c r="C52" s="58"/>
      <c r="D52" s="59">
        <f>D51*0.72</f>
        <v>21.167999999999999</v>
      </c>
      <c r="E52" s="60" t="s">
        <v>197</v>
      </c>
      <c r="F52" s="58"/>
      <c r="G52" s="59"/>
      <c r="H52" s="60"/>
    </row>
    <row r="55" spans="3:8" ht="15.75" thickBot="1" x14ac:dyDescent="0.3">
      <c r="C55" t="s">
        <v>202</v>
      </c>
    </row>
    <row r="56" spans="3:8" x14ac:dyDescent="0.25">
      <c r="C56" s="51" t="s">
        <v>193</v>
      </c>
      <c r="D56" s="52">
        <v>15</v>
      </c>
      <c r="E56" s="53" t="s">
        <v>190</v>
      </c>
      <c r="F56" s="51" t="s">
        <v>200</v>
      </c>
      <c r="G56" s="52">
        <v>2</v>
      </c>
      <c r="H56" s="53" t="s">
        <v>198</v>
      </c>
    </row>
    <row r="57" spans="3:8" x14ac:dyDescent="0.25">
      <c r="C57" s="54" t="s">
        <v>194</v>
      </c>
      <c r="D57" s="61">
        <v>150</v>
      </c>
      <c r="E57" s="55" t="s">
        <v>192</v>
      </c>
      <c r="F57" s="54" t="s">
        <v>174</v>
      </c>
      <c r="G57" s="36">
        <v>1.3</v>
      </c>
      <c r="H57" s="55" t="s">
        <v>95</v>
      </c>
    </row>
    <row r="58" spans="3:8" x14ac:dyDescent="0.25">
      <c r="C58" s="54" t="s">
        <v>96</v>
      </c>
      <c r="D58" s="36">
        <f>3*0.024</f>
        <v>7.2000000000000008E-2</v>
      </c>
      <c r="E58" s="55" t="s">
        <v>95</v>
      </c>
      <c r="F58" s="54" t="s">
        <v>201</v>
      </c>
      <c r="G58" s="36">
        <f>2*4</f>
        <v>8</v>
      </c>
      <c r="H58" s="55" t="s">
        <v>163</v>
      </c>
    </row>
    <row r="59" spans="3:8" x14ac:dyDescent="0.25">
      <c r="C59" s="54" t="s">
        <v>195</v>
      </c>
      <c r="D59" s="36">
        <f>D56+D57*D58 *0.72</f>
        <v>22.776</v>
      </c>
      <c r="E59" s="55" t="s">
        <v>197</v>
      </c>
      <c r="F59" s="54" t="s">
        <v>199</v>
      </c>
      <c r="G59" s="36">
        <f>G56*G57*G58</f>
        <v>20.8</v>
      </c>
    </row>
    <row r="60" spans="3:8" x14ac:dyDescent="0.25">
      <c r="C60" s="62" t="s">
        <v>203</v>
      </c>
      <c r="D60">
        <f>1.3*0.3*8*0.7346</f>
        <v>2.2919520000000002</v>
      </c>
      <c r="E60" s="62" t="s">
        <v>197</v>
      </c>
    </row>
    <row r="61" spans="3:8" x14ac:dyDescent="0.25">
      <c r="H61" s="55"/>
    </row>
    <row r="62" spans="3:8" ht="15.75" thickBot="1" x14ac:dyDescent="0.3">
      <c r="C62" s="58"/>
      <c r="D62" s="59">
        <f>D59-D60</f>
        <v>20.484048000000001</v>
      </c>
      <c r="E62" s="60" t="s">
        <v>197</v>
      </c>
      <c r="F62" s="58"/>
      <c r="G62" s="59"/>
      <c r="H62" s="60"/>
    </row>
    <row r="65" spans="1:3" x14ac:dyDescent="0.25">
      <c r="A65">
        <v>1</v>
      </c>
      <c r="B65" t="s">
        <v>174</v>
      </c>
    </row>
    <row r="66" spans="1:3" ht="18.75" x14ac:dyDescent="0.3">
      <c r="A66">
        <v>2</v>
      </c>
      <c r="B66" s="9" t="s">
        <v>90</v>
      </c>
      <c r="C66" s="9" t="s">
        <v>91</v>
      </c>
    </row>
    <row r="67" spans="1:3" ht="18.75" x14ac:dyDescent="0.3">
      <c r="A67">
        <v>3</v>
      </c>
      <c r="B67" s="9" t="s">
        <v>69</v>
      </c>
      <c r="C67" s="9" t="s">
        <v>99</v>
      </c>
    </row>
    <row r="68" spans="1:3" ht="18.75" x14ac:dyDescent="0.3">
      <c r="A68">
        <v>4</v>
      </c>
      <c r="B68" s="9" t="s">
        <v>115</v>
      </c>
      <c r="C68" s="9" t="s">
        <v>119</v>
      </c>
    </row>
    <row r="69" spans="1:3" ht="18.75" x14ac:dyDescent="0.3">
      <c r="A69">
        <v>5</v>
      </c>
      <c r="B69" s="9" t="s">
        <v>1</v>
      </c>
      <c r="C69" s="9" t="s">
        <v>98</v>
      </c>
    </row>
    <row r="70" spans="1:3" ht="18.75" x14ac:dyDescent="0.3">
      <c r="A70">
        <v>6</v>
      </c>
      <c r="B70" s="9" t="s">
        <v>2</v>
      </c>
      <c r="C70" s="9" t="s">
        <v>100</v>
      </c>
    </row>
    <row r="71" spans="1:3" ht="18.75" x14ac:dyDescent="0.3">
      <c r="A71">
        <v>7</v>
      </c>
      <c r="B71" s="9" t="s">
        <v>3</v>
      </c>
      <c r="C71" s="9" t="s">
        <v>4</v>
      </c>
    </row>
    <row r="72" spans="1:3" ht="18.75" x14ac:dyDescent="0.3">
      <c r="A72">
        <v>8</v>
      </c>
      <c r="B72" s="9" t="s">
        <v>5</v>
      </c>
      <c r="C72" s="9" t="s">
        <v>6</v>
      </c>
    </row>
    <row r="73" spans="1:3" ht="18.75" x14ac:dyDescent="0.3">
      <c r="A73">
        <v>9</v>
      </c>
      <c r="B73" s="9" t="s">
        <v>7</v>
      </c>
      <c r="C73" s="9" t="s">
        <v>8</v>
      </c>
    </row>
    <row r="74" spans="1:3" ht="18.75" x14ac:dyDescent="0.3">
      <c r="A74">
        <v>10</v>
      </c>
      <c r="B74" s="9" t="s">
        <v>9</v>
      </c>
      <c r="C74" s="9" t="s">
        <v>101</v>
      </c>
    </row>
    <row r="75" spans="1:3" ht="18.75" x14ac:dyDescent="0.3">
      <c r="A75">
        <v>11</v>
      </c>
      <c r="B75" s="9" t="s">
        <v>10</v>
      </c>
      <c r="C75" s="9" t="s">
        <v>11</v>
      </c>
    </row>
    <row r="76" spans="1:3" ht="18.75" x14ac:dyDescent="0.3">
      <c r="A76">
        <v>12</v>
      </c>
      <c r="B76" s="9" t="s">
        <v>71</v>
      </c>
      <c r="C76" s="9" t="s">
        <v>73</v>
      </c>
    </row>
    <row r="77" spans="1:3" ht="18.75" x14ac:dyDescent="0.3">
      <c r="A77">
        <v>13</v>
      </c>
      <c r="B77" s="9" t="s">
        <v>12</v>
      </c>
      <c r="C77" s="9" t="s">
        <v>13</v>
      </c>
    </row>
    <row r="78" spans="1:3" ht="18.75" x14ac:dyDescent="0.3">
      <c r="A78">
        <v>14</v>
      </c>
      <c r="B78" s="9" t="s">
        <v>14</v>
      </c>
      <c r="C78" s="9" t="s">
        <v>15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Compounds</vt:lpstr>
      <vt:lpstr>Parameters</vt:lpstr>
      <vt:lpstr>ParametersOriginal</vt:lpstr>
      <vt:lpstr>parametersCoCulture</vt:lpstr>
      <vt:lpstr>Stoichiometry</vt:lpstr>
      <vt:lpstr>StoichiometryBacillus</vt:lpstr>
      <vt:lpstr>StoichiometryCoCulture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VAN DER HAUWAERT LUCAS</cp:lastModifiedBy>
  <cp:lastPrinted>2019-09-10T12:24:14Z</cp:lastPrinted>
  <dcterms:created xsi:type="dcterms:W3CDTF">2014-11-02T18:18:11Z</dcterms:created>
  <dcterms:modified xsi:type="dcterms:W3CDTF">2022-02-23T09:56:04Z</dcterms:modified>
</cp:coreProperties>
</file>