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2E0E0963-1754-4464-B760-5037A6D8F569}" xr6:coauthVersionLast="47" xr6:coauthVersionMax="47" xr10:uidLastSave="{00000000-0000-0000-0000-000000000000}"/>
  <bookViews>
    <workbookView xWindow="-18180" yWindow="1020" windowWidth="16000" windowHeight="8390" tabRatio="736" firstSheet="14" activeTab="23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Uncertainty_test_idea" sheetId="136" state="hidden" r:id="rId17"/>
    <sheet name="Uncertainty_old" sheetId="138" state="hidden" r:id="rId18"/>
    <sheet name="CHP (700)" sheetId="152" r:id="rId19"/>
    <sheet name="Composting (800)" sheetId="148" r:id="rId20"/>
    <sheet name="DataBank" sheetId="12" state="hidden" r:id="rId21"/>
    <sheet name="Systemblatt" sheetId="14" r:id="rId22"/>
    <sheet name="Pools" sheetId="114" r:id="rId23"/>
    <sheet name="Uncertainty" sheetId="14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0" i="166" l="1"/>
  <c r="M125" i="115"/>
  <c r="M126" i="115"/>
  <c r="J128" i="115"/>
  <c r="I171" i="115"/>
  <c r="I172" i="115" s="1"/>
  <c r="I170" i="115"/>
  <c r="L3" i="115"/>
  <c r="V27" i="144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10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<sst xmlns="http://schemas.openxmlformats.org/spreadsheetml/2006/main" count="3590" uniqueCount="662">
  <si>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</si>
  <si>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</si>
  <si>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</si>
  <si>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</si>
  <si>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</si>
  <si>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</si>
  <si>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</si>
  <si>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</si>
  <si>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</si>
  <si>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</si>
  <si>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</si>
  <si>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</si>
  <si>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</si>
  <si>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</si>
  <si>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</si>
  <si>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</si>
  <si>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</si>
  <si>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</si>
  <si>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</si>
  <si>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</si>
  <si>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</si>
  <si>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</si>
  <si>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</si>
  <si>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</si>
  <si>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</si>
  <si>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</si>
  <si>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</si>
  <si>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</si>
  <si>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</si>
  <si>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</si>
  <si>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</si>
  <si>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</si>
  <si>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</si>
  <si>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</si>
  <si>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</si>
  <si>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</si>
  <si>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</si>
  <si>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</si>
  <si>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</si>
  <si>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</si>
  <si>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</si>
  <si>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</si>
  <si>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</si>
  <si>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</si>
  <si>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</si>
  <si>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</si>
  <si>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</si>
  <si>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</si>
  <si>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</si>
  <si>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</si>
  <si>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</si>
  <si>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</si>
  <si>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</si>
  <si>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</si>
  <si>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</si>
  <si>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</si>
  <si>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</si>
  <si>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</si>
  <si>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</si>
  <si>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</si>
  <si>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</si>
  <si>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</si>
  <si>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</si>
  <si>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</si>
  <si>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</si>
  <si>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</si>
  <si>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</si>
  <si>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</si>
  <si>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</si>
  <si>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</si>
  <si>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</si>
  <si>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</si>
  <si>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</si>
  <si>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</si>
  <si>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</si>
  <si>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</si>
  <si>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</si>
  <si>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</si>
  <si>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</si>
  <si>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</si>
  <si>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</si>
  <si>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</si>
  <si>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</si>
  <si>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</si>
  <si>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</si>
  <si>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</si>
  <si>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</si>
  <si>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</si>
  <si>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</si>
  <si>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</si>
  <si>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</si>
  <si>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</si>
  <si>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</si>
  <si>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</si>
  <si>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</si>
  <si>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</si>
  <si>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</si>
  <si>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</si>
  <si>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</si>
  <si>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</si>
  <si>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</si>
  <si>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</si>
  <si>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</si>
  <si>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</si>
  <si>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</si>
  <si>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</si>
  <si>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</si>
  <si>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</si>
  <si>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</si>
  <si>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</si>
  <si>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</si>
  <si>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</si>
  <si>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</si>
  <si>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</si>
  <si>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</si>
  <si>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</si>
  <si>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</si>
  <si>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</si>
  <si>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</si>
  <si>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</si>
  <si>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</si>
  <si>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</si>
  <si>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</si>
  <si>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</si>
  <si>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</si>
  <si>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</si>
  <si>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</si>
  <si>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</si>
  <si>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</si>
  <si>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</si>
  <si>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</si>
  <si>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</si>
  <si>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</si>
  <si>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</si>
  <si>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</si>
  <si>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</si>
  <si>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</si>
  <si>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</si>
  <si>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</si>
  <si>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</si>
  <si>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</si>
  <si>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</si>
  <si>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</si>
  <si>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</si>
  <si>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</si>
  <si>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</si>
  <si>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</si>
  <si>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</si>
  <si>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</si>
  <si>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</si>
  <si>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</si>
  <si>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</si>
  <si>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</si>
  <si>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</si>
  <si>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</si>
  <si>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</si>
  <si>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</si>
  <si>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</si>
  <si>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</si>
  <si>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</si>
  <si>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</si>
  <si>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</si>
  <si>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</si>
  <si>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</si>
  <si>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</si>
  <si>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</si>
  <si>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</si>
  <si>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</si>
  <si>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</si>
  <si>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</si>
  <si>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</si>
  <si>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</si>
  <si>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</si>
  <si>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</si>
  <si>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</si>
  <si>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</si>
  <si>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</si>
  <si>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</si>
  <si>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</si>
  <si>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</si>
  <si>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</si>
  <si>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</si>
  <si>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</si>
  <si>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</si>
  <si>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</si>
  <si>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</si>
  <si>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</si>
  <si>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</si>
  <si>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</si>
  <si>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</si>
  <si>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</si>
  <si>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</si>
  <si>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</si>
  <si>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</si>
  <si>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</si>
  <si>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</si>
  <si>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</si>
  <si>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</si>
  <si>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</si>
  <si>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</si>
  <si>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</si>
  <si>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</si>
  <si>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</si>
  <si>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</si>
  <si>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</si>
  <si>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</si>
  <si>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</si>
  <si>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</si>
  <si>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</si>
  <si>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</si>
  <si>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</si>
  <si>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</si>
  <si>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</si>
  <si>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</si>
  <si>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</si>
  <si>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</si>
  <si>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</si>
  <si>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</si>
  <si>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</si>
  <si>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</si>
  <si>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</si>
  <si>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</si>
  <si>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</si>
  <si>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</si>
  <si>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</si>
  <si>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</si>
  <si>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</si>
  <si>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</si>
  <si>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</si>
  <si>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</si>
  <si>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</si>
  <si>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</si>
  <si>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</si>
  <si>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</si>
  <si>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</si>
  <si>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</si>
  <si>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</si>
  <si>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</si>
  <si>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</si>
  <si>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</si>
  <si>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</si>
  <si>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</si>
  <si>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</si>
  <si>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</si>
  <si>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</si>
  <si>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</si>
  <si>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</si>
  <si>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</si>
  <si>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</si>
  <si>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</si>
  <si>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</si>
  <si>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</si>
  <si>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</si>
  <si>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</si>
  <si>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</si>
  <si>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</si>
  <si>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</si>
  <si>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</si>
  <si>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</si>
  <si>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</si>
  <si>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</si>
  <si>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</si>
  <si>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</si>
  <si>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</si>
  <si>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</si>
  <si>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</si>
  <si>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</si>
  <si>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</si>
  <si>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</si>
  <si>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</si>
  <si>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</si>
  <si>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</si>
  <si>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</si>
  <si>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</si>
  <si>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</si>
  <si>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</si>
  <si>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</si>
  <si>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</si>
  <si>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</si>
  <si>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</si>
  <si>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</si>
  <si>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</si>
  <si>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</si>
  <si>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</si>
  <si>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</si>
  <si>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</si>
  <si>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</si>
  <si>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</si>
  <si>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</si>
  <si>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</si>
  <si>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</si>
  <si>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</si>
  <si>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</si>
  <si>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</si>
  <si>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</si>
  <si>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</si>
  <si>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</si>
  <si>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</si>
  <si>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</si>
  <si>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</si>
  <si>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</si>
  <si>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</si>
  <si>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</si>
  <si>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</si>
  <si>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</si>
  <si>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</si>
  <si>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</si>
  <si>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</si>
  <si>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</si>
  <si>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</si>
  <si>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</si>
  <si>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</si>
  <si>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</si>
  <si>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</si>
  <si>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</si>
  <si>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</si>
  <si>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</si>
  <si>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</si>
  <si>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</si>
  <si>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</si>
  <si>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</si>
  <si>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</si>
  <si>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</si>
  <si>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</si>
  <si>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</si>
  <si>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</si>
  <si>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</si>
  <si>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</si>
  <si>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</si>
  <si>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</si>
  <si>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</si>
  <si>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</si>
  <si>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</si>
  <si>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</si>
  <si>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</si>
  <si>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</si>
  <si>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</si>
  <si>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</si>
  <si>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</si>
  <si>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</si>
  <si>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</si>
  <si>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</si>
  <si>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</si>
  <si>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</si>
  <si>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</si>
  <si>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</si>
  <si>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</si>
  <si>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</si>
  <si>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</si>
  <si>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</si>
  <si>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</si>
  <si>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</si>
  <si>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</si>
  <si>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</si>
  <si>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</si>
  <si>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</si>
  <si>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</si>
  <si>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</si>
  <si>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</si>
  <si>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</si>
  <si>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</si>
  <si>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</si>
  <si>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</si>
  <si>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</si>
  <si>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</si>
  <si>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</si>
  <si>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</si>
  <si>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</si>
  <si>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</si>
  <si>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</si>
  <si>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</si>
  <si>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</si>
  <si>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</si>
  <si>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</si>
  <si>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</si>
  <si>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</si>
  <si>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</si>
  <si>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</si>
  <si>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</si>
  <si>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</si>
  <si>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</si>
  <si>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</si>
  <si>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</si>
  <si>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</si>
  <si>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</si>
  <si>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</si>
  <si>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</si>
  <si>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</si>
  <si>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</si>
  <si>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</si>
  <si>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</si>
  <si>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</si>
  <si>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</si>
  <si>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</si>
  <si>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</si>
  <si>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</si>
  <si>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</si>
  <si>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</si>
  <si>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</si>
  <si>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</si>
  <si>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</si>
  <si>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</si>
  <si>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</si>
  <si>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</si>
  <si>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</si>
  <si>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</si>
  <si>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</si>
  <si>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</si>
  <si>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</si>
  <si>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</si>
  <si>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</si>
  <si>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</si>
  <si>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</si>
  <si>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</si>
  <si>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</si>
  <si>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</si>
  <si>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</si>
  <si>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</si>
  <si>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</si>
  <si>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</si>
  <si>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</si>
  <si>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</si>
  <si>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</si>
  <si>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</si>
  <si>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</si>
  <si>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</si>
  <si>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</si>
  <si>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</si>
  <si>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</si>
  <si>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</si>
  <si>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</si>
  <si>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</si>
  <si>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</si>
  <si>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</si>
  <si>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</si>
  <si>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</si>
  <si>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</si>
  <si>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</si>
  <si>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</si>
  <si>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</si>
  <si>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</si>
  <si>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</si>
  <si>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</si>
  <si>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</si>
  <si>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</si>
  <si>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</si>
  <si>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</si>
  <si>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</si>
  <si>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</si>
  <si>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</si>
  <si>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</si>
  <si>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</si>
  <si>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</si>
  <si>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</si>
  <si>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</si>
  <si>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</si>
  <si>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</si>
  <si>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</si>
  <si>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</si>
  <si>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</si>
  <si>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</si>
  <si>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</si>
  <si>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</si>
  <si>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</si>
  <si>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</si>
  <si>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</si>
  <si>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</si>
  <si>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</si>
  <si>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</si>
  <si>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</si>
  <si>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</si>
  <si>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</si>
  <si>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</si>
  <si>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</si>
  <si>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</si>
  <si>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</si>
  <si>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</si>
  <si>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</si>
  <si>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</si>
  <si>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</si>
  <si>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</si>
  <si>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</si>
  <si>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</si>
  <si>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</si>
  <si>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</si>
  <si>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</si>
  <si>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</si>
  <si>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</si>
  <si>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</si>
  <si>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</si>
  <si>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</si>
  <si>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</si>
  <si>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</si>
  <si>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</si>
  <si>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</si>
  <si>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</si>
  <si>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</si>
  <si>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</si>
  <si>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</si>
  <si>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</si>
  <si>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</si>
  <si>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</si>
  <si>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</si>
  <si>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</si>
  <si>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</si>
  <si>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</si>
  <si>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</si>
  <si>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</si>
  <si>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</si>
  <si>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</si>
  <si>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</si>
  <si>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</si>
  <si>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</si>
  <si>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</si>
  <si>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</si>
  <si>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</si>
  <si>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</si>
  <si>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</si>
  <si>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</si>
  <si>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</si>
  <si>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</si>
  <si>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</si>
  <si>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</si>
  <si>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</si>
  <si>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</si>
  <si>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</si>
  <si>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</si>
  <si>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</si>
  <si>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</si>
  <si>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</si>
  <si>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</si>
  <si>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</si>
  <si>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</si>
  <si>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</si>
  <si>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</si>
  <si>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</si>
  <si>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</si>
  <si>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</si>
  <si>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</si>
  <si>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</si>
  <si>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</si>
  <si>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</si>
  <si>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</si>
  <si>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</si>
  <si>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</si>
  <si>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</si>
  <si>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</si>
  <si>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</si>
  <si>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</si>
  <si>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</si>
  <si>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</si>
  <si>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</si>
  <si>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</si>
  <si>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</si>
  <si>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</si>
  <si>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</si>
  <si>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</si>
  <si>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</si>
  <si>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</si>
  <si>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</si>
  <si>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</si>
  <si>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</si>
  <si>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</si>
  <si>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</si>
  <si>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</si>
  <si>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</si>
  <si>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</si>
  <si>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</si>
  <si>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</si>
  <si>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</si>
  <si>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</si>
  <si>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</si>
  <si>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</si>
  <si>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</si>
  <si>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</si>
  <si>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</si>
  <si>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</si>
  <si>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</si>
  <si>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</si>
  <si>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</si>
  <si>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</si>
  <si>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</si>
  <si>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</si>
  <si>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</si>
  <si>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</si>
  <si>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</si>
  <si>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</si>
  <si>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</si>
  <si>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</si>
  <si>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</si>
  <si>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</si>
  <si>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</si>
  <si>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</si>
  <si>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</si>
  <si>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</si>
  <si>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</si>
  <si>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</si>
  <si>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</si>
  <si>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</si>
  <si>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</si>
  <si>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</si>
  <si>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</si>
  <si>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</si>
  <si>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</si>
  <si>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</si>
  <si>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</si>
  <si>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</si>
  <si>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</si>
  <si>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</si>
  <si>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</si>
  <si>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</si>
  <si>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</si>
  <si>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</si>
  <si>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</si>
  <si>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</si>
  <si>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</si>
  <si>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</si>
  <si>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</si>
  <si>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</si>
  <si>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</si>
  <si>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</si>
  <si>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</si>
  <si>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</si>
  <si>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</si>
  <si>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</si>
  <si>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</si>
  <si>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</si>
  <si>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</si>
  <si>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</si>
  <si>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</si>
  <si>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</si>
  <si>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</si>
  <si>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</si>
  <si>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</si>
  <si>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</si>
  <si>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</si>
  <si>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</si>
  <si>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</si>
  <si>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</si>
  <si>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</si>
  <si>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</si>
  <si>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</si>
  <si>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</si>
  <si>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</si>
  <si>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</si>
  <si>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</si>
  <si>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</si>
  <si>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MCF stoich starch (400)</t>
  </si>
  <si>
    <t>MCF stoich sugar (400)</t>
  </si>
  <si>
    <t>Filtration (438)</t>
  </si>
  <si>
    <t>spraydryer (490)</t>
  </si>
  <si>
    <t xml:space="preserve">electricity </t>
  </si>
  <si>
    <t>Lysol costs</t>
  </si>
  <si>
    <t>ALTERNATIVE LY</t>
  </si>
  <si>
    <t>Amylase enzyme - 1 lb. (northernbrewer.com)</t>
  </si>
  <si>
    <t>$/lb</t>
  </si>
  <si>
    <t>€/lb</t>
  </si>
  <si>
    <t>€/kg</t>
  </si>
  <si>
    <t>SEEMS much more realistic</t>
  </si>
  <si>
    <t>PHA recovery Tank</t>
  </si>
  <si>
    <t>MCF stoi starch (400)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</si>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</sst>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5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73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48" fillId="5" borderId="2" xfId="0" applyFont="1" applyFill="1" applyBorder="1" applyAlignment="1">
      <alignment horizontal="left"/>
    </xf>
    <xf numFmtId="0" fontId="48" fillId="0" borderId="2" xfId="0" applyFont="1" applyBorder="1" applyAlignment="1">
      <alignment horizontal="left"/>
    </xf>
    <xf numFmtId="0" fontId="48" fillId="5" borderId="28" xfId="0" applyFont="1" applyFill="1" applyBorder="1"/>
    <xf numFmtId="0" fontId="48" fillId="0" borderId="0" xfId="0" applyFont="1"/>
    <xf numFmtId="0" fontId="48" fillId="5" borderId="28" xfId="0" applyFont="1" applyFill="1" applyBorder="1" applyAlignment="1">
      <alignment horizontal="center"/>
    </xf>
    <xf numFmtId="0" fontId="48" fillId="5" borderId="28" xfId="0" applyFont="1" applyFill="1" applyBorder="1" applyAlignment="1">
      <alignment horizontal="center" vertical="center"/>
    </xf>
    <xf numFmtId="2" fontId="48" fillId="5" borderId="28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0" fontId="0" fillId="13" borderId="12" xfId="0" applyFill="1" applyBorder="1"/>
    <xf numFmtId="0" fontId="0" fillId="13" borderId="0" xfId="0" applyFill="1"/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2" fontId="0" fillId="13" borderId="0" xfId="0" applyNumberFormat="1" applyFill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  <xf numFmtId="0" fontId="15" fillId="21" borderId="13" xfId="0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49" fillId="5" borderId="2" xfId="0" applyFont="1" applyFill="1" applyBorder="1"/>
    <xf numFmtId="0" fontId="49" fillId="5" borderId="2" xfId="0" applyFont="1" applyFill="1" applyBorder="1" applyAlignment="1">
      <alignment horizontal="center"/>
    </xf>
    <xf numFmtId="0" fontId="49" fillId="5" borderId="2" xfId="0" applyFont="1" applyFill="1" applyBorder="1" applyAlignment="1">
      <alignment horizontal="center" vertical="center"/>
    </xf>
    <xf numFmtId="2" fontId="49" fillId="5" borderId="2" xfId="0" applyNumberFormat="1" applyFont="1" applyFill="1" applyBorder="1" applyAlignment="1">
      <alignment horizontal="center"/>
    </xf>
    <xf numFmtId="0" fontId="49" fillId="5" borderId="2" xfId="0" applyFont="1" applyFill="1" applyBorder="1" applyAlignment="1">
      <alignment horizontal="left"/>
    </xf>
    <xf numFmtId="0" fontId="49" fillId="0" borderId="2" xfId="0" applyFont="1" applyBorder="1" applyAlignment="1">
      <alignment horizontal="left"/>
    </xf>
    <xf numFmtId="0" fontId="49" fillId="5" borderId="28" xfId="0" applyFont="1" applyFill="1" applyBorder="1"/>
    <xf numFmtId="0" fontId="49" fillId="0" borderId="0" xfId="0" applyFont="1"/>
    <xf numFmtId="0" fontId="49" fillId="5" borderId="28" xfId="0" applyFont="1" applyFill="1" applyBorder="1" applyAlignment="1">
      <alignment horizontal="center"/>
    </xf>
    <xf numFmtId="0" fontId="49" fillId="5" borderId="28" xfId="0" applyFont="1" applyFill="1" applyBorder="1" applyAlignment="1">
      <alignment horizontal="center" vertical="center"/>
    </xf>
    <xf numFmtId="2" fontId="49" fillId="5" borderId="28" xfId="0" applyNumberFormat="1" applyFont="1" applyFill="1" applyBorder="1" applyAlignment="1">
      <alignment horizontal="center"/>
    </xf>
    <xf numFmtId="2" fontId="50" fillId="5" borderId="2" xfId="0" applyNumberFormat="1" applyFont="1" applyFill="1" applyBorder="1" applyAlignment="1">
      <alignment horizontal="center"/>
    </xf>
    <xf numFmtId="0" fontId="50" fillId="5" borderId="2" xfId="0" applyFont="1" applyFill="1" applyBorder="1" applyAlignment="1">
      <alignment horizontal="center"/>
    </xf>
    <xf numFmtId="2" fontId="50" fillId="5" borderId="28" xfId="0" applyNumberFormat="1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1.png"/><Relationship Id="rId5" Type="http://schemas.openxmlformats.org/officeDocument/2006/relationships/image" Target="../media/image50.png"/><Relationship Id="rId4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1600332" y="14824710"/>
          <a:ext cx="3867398" cy="1478703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63787</xdr:colOff>
      <xdr:row>14</xdr:row>
      <xdr:rowOff>27135</xdr:rowOff>
    </xdr:from>
    <xdr:to>
      <xdr:col>31</xdr:col>
      <xdr:colOff>1770308</xdr:colOff>
      <xdr:row>20</xdr:row>
      <xdr:rowOff>105835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3263704" y="2895218"/>
          <a:ext cx="4754521" cy="147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Or</a:t>
          </a:r>
          <a:r>
            <a:rPr lang="en-US" sz="1800" baseline="0"/>
            <a:t> Easier still Assumme a final Titer of</a:t>
          </a:r>
        </a:p>
        <a:p>
          <a:r>
            <a:rPr lang="en-US" sz="1800" baseline="0"/>
            <a:t>-&gt; 22 gVFA/kgWater, much more sensible way to add water with less opertunity to fuck up the optimisation problem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482060</xdr:colOff>
      <xdr:row>15</xdr:row>
      <xdr:rowOff>43253</xdr:rowOff>
    </xdr:from>
    <xdr:to>
      <xdr:col>31</xdr:col>
      <xdr:colOff>283577</xdr:colOff>
      <xdr:row>23</xdr:row>
      <xdr:rowOff>211014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899906" y="3325715"/>
          <a:ext cx="4561086" cy="20434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Lets Assume their is enough water coming in from the MCF and that no extra</a:t>
          </a:r>
          <a:r>
            <a:rPr lang="en-US" sz="1200" baseline="0"/>
            <a:t> water needs to be added!</a:t>
          </a:r>
          <a:endParaRPr lang="en-US" sz="1200"/>
        </a:p>
        <a:p>
          <a:endParaRPr lang="en-US" sz="1200"/>
        </a:p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r>
            <a:rPr lang="en-US" sz="1200" baseline="0"/>
            <a:t>Check if this more or less complise 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  <xdr:twoCellAnchor editAs="oneCell">
    <xdr:from>
      <xdr:col>6</xdr:col>
      <xdr:colOff>144518</xdr:colOff>
      <xdr:row>27</xdr:row>
      <xdr:rowOff>26276</xdr:rowOff>
    </xdr:from>
    <xdr:to>
      <xdr:col>10</xdr:col>
      <xdr:colOff>782935</xdr:colOff>
      <xdr:row>41</xdr:row>
      <xdr:rowOff>111346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5B9411-5219-4616-A8F1-D34957034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4828" y="5990897"/>
          <a:ext cx="4895107" cy="300169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6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74294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8439311" y="15463698"/>
          <a:ext cx="4528434" cy="244076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20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2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526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525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5"/>
      <c r="L21" s="5"/>
      <c r="M21" s="229"/>
      <c r="N21" s="228" t="s">
        <v>527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525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T3" zoomScale="58" zoomScaleNormal="58" workbookViewId="0">
      <selection activeCell="AF16" sqref="AF16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562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569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586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525</v>
      </c>
      <c r="AN12" s="488">
        <v>0.7</v>
      </c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525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525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563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55" t="s">
        <v>568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58">
        <v>1</v>
      </c>
      <c r="I58" s="459" t="s">
        <v>567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58">
        <v>30</v>
      </c>
      <c r="I59" s="459" t="s">
        <v>564</v>
      </c>
      <c r="J59" s="459" t="s">
        <v>565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58" t="s">
        <v>566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X1" zoomScale="72" zoomScaleNormal="72" workbookViewId="0">
      <selection activeCell="AF11" sqref="AF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9" t="s">
        <v>75</v>
      </c>
      <c r="T8" s="610"/>
      <c r="U8" s="611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1:44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13</v>
      </c>
      <c r="AC10" s="98" t="s">
        <v>449</v>
      </c>
      <c r="AD10" s="98" t="s">
        <v>12</v>
      </c>
      <c r="AE10" s="98" t="s">
        <v>14</v>
      </c>
      <c r="AF10" s="65">
        <f xml:space="preserve"> 22/1000</f>
        <v>2.1999999999999999E-2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525</v>
      </c>
      <c r="AN13" s="451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525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526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620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619</v>
      </c>
      <c r="AX43" s="30" t="s">
        <v>297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621</v>
      </c>
      <c r="AX44" s="30" t="s">
        <v>453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622</v>
      </c>
      <c r="AX45" s="30" t="s">
        <v>525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623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624</v>
      </c>
      <c r="AX47" s="29" t="s">
        <v>295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525</v>
      </c>
      <c r="AR62" s="447">
        <v>6</v>
      </c>
      <c r="AS62" s="448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560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U7" zoomScale="65" zoomScaleNormal="65" workbookViewId="0">
      <selection activeCell="AC25" sqref="AC2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/>
    <row r="2" spans="3:5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09" t="s">
        <v>7</v>
      </c>
      <c r="AI8" s="610"/>
      <c r="AJ8" s="611"/>
      <c r="AO8" s="82"/>
      <c r="AS8" s="612" t="s">
        <v>5</v>
      </c>
      <c r="AT8" s="613"/>
      <c r="AU8" s="614"/>
      <c r="AV8" s="93"/>
      <c r="AW8" s="507" t="s">
        <v>6</v>
      </c>
      <c r="AX8" s="508"/>
      <c r="AY8" s="509"/>
    </row>
    <row r="9" spans="3:5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/>
      <c r="AC10" s="78"/>
      <c r="AD10" s="133"/>
      <c r="AE10" s="78"/>
      <c r="AF10" s="131"/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8.600000000000001" thickBot="1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525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527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6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6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6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6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559</v>
      </c>
      <c r="AK62" s="11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>
      <c r="H71" s="5"/>
      <c r="I71" s="5"/>
      <c r="J71" s="5"/>
    </row>
    <row r="72" spans="3:41">
      <c r="H72" s="5"/>
      <c r="I72" s="5"/>
      <c r="J72" s="5"/>
    </row>
    <row r="73" spans="3:41">
      <c r="H73" s="5"/>
      <c r="I73" s="5"/>
      <c r="J73" s="5"/>
    </row>
    <row r="74" spans="3:41">
      <c r="H74" s="5"/>
      <c r="I74" s="5"/>
      <c r="J74" s="5"/>
    </row>
    <row r="75" spans="3:41">
      <c r="H75" s="5"/>
      <c r="I75" s="5"/>
      <c r="J75" s="5"/>
    </row>
    <row r="76" spans="3:41">
      <c r="H76" s="5"/>
      <c r="I76" s="5"/>
      <c r="J76" s="5"/>
    </row>
    <row r="77" spans="3:41">
      <c r="H77" s="5"/>
      <c r="I77" s="5"/>
      <c r="J77" s="5"/>
    </row>
    <row r="78" spans="3:41">
      <c r="H78" s="5"/>
      <c r="I78" s="5"/>
      <c r="J78" s="5"/>
    </row>
    <row r="79" spans="3:41">
      <c r="H79" s="5"/>
      <c r="I79" s="5"/>
      <c r="J79" s="5"/>
    </row>
    <row r="130" spans="18:18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A7" zoomScale="47" zoomScaleNormal="47" workbookViewId="0">
      <selection activeCell="E10" sqref="E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612" t="s">
        <v>5</v>
      </c>
      <c r="AI8" s="613"/>
      <c r="AJ8" s="614"/>
      <c r="AK8" s="93"/>
      <c r="AL8" s="612" t="s">
        <v>6</v>
      </c>
      <c r="AM8" s="613"/>
      <c r="AN8" s="614"/>
    </row>
    <row r="9" spans="1:40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659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497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8.600000000000001" thickBot="1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501</v>
      </c>
      <c r="AC30" s="5"/>
      <c r="AD30" s="5"/>
      <c r="AE30" s="5"/>
      <c r="AF30" s="5"/>
      <c r="AG30" s="5"/>
      <c r="AH30" s="81"/>
      <c r="AI30" s="82"/>
      <c r="AJ30" s="82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502</v>
      </c>
      <c r="AC31" s="5"/>
      <c r="AD31" s="5"/>
      <c r="AE31" s="5"/>
      <c r="AF31" s="5"/>
      <c r="AG31" s="5"/>
      <c r="AH31" s="441"/>
      <c r="AI31" s="82"/>
      <c r="AJ31" s="82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499</v>
      </c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500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5"/>
      <c r="AJ6" s="5"/>
      <c r="AK6" s="5"/>
      <c r="AL6" s="5"/>
      <c r="AM6" s="5"/>
      <c r="AN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617"/>
      <c r="AI8" s="617"/>
      <c r="AJ8" s="617"/>
      <c r="AK8" s="93"/>
      <c r="AL8" s="617"/>
      <c r="AM8" s="617"/>
      <c r="AN8" s="617"/>
    </row>
    <row r="9" spans="1:40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>
      <c r="A10" s="5"/>
      <c r="B10" s="5"/>
      <c r="C10" s="81"/>
      <c r="D10" s="62" t="s">
        <v>1</v>
      </c>
      <c r="E10" s="63" t="s">
        <v>617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8.600000000000001" thickBot="1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505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507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506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508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509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510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5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351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525</v>
      </c>
      <c r="AN15" s="451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556</v>
      </c>
      <c r="AR20" s="30" t="s">
        <v>453</v>
      </c>
    </row>
    <row r="21" spans="3:44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557</v>
      </c>
      <c r="AR21" s="30" t="s">
        <v>525</v>
      </c>
    </row>
    <row r="22" spans="3:44" ht="18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558</v>
      </c>
      <c r="AR22" s="30" t="s">
        <v>297</v>
      </c>
    </row>
    <row r="23" spans="3:44" ht="18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544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4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545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6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546</v>
      </c>
      <c r="AG47" s="431" t="s">
        <v>527</v>
      </c>
      <c r="AH47" s="431" t="s">
        <v>528</v>
      </c>
      <c r="AI47" s="431" t="s">
        <v>163</v>
      </c>
      <c r="AJ47" s="431" t="s">
        <v>529</v>
      </c>
      <c r="AK47" s="431" t="s">
        <v>530</v>
      </c>
      <c r="AL47" s="431" t="s">
        <v>531</v>
      </c>
      <c r="AM47" s="431" t="s">
        <v>297</v>
      </c>
      <c r="AN47" s="431" t="s">
        <v>532</v>
      </c>
      <c r="AO47" s="431" t="s">
        <v>533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547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548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549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550</v>
      </c>
      <c r="AH51" s="400"/>
      <c r="AI51" s="400">
        <v>0.9</v>
      </c>
      <c r="AK51" s="400"/>
      <c r="AL51" s="400"/>
      <c r="AM51" s="400"/>
      <c r="AN51" s="400"/>
    </row>
    <row r="52" spans="3:41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551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552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553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554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4" t="s">
        <v>315</v>
      </c>
    </row>
    <row r="77" spans="3:41">
      <c r="D77" s="3" t="s">
        <v>322</v>
      </c>
    </row>
    <row r="95" spans="4:6">
      <c r="D95" s="3" t="s">
        <v>304</v>
      </c>
    </row>
    <row r="96" spans="4:6">
      <c r="D96" s="3" t="s">
        <v>316</v>
      </c>
      <c r="E96" s="3">
        <v>7.1699999999999997E-4</v>
      </c>
      <c r="F96" s="3" t="s">
        <v>317</v>
      </c>
    </row>
    <row r="97" spans="4:6">
      <c r="D97" s="3" t="s">
        <v>318</v>
      </c>
      <c r="E97" s="3">
        <v>190</v>
      </c>
      <c r="F97" s="3" t="s">
        <v>319</v>
      </c>
    </row>
    <row r="98" spans="4:6">
      <c r="D98" s="3" t="s">
        <v>320</v>
      </c>
      <c r="E98" s="3">
        <f>E97*E96</f>
        <v>0.13622999999999999</v>
      </c>
      <c r="F98" s="3" t="s">
        <v>321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516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514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520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3">
        <v>1</v>
      </c>
      <c r="I41" s="5" t="s">
        <v>513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 t="s">
        <v>515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3" t="s">
        <v>518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517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618" t="s">
        <v>221</v>
      </c>
      <c r="D22" s="619"/>
      <c r="E22" s="619"/>
      <c r="F22" s="6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618" t="s">
        <v>229</v>
      </c>
      <c r="C3" s="620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624" t="s">
        <v>254</v>
      </c>
      <c r="C9" s="625"/>
      <c r="D9" s="625"/>
      <c r="E9" s="625"/>
      <c r="F9" s="625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621" t="s">
        <v>244</v>
      </c>
      <c r="C46" s="622"/>
      <c r="D46" s="622"/>
      <c r="E46" s="622"/>
      <c r="F46" s="622"/>
      <c r="G46" s="623"/>
      <c r="H46" s="11"/>
      <c r="I46" s="621" t="s">
        <v>259</v>
      </c>
      <c r="J46" s="622"/>
      <c r="K46" s="622"/>
      <c r="L46" s="623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624" t="s">
        <v>254</v>
      </c>
      <c r="C68" s="625"/>
      <c r="D68" s="625"/>
      <c r="E68" s="625"/>
      <c r="F68" s="625"/>
      <c r="G68" s="247"/>
    </row>
    <row r="69" spans="2:30" ht="15" thickBot="1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>
      <c r="B73" s="172"/>
      <c r="C73" s="251"/>
      <c r="D73" s="197"/>
      <c r="E73" s="197"/>
      <c r="F73" s="172"/>
      <c r="G73" s="278"/>
    </row>
    <row r="74" spans="2:30">
      <c r="B74" s="172"/>
      <c r="C74" s="251"/>
      <c r="D74" s="197"/>
      <c r="E74" s="197"/>
      <c r="F74" s="172"/>
      <c r="G74" s="278"/>
    </row>
    <row r="75" spans="2:30">
      <c r="B75" s="172"/>
      <c r="C75" s="251"/>
      <c r="D75" s="197"/>
      <c r="E75" s="197"/>
      <c r="F75" s="172"/>
      <c r="G75" s="278"/>
    </row>
    <row r="76" spans="2:30">
      <c r="B76" s="172"/>
      <c r="C76" s="251"/>
      <c r="D76" s="197"/>
      <c r="E76" s="197"/>
      <c r="F76" s="172"/>
      <c r="G76" s="278"/>
    </row>
    <row r="77" spans="2:30">
      <c r="B77" s="172"/>
      <c r="C77" s="251"/>
      <c r="D77" s="197"/>
      <c r="E77" s="197"/>
      <c r="F77" s="172"/>
      <c r="G77" s="278"/>
    </row>
    <row r="78" spans="2:30">
      <c r="B78" s="172"/>
      <c r="C78" s="251"/>
      <c r="D78" s="197"/>
      <c r="E78" s="197"/>
      <c r="F78" s="172"/>
      <c r="G78" s="278"/>
    </row>
    <row r="79" spans="2:30">
      <c r="B79" s="172"/>
      <c r="C79" s="251"/>
      <c r="D79" s="197"/>
      <c r="E79" s="197"/>
      <c r="F79" s="172"/>
      <c r="G79" s="278"/>
    </row>
    <row r="80" spans="2:30">
      <c r="B80" s="172"/>
      <c r="C80" s="251"/>
      <c r="D80" s="197"/>
      <c r="E80" s="197"/>
      <c r="F80" s="172"/>
      <c r="G80" s="278"/>
    </row>
    <row r="81" spans="2:10">
      <c r="B81" s="172"/>
      <c r="C81" s="251"/>
      <c r="D81" s="197"/>
      <c r="E81" s="197"/>
      <c r="F81" s="172"/>
      <c r="G81" s="278"/>
    </row>
    <row r="82" spans="2:10" ht="15" thickBot="1">
      <c r="B82" s="264"/>
      <c r="C82" s="275"/>
      <c r="D82" s="155"/>
      <c r="E82" s="155"/>
      <c r="F82" s="264"/>
      <c r="G82" s="279"/>
    </row>
    <row r="87" spans="2:10" ht="15" thickBot="1">
      <c r="C87" s="197"/>
      <c r="D87" s="197"/>
      <c r="E87" s="197"/>
      <c r="F87" s="197"/>
      <c r="G87" s="197"/>
      <c r="H87" s="197"/>
      <c r="I87" s="197"/>
    </row>
    <row r="88" spans="2:10" ht="15" thickBot="1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zoomScale="58" zoomScaleNormal="58" workbookViewId="0">
      <selection activeCell="L13" sqref="L13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99">
        <v>7.37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99">
        <v>3.004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593">
        <v>2014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521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625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zoomScale="50" zoomScaleNormal="50" workbookViewId="0">
      <selection activeCell="K35" sqref="K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9" t="s">
        <v>75</v>
      </c>
      <c r="T8" s="610"/>
      <c r="U8" s="611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09" t="s">
        <v>7</v>
      </c>
      <c r="AI8" s="610"/>
      <c r="AJ8" s="611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>
        <f>35/1000</f>
        <v>3.5000000000000003E-2</v>
      </c>
      <c r="O10" s="169"/>
      <c r="P10" s="170"/>
      <c r="Q10" s="171"/>
      <c r="R10" s="5" t="s">
        <v>183</v>
      </c>
      <c r="S10" s="97">
        <v>8000</v>
      </c>
      <c r="T10" s="98" t="s">
        <v>511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 t="s">
        <v>295</v>
      </c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 t="s">
        <v>163</v>
      </c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3" t="s">
        <v>164</v>
      </c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3" t="s">
        <v>453</v>
      </c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3" t="s">
        <v>525</v>
      </c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3" t="s">
        <v>161</v>
      </c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3" t="s">
        <v>526</v>
      </c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3" t="s">
        <v>297</v>
      </c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3" t="s">
        <v>527</v>
      </c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167</v>
      </c>
      <c r="J21" s="200" t="s">
        <v>169</v>
      </c>
      <c r="K21" s="74"/>
      <c r="L21" s="74"/>
      <c r="M21" s="229"/>
      <c r="N21" s="103" t="s">
        <v>419</v>
      </c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3" t="s">
        <v>167</v>
      </c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3" t="s">
        <v>457</v>
      </c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3" t="s">
        <v>354</v>
      </c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393</v>
      </c>
      <c r="E31" s="5"/>
      <c r="F31" s="5"/>
      <c r="G31" s="5"/>
      <c r="H31" s="5" t="s">
        <v>512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O12:Q12 I16:I27 O14:Q27 N25:N27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Y22" sqref="Y22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298</v>
      </c>
    </row>
    <row r="2" spans="1:27" ht="15.6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6">
      <c r="A3" t="s">
        <v>12</v>
      </c>
      <c r="B3" t="s">
        <v>179</v>
      </c>
      <c r="C3" t="s">
        <v>12</v>
      </c>
      <c r="F3" s="216" t="s">
        <v>197</v>
      </c>
    </row>
    <row r="4" spans="1:27" ht="15.6">
      <c r="A4" t="s">
        <v>13</v>
      </c>
      <c r="B4" t="s">
        <v>179</v>
      </c>
      <c r="C4" t="s">
        <v>13</v>
      </c>
      <c r="F4" s="216" t="s">
        <v>198</v>
      </c>
    </row>
    <row r="5" spans="1:27" ht="15.6">
      <c r="A5" t="s">
        <v>20</v>
      </c>
      <c r="C5" t="s">
        <v>20</v>
      </c>
      <c r="F5" s="216" t="s">
        <v>199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268</v>
      </c>
    </row>
    <row r="14" spans="1:27">
      <c r="A14" t="s">
        <v>202</v>
      </c>
    </row>
    <row r="15" spans="1:27">
      <c r="A15" t="s">
        <v>200</v>
      </c>
    </row>
    <row r="16" spans="1:27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>
      <c r="G21" t="s">
        <v>206</v>
      </c>
      <c r="H21" t="s">
        <v>269</v>
      </c>
      <c r="Y21" t="s">
        <v>244</v>
      </c>
      <c r="AA21" s="302" t="s">
        <v>244</v>
      </c>
    </row>
    <row r="22" spans="5:27">
      <c r="G22" t="s">
        <v>272</v>
      </c>
      <c r="Y22" t="s">
        <v>345</v>
      </c>
      <c r="AA22" s="302" t="s">
        <v>345</v>
      </c>
    </row>
    <row r="23" spans="5:27">
      <c r="Y23" t="s">
        <v>346</v>
      </c>
      <c r="AA23" s="302" t="s">
        <v>346</v>
      </c>
    </row>
    <row r="24" spans="5:27">
      <c r="Y24" t="s">
        <v>121</v>
      </c>
      <c r="AA24" s="348" t="s">
        <v>377</v>
      </c>
    </row>
    <row r="25" spans="5:27">
      <c r="Y25" t="s">
        <v>134</v>
      </c>
      <c r="AA25" s="348" t="s">
        <v>378</v>
      </c>
    </row>
    <row r="26" spans="5:27">
      <c r="AA26" s="349" t="s">
        <v>383</v>
      </c>
    </row>
    <row r="27" spans="5:27">
      <c r="AA27" s="349" t="s">
        <v>386</v>
      </c>
    </row>
    <row r="28" spans="5:27">
      <c r="AA28" s="349" t="s">
        <v>384</v>
      </c>
    </row>
    <row r="29" spans="5:27">
      <c r="AA29" s="349" t="s">
        <v>385</v>
      </c>
    </row>
    <row r="30" spans="5:27">
      <c r="AA30" s="348" t="s">
        <v>387</v>
      </c>
    </row>
    <row r="31" spans="5:27">
      <c r="AA31" s="348" t="s">
        <v>388</v>
      </c>
    </row>
    <row r="32" spans="5:27">
      <c r="AA32" s="348" t="s">
        <v>379</v>
      </c>
    </row>
    <row r="33" spans="2:27">
      <c r="AA33" s="348" t="s">
        <v>389</v>
      </c>
    </row>
    <row r="34" spans="2:27">
      <c r="AA34" s="348" t="s">
        <v>380</v>
      </c>
    </row>
    <row r="35" spans="2:27">
      <c r="B35" t="s">
        <v>203</v>
      </c>
      <c r="AA35" s="348" t="s">
        <v>381</v>
      </c>
    </row>
    <row r="36" spans="2:27">
      <c r="AA36" s="348" t="s">
        <v>382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4" zoomScaleNormal="59" workbookViewId="0">
      <selection activeCell="D25" sqref="D25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626" t="s">
        <v>29</v>
      </c>
      <c r="C3" s="627"/>
      <c r="D3" s="628"/>
      <c r="F3" s="292" t="s">
        <v>32</v>
      </c>
      <c r="G3" s="293"/>
      <c r="H3" s="293"/>
      <c r="I3" s="293"/>
      <c r="J3" s="293"/>
      <c r="K3" s="294"/>
      <c r="L3" s="14"/>
      <c r="M3" s="14"/>
      <c r="N3" s="632" t="s">
        <v>35</v>
      </c>
      <c r="O3" s="633"/>
      <c r="P3" s="634"/>
      <c r="Q3" s="14"/>
      <c r="R3" s="14"/>
      <c r="S3" s="635" t="s">
        <v>38</v>
      </c>
      <c r="T3" s="636"/>
      <c r="U3" s="636"/>
      <c r="V3" s="637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618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7" t="s">
        <v>201</v>
      </c>
      <c r="C8" s="218" t="s">
        <v>200</v>
      </c>
      <c r="D8" s="221" t="s">
        <v>169</v>
      </c>
      <c r="E8" s="14"/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270</v>
      </c>
      <c r="C9" s="30"/>
      <c r="D9" s="221" t="s">
        <v>169</v>
      </c>
      <c r="E9" s="14"/>
      <c r="F9" s="401" t="s">
        <v>525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556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271</v>
      </c>
      <c r="C10" s="29"/>
      <c r="D10" s="221" t="s">
        <v>170</v>
      </c>
      <c r="F10" s="402" t="s">
        <v>526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557</v>
      </c>
      <c r="P10" s="30" t="s">
        <v>525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558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2"/>
      <c r="E12" s="14"/>
      <c r="F12" s="401" t="s">
        <v>527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498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524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596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597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41"/>
      <c r="X18" s="641"/>
      <c r="Y18" s="641"/>
      <c r="Z18" s="642"/>
      <c r="AB18" s="14"/>
      <c r="AC18" s="14"/>
    </row>
    <row r="19" spans="1:29" ht="18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598</v>
      </c>
      <c r="P19" s="483" t="s">
        <v>525</v>
      </c>
      <c r="Q19" s="8"/>
      <c r="R19" s="53"/>
      <c r="S19" s="14"/>
      <c r="T19" s="14"/>
      <c r="U19" s="14"/>
      <c r="V19" s="14"/>
      <c r="W19" s="53"/>
      <c r="X19" s="10"/>
      <c r="Y19" s="639"/>
      <c r="Z19" s="640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599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639"/>
      <c r="Z20" s="640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600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639"/>
      <c r="Z21" s="640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601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639"/>
      <c r="Z22" s="640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602</v>
      </c>
      <c r="P23" s="483" t="s">
        <v>525</v>
      </c>
      <c r="Q23" s="8"/>
      <c r="R23" s="9"/>
      <c r="S23" s="9"/>
      <c r="T23" s="638"/>
      <c r="U23" s="638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603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620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619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621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622</v>
      </c>
      <c r="P28" s="30" t="s">
        <v>525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497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623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624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29" t="s">
        <v>135</v>
      </c>
      <c r="T31" s="630"/>
      <c r="U31" s="630"/>
      <c r="V31" s="630"/>
      <c r="W31" s="631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511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523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555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629" t="s">
        <v>128</v>
      </c>
      <c r="O35" s="630"/>
      <c r="P35" s="631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586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4" t="s">
        <v>587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91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topLeftCell="A4" zoomScale="72" zoomScaleNormal="100" workbookViewId="0">
      <selection activeCell="G15" sqref="G15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8.600000000000001" thickBot="1">
      <c r="B4" s="11"/>
      <c r="C4" s="11"/>
      <c r="D4" s="114"/>
      <c r="E4" s="315"/>
      <c r="F4" s="114"/>
      <c r="G4" s="11"/>
      <c r="H4" s="11"/>
      <c r="I4" s="11"/>
      <c r="J4" s="11"/>
      <c r="K4" s="11"/>
      <c r="L4" s="11"/>
    </row>
    <row r="5" spans="2:18" ht="24" thickBot="1">
      <c r="B5" s="296" t="s">
        <v>274</v>
      </c>
      <c r="C5" s="643" t="s">
        <v>98</v>
      </c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5"/>
      <c r="R5" t="s">
        <v>22</v>
      </c>
    </row>
    <row r="6" spans="2:18" ht="18">
      <c r="B6" s="276"/>
      <c r="C6" s="161" t="s">
        <v>1</v>
      </c>
      <c r="D6" s="498" t="s">
        <v>519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>
      <c r="B10" s="278"/>
      <c r="C10" s="161" t="s">
        <v>190</v>
      </c>
      <c r="D10" s="114">
        <v>430</v>
      </c>
      <c r="E10" s="315">
        <v>4500</v>
      </c>
      <c r="F10" s="114">
        <v>30</v>
      </c>
      <c r="H10" s="504"/>
      <c r="I10" s="315"/>
      <c r="M10" s="114"/>
      <c r="P10" s="114"/>
      <c r="Q10" s="115"/>
    </row>
    <row r="11" spans="2:18" ht="18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>
      <c r="I16" s="11"/>
      <c r="J16" s="11"/>
      <c r="K16" s="11"/>
      <c r="L16" s="11"/>
    </row>
    <row r="17" spans="2:21">
      <c r="M17">
        <v>1500</v>
      </c>
    </row>
    <row r="19" spans="2:21">
      <c r="B19" t="s">
        <v>278</v>
      </c>
    </row>
    <row r="20" spans="2:21">
      <c r="B20" s="298" t="s">
        <v>281</v>
      </c>
      <c r="F20">
        <v>3000</v>
      </c>
    </row>
    <row r="21" spans="2:21">
      <c r="B21" t="s">
        <v>279</v>
      </c>
      <c r="C21">
        <v>76</v>
      </c>
      <c r="D21" t="s">
        <v>282</v>
      </c>
    </row>
    <row r="22" spans="2:21">
      <c r="B22" t="s">
        <v>280</v>
      </c>
      <c r="C22">
        <v>182</v>
      </c>
      <c r="D22" t="s">
        <v>282</v>
      </c>
    </row>
    <row r="23" spans="2:21">
      <c r="B23" t="s">
        <v>328</v>
      </c>
      <c r="C23">
        <f xml:space="preserve"> (C21+C22)/2 * 1000</f>
        <v>129000</v>
      </c>
    </row>
    <row r="24" spans="2:21">
      <c r="B24" t="s">
        <v>289</v>
      </c>
      <c r="C24">
        <v>0.6</v>
      </c>
    </row>
    <row r="25" spans="2:21" ht="18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>
      <c r="B29" s="298" t="s">
        <v>283</v>
      </c>
      <c r="F29">
        <v>2000</v>
      </c>
    </row>
    <row r="30" spans="2:21">
      <c r="B30" t="s">
        <v>284</v>
      </c>
      <c r="C30">
        <v>1.04</v>
      </c>
      <c r="D30" t="s">
        <v>286</v>
      </c>
      <c r="Q30" s="298"/>
    </row>
    <row r="31" spans="2:21">
      <c r="B31" t="s">
        <v>285</v>
      </c>
      <c r="C31">
        <v>0.9</v>
      </c>
      <c r="D31" t="s">
        <v>286</v>
      </c>
    </row>
    <row r="32" spans="2:21">
      <c r="T32" s="298"/>
    </row>
    <row r="33" spans="2:18">
      <c r="B33" t="s">
        <v>287</v>
      </c>
      <c r="C33">
        <v>0.78900000000000003</v>
      </c>
      <c r="D33" t="s">
        <v>288</v>
      </c>
    </row>
    <row r="34" spans="2:18">
      <c r="R34" s="465"/>
    </row>
    <row r="35" spans="2:18">
      <c r="B35" t="s">
        <v>284</v>
      </c>
      <c r="C35">
        <f>C30*C33 *1000</f>
        <v>820.56000000000006</v>
      </c>
      <c r="D35" t="s">
        <v>290</v>
      </c>
    </row>
    <row r="36" spans="2:18">
      <c r="B36" t="s">
        <v>285</v>
      </c>
      <c r="C36">
        <f>C31*C33*1000</f>
        <v>710.1</v>
      </c>
      <c r="D36" t="s">
        <v>290</v>
      </c>
    </row>
    <row r="37" spans="2:18" ht="18">
      <c r="B37" t="s">
        <v>328</v>
      </c>
      <c r="C37" s="114">
        <f>(C35+C36)/2</f>
        <v>765.33</v>
      </c>
      <c r="D37" t="s">
        <v>290</v>
      </c>
      <c r="E37" s="314"/>
    </row>
    <row r="38" spans="2:18">
      <c r="B38" t="s">
        <v>289</v>
      </c>
      <c r="C38" s="299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8" t="s">
        <v>615</v>
      </c>
    </row>
    <row r="43" spans="2:18">
      <c r="B43" s="298" t="s">
        <v>291</v>
      </c>
      <c r="F43">
        <v>4000</v>
      </c>
    </row>
    <row r="44" spans="2:18">
      <c r="B44" t="s">
        <v>284</v>
      </c>
      <c r="C44">
        <v>2.4</v>
      </c>
      <c r="D44" t="s">
        <v>292</v>
      </c>
    </row>
    <row r="45" spans="2:18">
      <c r="B45" t="s">
        <v>285</v>
      </c>
      <c r="C45">
        <v>3.03</v>
      </c>
      <c r="D45" t="s">
        <v>292</v>
      </c>
    </row>
    <row r="47" spans="2:18">
      <c r="B47" t="s">
        <v>293</v>
      </c>
      <c r="C47">
        <f>_xlfn.STDEV.P(C44:C45)/AVERAGE(C44:C45)</f>
        <v>0.11602209944751414</v>
      </c>
    </row>
    <row r="48" spans="2:18">
      <c r="B48" t="s">
        <v>284</v>
      </c>
      <c r="C48" t="e">
        <f>#REF! - C47*#REF!</f>
        <v>#REF!</v>
      </c>
      <c r="D48" t="s">
        <v>290</v>
      </c>
    </row>
    <row r="49" spans="2:7">
      <c r="B49" t="s">
        <v>285</v>
      </c>
      <c r="C49" t="e">
        <f>#REF! + C47*#REF!</f>
        <v>#REF!</v>
      </c>
      <c r="D49" t="s">
        <v>290</v>
      </c>
    </row>
    <row r="53" spans="2:7">
      <c r="B53" s="298" t="s">
        <v>296</v>
      </c>
      <c r="F53">
        <v>5000</v>
      </c>
    </row>
    <row r="54" spans="2:7">
      <c r="B54" t="s">
        <v>284</v>
      </c>
      <c r="C54">
        <v>1000</v>
      </c>
      <c r="D54" t="s">
        <v>290</v>
      </c>
    </row>
    <row r="55" spans="2:7">
      <c r="B55" t="s">
        <v>285</v>
      </c>
      <c r="C55">
        <v>1300</v>
      </c>
      <c r="D55" t="s">
        <v>290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8" t="s">
        <v>612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abSelected="1" topLeftCell="A20" zoomScale="70" zoomScaleNormal="70" workbookViewId="0">
      <selection activeCell="G40" sqref="G40"/>
    </sheetView>
  </sheetViews>
  <sheetFormatPr defaultColWidth="10.88671875" defaultRowHeight="14.4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22" bestFit="1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608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>
      <c r="A2" s="11"/>
      <c r="B2" s="646" t="s">
        <v>229</v>
      </c>
      <c r="C2" s="647"/>
      <c r="D2" s="11"/>
      <c r="E2" s="11"/>
      <c r="F2" s="11"/>
      <c r="G2" s="11"/>
      <c r="H2" s="11"/>
      <c r="I2" s="11"/>
      <c r="J2" s="11"/>
      <c r="K2" s="11"/>
      <c r="N2" s="539" t="s">
        <v>606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609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607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605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605</v>
      </c>
      <c r="O6" s="539" t="s">
        <v>255</v>
      </c>
      <c r="P6" s="540">
        <v>200</v>
      </c>
      <c r="Q6" s="541" t="s">
        <v>525</v>
      </c>
      <c r="R6" s="540" t="s">
        <v>268</v>
      </c>
      <c r="S6" s="540">
        <v>16</v>
      </c>
      <c r="T6" s="542">
        <f>0.1/0.7</f>
        <v>0.14285714285714288</v>
      </c>
    </row>
    <row r="7" spans="1:20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610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611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613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614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616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628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627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>
      <c r="A14" s="11"/>
      <c r="B14" s="211">
        <v>1</v>
      </c>
      <c r="C14" s="11"/>
      <c r="D14" s="211">
        <v>11</v>
      </c>
      <c r="E14" s="273" t="s">
        <v>453</v>
      </c>
      <c r="F14" s="274" t="s">
        <v>525</v>
      </c>
      <c r="G14" s="274" t="s">
        <v>14</v>
      </c>
      <c r="H14" s="274"/>
      <c r="I14" s="274"/>
      <c r="J14" s="313"/>
      <c r="K14" s="11"/>
      <c r="M14" s="240"/>
      <c r="N14" s="539" t="s">
        <v>629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630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632</v>
      </c>
    </row>
    <row r="19" spans="1:25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48" t="s">
        <v>352</v>
      </c>
      <c r="V22" s="648"/>
      <c r="W22" s="648"/>
      <c r="X22" s="648"/>
      <c r="Y22" s="648"/>
    </row>
    <row r="23" spans="1:25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48"/>
      <c r="V23" s="648"/>
      <c r="W23" s="648"/>
      <c r="X23" s="648"/>
      <c r="Y23" s="648"/>
    </row>
    <row r="24" spans="1:25" ht="15" thickBot="1">
      <c r="A24" s="11"/>
      <c r="B24" s="329"/>
      <c r="C24" s="329"/>
      <c r="D24" s="646" t="s">
        <v>342</v>
      </c>
      <c r="E24" s="649"/>
      <c r="F24" s="649"/>
      <c r="G24" s="647"/>
      <c r="H24" s="646" t="s">
        <v>340</v>
      </c>
      <c r="I24" s="649"/>
      <c r="J24" s="647"/>
      <c r="K24" s="327" t="s">
        <v>341</v>
      </c>
      <c r="U24" s="648"/>
      <c r="V24" s="648"/>
      <c r="W24" s="648"/>
      <c r="X24" s="648"/>
      <c r="Y24" s="648"/>
    </row>
    <row r="25" spans="1:25">
      <c r="A25" s="211" t="s">
        <v>604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>
      <c r="A26" s="561" t="s">
        <v>647</v>
      </c>
      <c r="B26" s="561" t="s">
        <v>253</v>
      </c>
      <c r="C26" s="562">
        <v>400</v>
      </c>
      <c r="D26" s="563" t="s">
        <v>449</v>
      </c>
      <c r="E26" s="562" t="s">
        <v>268</v>
      </c>
      <c r="F26" s="562">
        <v>13</v>
      </c>
      <c r="G26" s="670">
        <v>0.36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>
      <c r="A27" s="561" t="s">
        <v>648</v>
      </c>
      <c r="B27" s="561" t="s">
        <v>253</v>
      </c>
      <c r="C27" s="562">
        <v>400</v>
      </c>
      <c r="D27" s="563" t="s">
        <v>449</v>
      </c>
      <c r="E27" s="562" t="s">
        <v>268</v>
      </c>
      <c r="F27" s="562">
        <v>22</v>
      </c>
      <c r="G27" s="670">
        <v>0.36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>
      <c r="A28" s="561" t="s">
        <v>608</v>
      </c>
      <c r="B28" s="561" t="s">
        <v>244</v>
      </c>
      <c r="C28" s="562">
        <v>420</v>
      </c>
      <c r="D28" s="563" t="s">
        <v>457</v>
      </c>
      <c r="E28" s="562" t="s">
        <v>268</v>
      </c>
      <c r="F28" s="562" t="s">
        <v>268</v>
      </c>
      <c r="G28" s="670">
        <v>0.23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>
      <c r="A29" s="561" t="s">
        <v>606</v>
      </c>
      <c r="B29" s="561" t="s">
        <v>253</v>
      </c>
      <c r="C29" s="562">
        <v>435</v>
      </c>
      <c r="D29" s="563" t="s">
        <v>354</v>
      </c>
      <c r="E29" s="562" t="s">
        <v>268</v>
      </c>
      <c r="F29" s="562">
        <v>11</v>
      </c>
      <c r="G29" s="670">
        <v>0.2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>
      <c r="A30" s="561" t="s">
        <v>631</v>
      </c>
      <c r="B30" s="561" t="s">
        <v>254</v>
      </c>
      <c r="C30" s="562">
        <v>11</v>
      </c>
      <c r="D30" s="563" t="s">
        <v>297</v>
      </c>
      <c r="E30" s="562" t="s">
        <v>268</v>
      </c>
      <c r="F30" s="562" t="s">
        <v>268</v>
      </c>
      <c r="G30" s="670">
        <v>0.3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>
      <c r="A31" s="539" t="s">
        <v>649</v>
      </c>
      <c r="B31" s="561" t="s">
        <v>252</v>
      </c>
      <c r="C31" s="562">
        <v>438</v>
      </c>
      <c r="D31" s="563" t="s">
        <v>354</v>
      </c>
      <c r="E31" s="562">
        <v>440</v>
      </c>
      <c r="F31" s="562" t="s">
        <v>268</v>
      </c>
      <c r="G31" s="670">
        <v>0.17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>
      <c r="A32" s="565" t="s">
        <v>650</v>
      </c>
      <c r="B32" s="566" t="s">
        <v>387</v>
      </c>
      <c r="C32" s="562">
        <v>490</v>
      </c>
      <c r="D32" s="562" t="s">
        <v>268</v>
      </c>
      <c r="E32" s="562" t="s">
        <v>268</v>
      </c>
      <c r="F32" s="562" t="s">
        <v>268</v>
      </c>
      <c r="G32" s="671">
        <v>0.1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>
      <c r="A33" s="567" t="s">
        <v>651</v>
      </c>
      <c r="B33" s="568" t="s">
        <v>377</v>
      </c>
      <c r="C33" s="569" t="s">
        <v>268</v>
      </c>
      <c r="D33" s="570" t="s">
        <v>268</v>
      </c>
      <c r="E33" s="569" t="s">
        <v>268</v>
      </c>
      <c r="F33" s="569" t="s">
        <v>268</v>
      </c>
      <c r="G33" s="672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ComponentsList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>
      <c r="A34" s="551" t="s">
        <v>652</v>
      </c>
      <c r="B34" s="551" t="s">
        <v>345</v>
      </c>
      <c r="C34" s="552">
        <v>44</v>
      </c>
      <c r="D34" s="553" t="s">
        <v>268</v>
      </c>
      <c r="E34" s="552" t="s">
        <v>268</v>
      </c>
      <c r="F34" s="552" t="s">
        <v>268</v>
      </c>
      <c r="G34" s="670">
        <v>0.2</v>
      </c>
      <c r="H34" s="552"/>
      <c r="I34" s="552"/>
      <c r="J34" s="552"/>
      <c r="K34" s="552" t="s">
        <v>369</v>
      </c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556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557</v>
      </c>
      <c r="Q51" s="30" t="s">
        <v>525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8.600000000000001" thickBot="1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558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>
      <c r="A55" s="551" t="s">
        <v>652</v>
      </c>
      <c r="B55" s="551" t="s">
        <v>345</v>
      </c>
      <c r="C55" s="552">
        <v>44</v>
      </c>
      <c r="D55" s="553" t="s">
        <v>268</v>
      </c>
      <c r="E55" s="552" t="s">
        <v>268</v>
      </c>
      <c r="F55" s="552" t="s">
        <v>268</v>
      </c>
      <c r="G55" s="554">
        <v>0.1</v>
      </c>
      <c r="H55" s="552"/>
      <c r="I55" s="552"/>
      <c r="J55" s="552"/>
      <c r="K55" s="552" t="s">
        <v>369</v>
      </c>
    </row>
    <row r="56" spans="1:25">
      <c r="A56" s="551" t="s">
        <v>608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>
      <c r="A57" s="551" t="s">
        <v>606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>
      <c r="A58" s="539" t="s">
        <v>631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>
      <c r="A59" s="539" t="s">
        <v>631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>
      <c r="A60" s="539" t="s">
        <v>607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>
      <c r="A61" s="539"/>
      <c r="B61" s="539"/>
      <c r="C61" s="540"/>
      <c r="D61" s="541"/>
      <c r="E61" s="540"/>
      <c r="F61" s="540"/>
      <c r="G61" s="540"/>
      <c r="H61" s="11"/>
      <c r="I61" s="11"/>
      <c r="J61" s="11"/>
      <c r="K61" s="11"/>
    </row>
    <row r="62" spans="1:25">
      <c r="A62" s="539"/>
      <c r="B62" s="539"/>
      <c r="C62" s="540"/>
      <c r="D62" s="541"/>
      <c r="E62" s="540"/>
      <c r="F62" s="540"/>
      <c r="G62" s="550"/>
      <c r="H62" s="11"/>
      <c r="I62" s="11"/>
      <c r="J62" s="11"/>
      <c r="K62" s="11"/>
    </row>
    <row r="63" spans="1:25">
      <c r="B63" s="551"/>
      <c r="C63" s="552"/>
      <c r="D63" s="553"/>
      <c r="E63" s="552"/>
      <c r="F63" s="552"/>
      <c r="G63" s="554"/>
      <c r="H63" s="11"/>
      <c r="I63" s="11"/>
      <c r="J63" s="11"/>
      <c r="K63" s="11"/>
    </row>
    <row r="64" spans="1:25">
      <c r="B64" s="551"/>
      <c r="C64" s="552"/>
      <c r="D64" s="553"/>
      <c r="E64" s="552"/>
      <c r="F64" s="552"/>
      <c r="G64" s="554"/>
      <c r="H64" s="556"/>
      <c r="I64" s="556"/>
      <c r="J64" s="556"/>
      <c r="K64" s="556"/>
    </row>
    <row r="65" spans="1:12">
      <c r="A65" s="379"/>
      <c r="B65" s="379"/>
      <c r="C65" s="556"/>
      <c r="D65" s="557"/>
      <c r="E65" s="556"/>
      <c r="F65" s="556"/>
      <c r="G65" s="558"/>
      <c r="H65" s="556"/>
      <c r="I65" s="556"/>
      <c r="J65" s="556"/>
      <c r="K65" s="556"/>
    </row>
    <row r="66" spans="1:12">
      <c r="A66" s="379"/>
      <c r="B66" s="379"/>
      <c r="C66" s="556"/>
      <c r="D66" s="557"/>
      <c r="E66" s="556"/>
      <c r="F66" s="556"/>
      <c r="G66" s="556"/>
      <c r="H66" s="556"/>
      <c r="I66" s="556" t="s">
        <v>661</v>
      </c>
      <c r="J66" s="556"/>
      <c r="K66" s="556"/>
    </row>
    <row r="67" spans="1:12">
      <c r="A67" s="659" t="s">
        <v>608</v>
      </c>
      <c r="B67" s="659" t="s">
        <v>244</v>
      </c>
      <c r="C67" s="660">
        <v>420</v>
      </c>
      <c r="D67" s="661" t="s">
        <v>457</v>
      </c>
      <c r="E67" s="660" t="s">
        <v>268</v>
      </c>
      <c r="F67" s="660" t="s">
        <v>268</v>
      </c>
      <c r="G67" s="662">
        <v>0.23</v>
      </c>
      <c r="I67" s="564">
        <v>0.5</v>
      </c>
      <c r="J67" s="556"/>
      <c r="K67" s="556"/>
    </row>
    <row r="68" spans="1:12">
      <c r="A68" s="659" t="s">
        <v>606</v>
      </c>
      <c r="B68" s="659" t="s">
        <v>253</v>
      </c>
      <c r="C68" s="660">
        <v>435</v>
      </c>
      <c r="D68" s="661" t="s">
        <v>354</v>
      </c>
      <c r="E68" s="660" t="s">
        <v>268</v>
      </c>
      <c r="F68" s="660">
        <v>11</v>
      </c>
      <c r="G68" s="660">
        <v>0.2</v>
      </c>
      <c r="I68" s="564">
        <v>0.5</v>
      </c>
      <c r="J68" s="556"/>
      <c r="K68" s="556"/>
    </row>
    <row r="69" spans="1:12">
      <c r="A69" s="659" t="s">
        <v>660</v>
      </c>
      <c r="B69" s="659" t="s">
        <v>253</v>
      </c>
      <c r="C69" s="660">
        <v>400</v>
      </c>
      <c r="D69" s="661" t="s">
        <v>449</v>
      </c>
      <c r="E69" s="660" t="s">
        <v>268</v>
      </c>
      <c r="F69" s="660">
        <v>13</v>
      </c>
      <c r="G69" s="662">
        <v>0.36</v>
      </c>
      <c r="I69" s="564">
        <v>0.5</v>
      </c>
      <c r="J69" s="197"/>
      <c r="K69" s="197"/>
    </row>
    <row r="70" spans="1:12">
      <c r="A70" s="659" t="s">
        <v>648</v>
      </c>
      <c r="B70" s="659" t="s">
        <v>253</v>
      </c>
      <c r="C70" s="660">
        <v>400</v>
      </c>
      <c r="D70" s="661" t="s">
        <v>449</v>
      </c>
      <c r="E70" s="660" t="s">
        <v>268</v>
      </c>
      <c r="F70" s="660">
        <v>22</v>
      </c>
      <c r="G70" s="662">
        <v>0.36</v>
      </c>
      <c r="I70" s="564">
        <v>0.5</v>
      </c>
    </row>
    <row r="71" spans="1:12">
      <c r="A71" s="659" t="s">
        <v>649</v>
      </c>
      <c r="B71" s="659" t="s">
        <v>252</v>
      </c>
      <c r="C71" s="660">
        <v>438</v>
      </c>
      <c r="D71" s="661" t="s">
        <v>354</v>
      </c>
      <c r="E71" s="660">
        <v>440</v>
      </c>
      <c r="F71" s="660" t="s">
        <v>268</v>
      </c>
      <c r="G71" s="662">
        <v>0.17</v>
      </c>
      <c r="I71" s="564">
        <v>0.4</v>
      </c>
    </row>
    <row r="72" spans="1:12">
      <c r="A72" s="663" t="s">
        <v>650</v>
      </c>
      <c r="B72" s="664" t="s">
        <v>387</v>
      </c>
      <c r="C72" s="660">
        <v>490</v>
      </c>
      <c r="D72" s="660" t="s">
        <v>268</v>
      </c>
      <c r="E72" s="660" t="s">
        <v>268</v>
      </c>
      <c r="F72" s="660" t="s">
        <v>268</v>
      </c>
      <c r="G72" s="660">
        <v>0.1</v>
      </c>
      <c r="I72" s="564">
        <v>0.5</v>
      </c>
    </row>
    <row r="73" spans="1:12">
      <c r="A73" s="665" t="s">
        <v>651</v>
      </c>
      <c r="B73" s="666" t="s">
        <v>377</v>
      </c>
      <c r="C73" s="667" t="s">
        <v>268</v>
      </c>
      <c r="D73" s="668" t="s">
        <v>268</v>
      </c>
      <c r="E73" s="667" t="s">
        <v>268</v>
      </c>
      <c r="F73" s="667" t="s">
        <v>268</v>
      </c>
      <c r="G73" s="669">
        <v>0.2</v>
      </c>
      <c r="I73" s="562">
        <v>0.5</v>
      </c>
    </row>
    <row r="74" spans="1:12">
      <c r="A74" s="659" t="s">
        <v>652</v>
      </c>
      <c r="B74" s="659" t="s">
        <v>345</v>
      </c>
      <c r="C74" s="660">
        <v>44</v>
      </c>
      <c r="D74" s="661" t="s">
        <v>268</v>
      </c>
      <c r="E74" s="660" t="s">
        <v>268</v>
      </c>
      <c r="F74" s="660" t="s">
        <v>268</v>
      </c>
      <c r="G74" s="662">
        <v>0.2</v>
      </c>
      <c r="I74" s="571">
        <v>0.2</v>
      </c>
    </row>
    <row r="75" spans="1:12">
      <c r="A75" s="11"/>
      <c r="B75" s="11"/>
      <c r="C75" s="197"/>
      <c r="D75" s="251"/>
      <c r="I75" s="554">
        <v>0.2</v>
      </c>
    </row>
    <row r="76" spans="1:12">
      <c r="A76" s="11"/>
      <c r="B76" s="11"/>
      <c r="C76" s="197"/>
      <c r="D76" s="251"/>
      <c r="L76">
        <f>1-60/45</f>
        <v>-0.33333333333333326</v>
      </c>
    </row>
    <row r="77" spans="1:12">
      <c r="A77" s="11"/>
      <c r="B77" s="11"/>
      <c r="C77" s="197"/>
      <c r="D77" s="251"/>
    </row>
    <row r="78" spans="1:12">
      <c r="A78" s="11"/>
      <c r="B78" s="11"/>
      <c r="C78" s="197"/>
      <c r="D78" s="251"/>
      <c r="E78" s="197"/>
      <c r="F78" s="197"/>
      <c r="G78" s="197"/>
      <c r="H78" s="197"/>
      <c r="I78" s="197"/>
      <c r="J78" s="197"/>
      <c r="K78" s="197"/>
    </row>
    <row r="79" spans="1:1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7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7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O82" t="s">
        <v>561</v>
      </c>
    </row>
    <row r="83" spans="1:1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7">
      <c r="A84" s="329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7">
      <c r="A85" s="11"/>
      <c r="B85" s="11"/>
      <c r="C85" s="197"/>
      <c r="D85" s="251"/>
      <c r="E85" s="197"/>
      <c r="F85" s="197"/>
      <c r="G85" s="197"/>
      <c r="H85" s="197"/>
      <c r="I85" s="197"/>
      <c r="J85" s="197"/>
      <c r="K85" s="197"/>
    </row>
    <row r="86" spans="1:17">
      <c r="A86" s="11"/>
      <c r="B86" s="11"/>
      <c r="C86" s="197"/>
      <c r="D86" s="251"/>
      <c r="E86" s="197"/>
      <c r="F86" s="197"/>
      <c r="G86" s="197"/>
      <c r="H86" s="197"/>
      <c r="I86" s="197"/>
      <c r="J86" s="197"/>
      <c r="K86" s="197"/>
    </row>
    <row r="87" spans="1:17">
      <c r="A87" s="11"/>
      <c r="B87" s="11"/>
      <c r="C87" s="197"/>
      <c r="D87" s="251"/>
      <c r="E87" s="197"/>
      <c r="F87" s="197"/>
      <c r="G87" s="197"/>
      <c r="H87" s="197"/>
      <c r="I87" s="197"/>
      <c r="J87" s="197"/>
      <c r="K87" s="197"/>
    </row>
    <row r="88" spans="1:17">
      <c r="A88" s="11"/>
      <c r="B88" s="11"/>
      <c r="C88" s="197"/>
      <c r="D88" s="251"/>
      <c r="E88" s="197"/>
      <c r="F88" s="197"/>
      <c r="G88" s="559"/>
      <c r="H88" s="197"/>
      <c r="I88" s="197"/>
      <c r="J88" s="197"/>
      <c r="K88" s="197"/>
    </row>
    <row r="89" spans="1:17">
      <c r="A89" s="11"/>
      <c r="B89" s="11"/>
      <c r="C89" s="197"/>
      <c r="D89" s="251"/>
      <c r="E89" s="197"/>
      <c r="F89" s="197"/>
      <c r="G89" s="301"/>
      <c r="H89" s="197"/>
      <c r="I89" s="197"/>
      <c r="J89" s="197"/>
      <c r="K89" s="197"/>
    </row>
    <row r="90" spans="1:17">
      <c r="A90" s="11"/>
      <c r="B90" s="11"/>
      <c r="C90" s="197"/>
      <c r="D90" s="251"/>
      <c r="E90" s="197"/>
      <c r="F90" s="197"/>
      <c r="G90" s="301"/>
      <c r="H90" s="197"/>
      <c r="I90" s="197"/>
      <c r="J90" s="197"/>
      <c r="K90" s="197"/>
    </row>
    <row r="91" spans="1:17">
      <c r="A91" s="11"/>
      <c r="B91" s="11"/>
      <c r="C91" s="197"/>
      <c r="D91" s="251"/>
      <c r="E91" s="197"/>
      <c r="F91" s="197"/>
      <c r="G91" s="197"/>
      <c r="H91" s="197"/>
      <c r="I91" s="197"/>
      <c r="J91" s="197"/>
      <c r="K91" s="197"/>
    </row>
    <row r="92" spans="1:17">
      <c r="A92" s="11"/>
      <c r="B92" s="11"/>
      <c r="C92" s="197"/>
      <c r="D92" s="251"/>
      <c r="E92" s="197"/>
      <c r="F92" s="197"/>
      <c r="G92" s="197"/>
      <c r="H92" s="197"/>
      <c r="I92" s="197"/>
      <c r="J92" s="197"/>
      <c r="K92" s="197"/>
    </row>
    <row r="93" spans="1:17">
      <c r="A93" s="11"/>
      <c r="B93" s="11"/>
      <c r="C93" s="197"/>
      <c r="D93" s="251"/>
      <c r="E93" s="197"/>
      <c r="F93" s="197"/>
      <c r="G93" s="197"/>
      <c r="H93" s="197"/>
      <c r="I93" s="197"/>
      <c r="J93" s="197"/>
      <c r="K93" s="197"/>
      <c r="Q93">
        <f>0.35/0.55</f>
        <v>0.63636363636363624</v>
      </c>
    </row>
    <row r="94" spans="1:17">
      <c r="A94" s="11"/>
      <c r="B94" s="11"/>
      <c r="C94" s="197"/>
      <c r="D94" s="251"/>
      <c r="E94" s="197"/>
      <c r="F94" s="197"/>
      <c r="G94" s="197"/>
      <c r="H94" s="197"/>
      <c r="I94" s="197"/>
      <c r="J94" s="197"/>
      <c r="K94" s="197"/>
    </row>
    <row r="95" spans="1:17">
      <c r="A95" s="11"/>
      <c r="B95" s="11"/>
      <c r="C95" s="197"/>
      <c r="D95" s="251"/>
      <c r="E95" s="197"/>
      <c r="F95" s="197"/>
      <c r="G95" s="197"/>
      <c r="H95" s="197"/>
      <c r="I95" s="197"/>
      <c r="J95" s="197"/>
      <c r="K95" s="197"/>
    </row>
    <row r="96" spans="1:17">
      <c r="A96" s="11"/>
      <c r="B96" s="11"/>
      <c r="C96" s="197"/>
      <c r="D96" s="251"/>
      <c r="E96" s="197"/>
      <c r="F96" s="197"/>
      <c r="G96" s="197"/>
      <c r="H96" s="197"/>
      <c r="I96" s="197"/>
      <c r="J96" s="197"/>
      <c r="K96" s="197"/>
    </row>
    <row r="97" spans="1:16">
      <c r="A97" s="11"/>
      <c r="B97" s="11"/>
      <c r="C97" s="197"/>
      <c r="D97" s="251"/>
      <c r="E97" s="197"/>
      <c r="F97" s="197"/>
      <c r="G97" s="197"/>
      <c r="H97" s="197"/>
      <c r="I97" s="197"/>
      <c r="J97" s="197"/>
      <c r="K97" s="197"/>
    </row>
    <row r="98" spans="1:16">
      <c r="A98" s="11"/>
      <c r="B98" s="11"/>
      <c r="C98" s="197"/>
      <c r="D98" s="251"/>
      <c r="E98" s="197"/>
      <c r="F98" s="197"/>
      <c r="G98" s="197"/>
      <c r="H98" s="197"/>
      <c r="I98" s="197"/>
      <c r="J98" s="197"/>
      <c r="K98" s="197"/>
    </row>
    <row r="99" spans="1:16">
      <c r="A99" s="11"/>
      <c r="B99" s="11"/>
      <c r="C99" s="197"/>
      <c r="D99" s="251"/>
      <c r="E99" s="197"/>
      <c r="F99" s="197"/>
      <c r="G99" s="197"/>
      <c r="H99" s="197"/>
      <c r="I99" s="197"/>
      <c r="J99" s="197"/>
      <c r="K99" s="197"/>
    </row>
    <row r="100" spans="1:1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P100">
        <f>1-0.46/0.59</f>
        <v>0.22033898305084743</v>
      </c>
    </row>
    <row r="101" spans="1:1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</row>
    <row r="102" spans="1:1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</row>
    <row r="103" spans="1:1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1:1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</row>
    <row r="105" spans="1:1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</row>
    <row r="106" spans="1:16">
      <c r="A106" s="197"/>
      <c r="B106" s="560"/>
      <c r="C106" s="197"/>
      <c r="D106" s="560"/>
      <c r="E106" s="11"/>
      <c r="F106" s="11"/>
      <c r="G106" s="11"/>
      <c r="H106" s="11"/>
      <c r="I106" s="11"/>
      <c r="J106" s="11"/>
      <c r="K106" s="11"/>
    </row>
    <row r="107" spans="1:16">
      <c r="A107" s="11"/>
      <c r="B107" s="11"/>
      <c r="C107" s="197"/>
      <c r="D107" s="197"/>
      <c r="E107" s="11"/>
      <c r="F107" s="11"/>
      <c r="G107" s="11"/>
      <c r="H107" s="11"/>
      <c r="I107" s="11"/>
      <c r="J107" s="11"/>
      <c r="K107" s="11"/>
    </row>
    <row r="108" spans="1:16">
      <c r="A108" s="11"/>
      <c r="B108" s="11"/>
      <c r="C108" s="197"/>
      <c r="D108" s="197"/>
      <c r="E108" s="11"/>
      <c r="F108" s="11"/>
      <c r="G108" s="11"/>
      <c r="H108" s="11"/>
      <c r="I108" s="11"/>
      <c r="J108" s="11"/>
      <c r="K108" s="11"/>
    </row>
    <row r="109" spans="1:16">
      <c r="A109" s="11"/>
      <c r="B109" s="11"/>
      <c r="C109" s="197"/>
      <c r="D109" s="197"/>
      <c r="E109" s="11"/>
      <c r="F109" s="11"/>
      <c r="G109" s="11"/>
      <c r="H109" s="11"/>
      <c r="I109" s="11"/>
      <c r="J109" s="11"/>
      <c r="K109" s="11"/>
    </row>
    <row r="110" spans="1:16">
      <c r="A110" s="11"/>
      <c r="B110" s="11"/>
      <c r="C110" s="559"/>
      <c r="D110" s="197"/>
      <c r="E110" s="11"/>
      <c r="F110" s="11"/>
      <c r="G110" s="11"/>
      <c r="H110" s="11"/>
      <c r="I110" s="11"/>
      <c r="J110" s="11"/>
      <c r="K110" s="11"/>
    </row>
    <row r="111" spans="1:16">
      <c r="A111" s="11"/>
      <c r="B111" s="11"/>
      <c r="C111" s="301"/>
      <c r="D111" s="197"/>
      <c r="E111" s="11"/>
      <c r="F111" s="11"/>
      <c r="G111" s="11"/>
      <c r="H111" s="11"/>
      <c r="I111" s="11"/>
      <c r="J111" s="11"/>
      <c r="K111" s="11"/>
    </row>
    <row r="112" spans="1:16">
      <c r="A112" s="11"/>
      <c r="B112" s="11"/>
      <c r="C112" s="301"/>
      <c r="D112" s="197"/>
      <c r="E112" s="11"/>
      <c r="F112" s="11"/>
      <c r="G112" s="11"/>
      <c r="H112" s="11"/>
      <c r="I112" s="11"/>
      <c r="J112" s="11"/>
      <c r="K112" s="11"/>
    </row>
    <row r="113" spans="1:11">
      <c r="A113" s="11"/>
      <c r="B113" s="11"/>
      <c r="C113" s="197"/>
      <c r="D113" s="197"/>
      <c r="E113" s="11"/>
      <c r="F113" s="11"/>
      <c r="G113" s="11"/>
      <c r="H113" s="11"/>
      <c r="I113" s="11"/>
      <c r="J113" s="11"/>
      <c r="K113" s="11"/>
    </row>
    <row r="114" spans="1:11">
      <c r="A114" s="11"/>
      <c r="B114" s="11"/>
      <c r="C114" s="197"/>
      <c r="D114" s="197"/>
      <c r="E114" s="11"/>
      <c r="F114" s="11"/>
      <c r="G114" s="11"/>
      <c r="H114" s="11"/>
      <c r="I114" s="11"/>
      <c r="J114" s="11"/>
      <c r="K114" s="11"/>
    </row>
    <row r="115" spans="1:11">
      <c r="A115" s="11"/>
      <c r="B115" s="11"/>
      <c r="C115" s="197"/>
      <c r="D115" s="197"/>
      <c r="E115" s="11"/>
      <c r="F115" s="11"/>
      <c r="G115" s="11"/>
      <c r="H115" s="11"/>
      <c r="I115" s="11"/>
      <c r="J115" s="11"/>
      <c r="K115" s="11"/>
    </row>
    <row r="116" spans="1:11">
      <c r="A116" s="11"/>
      <c r="B116" s="11"/>
      <c r="C116" s="197"/>
      <c r="D116" s="197"/>
      <c r="E116" s="11"/>
      <c r="F116" s="11"/>
      <c r="G116" s="11"/>
      <c r="H116" s="11"/>
      <c r="I116" s="11"/>
      <c r="J116" s="11"/>
      <c r="K116" s="11"/>
    </row>
    <row r="117" spans="1:11">
      <c r="A117" s="11"/>
      <c r="B117" s="11"/>
      <c r="C117" s="197"/>
      <c r="D117" s="197"/>
      <c r="E117" s="11"/>
      <c r="F117" s="11"/>
      <c r="G117" s="11"/>
      <c r="H117" s="11"/>
      <c r="I117" s="11"/>
      <c r="J117" s="11"/>
      <c r="K117" s="11"/>
    </row>
    <row r="118" spans="1:11">
      <c r="A118" s="11"/>
      <c r="B118" s="11"/>
      <c r="C118" s="197"/>
      <c r="D118" s="197"/>
      <c r="E118" s="11"/>
      <c r="F118" s="11"/>
      <c r="G118" s="11"/>
      <c r="H118" s="11"/>
      <c r="I118" s="11"/>
      <c r="J118" s="11"/>
      <c r="K118" s="11"/>
    </row>
    <row r="119" spans="1:11">
      <c r="A119" s="11"/>
      <c r="B119" s="11"/>
      <c r="C119" s="197"/>
      <c r="D119" s="197"/>
      <c r="E119" s="11"/>
      <c r="F119" s="11"/>
      <c r="G119" s="11"/>
      <c r="H119" s="11"/>
      <c r="I119" s="11"/>
      <c r="J119" s="11"/>
      <c r="K119" s="11"/>
    </row>
    <row r="120" spans="1:11">
      <c r="A120" s="11"/>
      <c r="B120" s="11"/>
      <c r="C120" s="197"/>
      <c r="D120" s="197"/>
      <c r="E120" s="11"/>
      <c r="F120" s="11"/>
      <c r="G120" s="11"/>
      <c r="H120" s="11"/>
      <c r="I120" s="11"/>
      <c r="J120" s="11"/>
      <c r="K120" s="11"/>
    </row>
    <row r="121" spans="1:11">
      <c r="A121" s="11"/>
      <c r="B121" s="11"/>
      <c r="C121" s="197"/>
      <c r="D121" s="197"/>
      <c r="E121" s="11"/>
      <c r="F121" s="11"/>
      <c r="G121" s="11"/>
      <c r="H121" s="11"/>
      <c r="I121" s="11"/>
      <c r="J121" s="11"/>
      <c r="K121" s="11"/>
    </row>
    <row r="122" spans="1:1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</row>
    <row r="123" spans="1:1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</row>
    <row r="124" spans="1:1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</row>
    <row r="125" spans="1:1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</row>
    <row r="126" spans="1:1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</row>
    <row r="127" spans="1:1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</row>
    <row r="128" spans="1:1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</row>
    <row r="129" spans="1:1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</row>
    <row r="130" spans="1:1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</row>
    <row r="131" spans="1:1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</row>
    <row r="132" spans="1:1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</row>
    <row r="133" spans="1:1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</row>
    <row r="135" spans="1:1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</row>
    <row r="136" spans="1:1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</row>
    <row r="137" spans="1:1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</row>
    <row r="138" spans="1:1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</row>
    <row r="139" spans="1:1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</row>
    <row r="140" spans="1:1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</row>
    <row r="141" spans="1:1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</row>
    <row r="142" spans="1:1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</row>
    <row r="143" spans="1:1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</row>
    <row r="144" spans="1:1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</row>
    <row r="145" spans="1:1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</row>
    <row r="146" spans="1:1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</row>
    <row r="147" spans="1:1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</row>
    <row r="149" spans="1:1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</row>
    <row r="150" spans="1:1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</row>
    <row r="151" spans="1:1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</row>
    <row r="152" spans="1:1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</row>
    <row r="153" spans="1:1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</row>
    <row r="155" spans="1:1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</row>
    <row r="156" spans="1:1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</row>
    <row r="157" spans="1:1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</row>
    <row r="158" spans="1:1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</row>
    <row r="159" spans="1:1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</row>
    <row r="160" spans="1:1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</row>
    <row r="161" spans="1:1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</row>
    <row r="162" spans="1:1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</row>
    <row r="163" spans="1:1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</row>
    <row r="164" spans="1:1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</row>
    <row r="165" spans="1:1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</row>
    <row r="166" spans="1:1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</row>
    <row r="167" spans="1:1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</row>
    <row r="168" spans="1:1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</row>
    <row r="169" spans="1:1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</row>
    <row r="170" spans="1:1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</row>
    <row r="171" spans="1:1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</row>
    <row r="172" spans="1:1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</row>
    <row r="173" spans="1:1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</row>
    <row r="175" spans="1:1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</row>
    <row r="176" spans="1:1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</row>
    <row r="177" spans="1:1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</row>
    <row r="178" spans="1:1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</row>
    <row r="179" spans="1:1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</row>
    <row r="180" spans="1:1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</row>
    <row r="181" spans="1:1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</row>
    <row r="182" spans="1:1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</row>
    <row r="183" spans="1:1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</row>
    <row r="184" spans="1:1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</row>
    <row r="185" spans="1:1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</row>
    <row r="186" spans="1:1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</row>
    <row r="187" spans="1:1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</row>
    <row r="188" spans="1:1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</row>
    <row r="189" spans="1:1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</row>
    <row r="190" spans="1:1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</row>
    <row r="191" spans="1:1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</row>
    <row r="192" spans="1:1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</row>
    <row r="193" spans="1:1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</row>
    <row r="195" spans="1:1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</row>
    <row r="196" spans="1:1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</row>
    <row r="197" spans="1:1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</row>
    <row r="198" spans="1:1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</row>
    <row r="199" spans="1:1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</row>
    <row r="200" spans="1:1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</row>
    <row r="201" spans="1:1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</row>
    <row r="202" spans="1:1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</row>
    <row r="203" spans="1:1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</row>
    <row r="204" spans="1:1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</row>
    <row r="205" spans="1:1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</row>
    <row r="206" spans="1:1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</row>
    <row r="207" spans="1:1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</row>
    <row r="208" spans="1:1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</row>
    <row r="209" spans="1:1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</row>
    <row r="210" spans="1:1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</row>
    <row r="211" spans="1:1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</row>
    <row r="212" spans="1:1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</row>
    <row r="213" spans="1:1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</row>
    <row r="214" spans="1:1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</row>
    <row r="215" spans="1:1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</row>
    <row r="216" spans="1:1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</row>
    <row r="217" spans="1:1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</row>
    <row r="218" spans="1:1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</row>
    <row r="219" spans="1:1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</row>
    <row r="220" spans="1:1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</row>
    <row r="221" spans="1:1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</row>
    <row r="222" spans="1:1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</row>
    <row r="223" spans="1:1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</row>
    <row r="224" spans="1:1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</row>
    <row r="225" spans="1:1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</row>
    <row r="226" spans="1:1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</row>
    <row r="227" spans="1:1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</row>
    <row r="228" spans="1:1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</row>
    <row r="229" spans="1:1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</row>
    <row r="230" spans="1:1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</row>
    <row r="231" spans="1:1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</row>
    <row r="232" spans="1:1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</row>
    <row r="233" spans="1:1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</row>
    <row r="234" spans="1:1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</row>
    <row r="235" spans="1:1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</row>
    <row r="236" spans="1:1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</row>
    <row r="237" spans="1:1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</row>
    <row r="238" spans="1:1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</row>
    <row r="239" spans="1:1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</row>
    <row r="240" spans="1:1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</row>
    <row r="241" spans="1:1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</row>
    <row r="242" spans="1:1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</row>
    <row r="243" spans="1:1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</row>
    <row r="244" spans="1:1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</row>
    <row r="245" spans="1:1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</row>
    <row r="246" spans="1:1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</row>
    <row r="247" spans="1:1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</row>
    <row r="248" spans="1:1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</row>
    <row r="249" spans="1:1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</row>
    <row r="251" spans="1:1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</row>
    <row r="252" spans="1:1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</row>
    <row r="253" spans="1:1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</row>
    <row r="254" spans="1:1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</row>
    <row r="255" spans="1:1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</row>
    <row r="257" spans="1:1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</row>
    <row r="258" spans="1:1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</row>
    <row r="259" spans="1:1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</row>
    <row r="260" spans="1:1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</row>
    <row r="261" spans="1:1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</row>
    <row r="262" spans="1:1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</row>
  </sheetData>
  <mergeCells count="4">
    <mergeCell ref="B2:C2"/>
    <mergeCell ref="U22:Y24"/>
    <mergeCell ref="H24:J24"/>
    <mergeCell ref="D24:G24"/>
  </mergeCells>
  <dataValidations count="14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5:F57 Q1:S11 D65:F66 D85:E95 F85:F88 F90:F95 D33:F52 D75 D26:F31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58:F62 D76:D77" xr:uid="{88B856F9-DC9B-488D-93E3-3A2FEECA1C8C}">
      <formula1>INDIRECT(V13)</formula1>
    </dataValidation>
    <dataValidation type="list" allowBlank="1" showInputMessage="1" showErrorMessage="1" sqref="D78:F78 D63:F64" xr:uid="{DF3E2E78-E489-492D-B1C3-4717A17EB37A}">
      <formula1>INDIRECT(V65)</formula1>
    </dataValidation>
    <dataValidation type="list" allowBlank="1" showInputMessage="1" showErrorMessage="1" sqref="D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  <dataValidation type="list" allowBlank="1" showInputMessage="1" showErrorMessage="1" sqref="D69:F69 D71:F71 D73:F74" xr:uid="{ECB893BC-80F2-4EA0-9B5D-31FC76B2E25A}">
      <formula1>INDIRECT(Z80)</formula1>
    </dataValidation>
    <dataValidation type="list" allowBlank="1" showInputMessage="1" showErrorMessage="1" sqref="D67:F68" xr:uid="{E5AF9865-1509-4C2F-9042-32BC8A49F3E4}">
      <formula1>INDIRECT(Z62)</formula1>
    </dataValidation>
    <dataValidation type="list" allowBlank="1" showInputMessage="1" showErrorMessage="1" sqref="D69:E69" xr:uid="{9BCDFB0C-6A11-47DF-A547-531121026D73}">
      <formula1>INDIRECT(Z69)</formula1>
    </dataValidation>
    <dataValidation type="list" allowBlank="1" showInputMessage="1" showErrorMessage="1" sqref="D70:F70" xr:uid="{2A59B010-FBE1-415C-8C91-90D15A640E76}">
      <formula1>INDIRECT(Z78)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D107:D121 K55 K26:K51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B55:B66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11" sqref="E11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>
      <c r="L3" s="472">
        <f>I32*C171 +C165*I33</f>
        <v>1161600</v>
      </c>
    </row>
    <row r="4" spans="3:34" ht="16.2" thickBot="1">
      <c r="C4" s="11"/>
      <c r="D4" s="11"/>
      <c r="E4" s="11" t="s">
        <v>638</v>
      </c>
      <c r="F4" s="11"/>
      <c r="G4" s="11"/>
      <c r="H4" s="496"/>
      <c r="I4" s="505"/>
      <c r="J4" s="11"/>
      <c r="K4" s="11"/>
      <c r="L4" s="11" t="s">
        <v>588</v>
      </c>
      <c r="M4" s="11"/>
      <c r="N4" s="11"/>
      <c r="O4" s="11"/>
      <c r="P4" s="11"/>
      <c r="Q4" s="11"/>
    </row>
    <row r="5" spans="3:34" ht="24" thickBot="1">
      <c r="C5" s="206" t="s">
        <v>191</v>
      </c>
      <c r="D5" s="650" t="s">
        <v>101</v>
      </c>
      <c r="E5" s="651"/>
      <c r="F5" s="651"/>
      <c r="G5" s="651"/>
      <c r="H5" s="651"/>
      <c r="I5" s="651"/>
      <c r="J5" s="651"/>
      <c r="K5" s="651"/>
      <c r="L5" s="651"/>
      <c r="M5" s="651"/>
      <c r="N5" s="651"/>
      <c r="O5" s="652"/>
      <c r="P5" s="11"/>
      <c r="Q5" s="11"/>
    </row>
    <row r="6" spans="3:34" ht="18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570</v>
      </c>
      <c r="J6" s="375"/>
      <c r="K6" s="198"/>
      <c r="M6" s="141"/>
      <c r="N6" s="141"/>
      <c r="O6" s="142"/>
      <c r="P6" s="11"/>
      <c r="Q6" s="11"/>
    </row>
    <row r="7" spans="3:34" ht="18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">
      <c r="C8" s="209" t="s">
        <v>192</v>
      </c>
      <c r="D8" s="140" t="s">
        <v>102</v>
      </c>
      <c r="E8" s="494">
        <v>0</v>
      </c>
      <c r="F8" s="495">
        <v>0</v>
      </c>
      <c r="G8" s="495">
        <v>0</v>
      </c>
      <c r="H8" s="496">
        <v>71.5</v>
      </c>
      <c r="I8" s="572">
        <v>34613.686534216336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">
      <c r="C9" s="209" t="s">
        <v>179</v>
      </c>
      <c r="D9" s="140" t="s">
        <v>194</v>
      </c>
      <c r="E9" s="153">
        <v>70</v>
      </c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">
      <c r="C10" s="209" t="s">
        <v>179</v>
      </c>
      <c r="D10" s="140" t="s">
        <v>195</v>
      </c>
      <c r="E10" s="153">
        <v>70</v>
      </c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535</v>
      </c>
      <c r="T13" s="404" t="s">
        <v>527</v>
      </c>
      <c r="U13" s="404" t="s">
        <v>528</v>
      </c>
      <c r="V13" s="404" t="s">
        <v>163</v>
      </c>
      <c r="W13" s="404" t="s">
        <v>529</v>
      </c>
      <c r="X13" s="404" t="s">
        <v>530</v>
      </c>
      <c r="Y13" s="404" t="s">
        <v>531</v>
      </c>
      <c r="Z13" s="404" t="s">
        <v>297</v>
      </c>
      <c r="AA13" s="404" t="s">
        <v>532</v>
      </c>
      <c r="AB13" s="405" t="s">
        <v>533</v>
      </c>
      <c r="AF13" t="s">
        <v>572</v>
      </c>
      <c r="AG13">
        <v>125</v>
      </c>
      <c r="AH13" t="s">
        <v>571</v>
      </c>
    </row>
    <row r="14" spans="3:34" ht="18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536</v>
      </c>
      <c r="T14" s="404" t="s">
        <v>534</v>
      </c>
      <c r="U14" s="404" t="s">
        <v>534</v>
      </c>
      <c r="V14" s="404" t="s">
        <v>534</v>
      </c>
      <c r="W14" s="404" t="s">
        <v>534</v>
      </c>
      <c r="X14" s="404" t="s">
        <v>534</v>
      </c>
      <c r="Y14" s="404" t="s">
        <v>534</v>
      </c>
      <c r="Z14" s="404" t="s">
        <v>534</v>
      </c>
      <c r="AA14" s="404" t="s">
        <v>534</v>
      </c>
      <c r="AB14" s="404" t="s">
        <v>534</v>
      </c>
      <c r="AF14" t="s">
        <v>573</v>
      </c>
      <c r="AG14">
        <v>20</v>
      </c>
      <c r="AH14" t="s">
        <v>574</v>
      </c>
    </row>
    <row r="15" spans="3:34" ht="18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575</v>
      </c>
      <c r="AG15">
        <v>50</v>
      </c>
      <c r="AH15" t="s">
        <v>576</v>
      </c>
    </row>
    <row r="16" spans="3:34" ht="18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574</v>
      </c>
    </row>
    <row r="18" spans="3:34" ht="18">
      <c r="C18" s="166"/>
      <c r="D18" s="146" t="s">
        <v>525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541</v>
      </c>
      <c r="Y18" s="240" t="s">
        <v>538</v>
      </c>
      <c r="Z18" s="240" t="s">
        <v>539</v>
      </c>
      <c r="AG18">
        <f>AG17/AG14</f>
        <v>0.125</v>
      </c>
    </row>
    <row r="19" spans="3:34" ht="18">
      <c r="C19" s="166"/>
      <c r="D19" s="146" t="s">
        <v>526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527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528</v>
      </c>
      <c r="AC19" s="408">
        <f>Z20</f>
        <v>2.5299999999999996E-2</v>
      </c>
      <c r="AD19" s="240"/>
    </row>
    <row r="20" spans="3:34" ht="18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528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">
      <c r="C22" s="166"/>
      <c r="D22" s="146" t="s">
        <v>527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529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530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525</v>
      </c>
      <c r="AC23" s="408">
        <f>Z24</f>
        <v>6.5999999999999991E-3</v>
      </c>
      <c r="AD23" s="240"/>
    </row>
    <row r="24" spans="3:34" ht="18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531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526</v>
      </c>
      <c r="AC24" s="408">
        <f>Z22</f>
        <v>2.4999999999999996E-3</v>
      </c>
      <c r="AD24" s="240"/>
    </row>
    <row r="25" spans="3:34" ht="18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532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533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">
      <c r="C29" s="166"/>
      <c r="D29" s="146" t="s">
        <v>497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537</v>
      </c>
      <c r="X29" s="531">
        <f>0.8</f>
        <v>0.8</v>
      </c>
      <c r="Z29" s="406"/>
    </row>
    <row r="30" spans="3:34" ht="18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543</v>
      </c>
      <c r="AC30" s="391">
        <f>SUM(AC19:AC28)</f>
        <v>1</v>
      </c>
    </row>
    <row r="31" spans="3:34" ht="18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540</v>
      </c>
      <c r="Y31" s="403">
        <f>X29*1000/(1-X29)</f>
        <v>4000.0000000000009</v>
      </c>
      <c r="Z31">
        <f>Y31/(Y31+1000)</f>
        <v>0.8</v>
      </c>
    </row>
    <row r="32" spans="3:34" ht="18">
      <c r="C32" s="166"/>
      <c r="D32" s="146" t="s">
        <v>586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542</v>
      </c>
    </row>
    <row r="33" spans="2:26" ht="18">
      <c r="C33" s="166"/>
      <c r="D33" s="146" t="s">
        <v>587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450</v>
      </c>
      <c r="E41" s="302" t="s">
        <v>451</v>
      </c>
      <c r="M41" s="302" t="s">
        <v>452</v>
      </c>
      <c r="O41" t="s">
        <v>434</v>
      </c>
    </row>
    <row r="43" spans="2:26">
      <c r="C43" s="302"/>
    </row>
    <row r="44" spans="2:26">
      <c r="N44" s="11"/>
    </row>
    <row r="64" spans="8:8">
      <c r="H64">
        <f>1.5/(100-84)</f>
        <v>9.375E-2</v>
      </c>
    </row>
    <row r="67" spans="3:18">
      <c r="C67" t="s">
        <v>424</v>
      </c>
      <c r="D67" s="298" t="s">
        <v>425</v>
      </c>
    </row>
    <row r="68" spans="3:18">
      <c r="Q68">
        <v>43.3</v>
      </c>
      <c r="R68" t="s">
        <v>487</v>
      </c>
    </row>
    <row r="69" spans="3:18">
      <c r="Q69">
        <v>13</v>
      </c>
      <c r="R69" t="s">
        <v>488</v>
      </c>
    </row>
    <row r="70" spans="3:18">
      <c r="Q70">
        <f>Q68+Q69</f>
        <v>56.3</v>
      </c>
      <c r="R70" t="s">
        <v>489</v>
      </c>
    </row>
    <row r="72" spans="3:18">
      <c r="Q72">
        <f>Q68/Q70</f>
        <v>0.76909413854351683</v>
      </c>
      <c r="R72" t="s">
        <v>490</v>
      </c>
    </row>
    <row r="93" spans="3:7">
      <c r="C93" s="298" t="s">
        <v>432</v>
      </c>
      <c r="G93" t="s">
        <v>433</v>
      </c>
    </row>
    <row r="123" spans="3:14" ht="15" thickBot="1"/>
    <row r="124" spans="3:14">
      <c r="C124" t="s">
        <v>491</v>
      </c>
      <c r="D124" s="298" t="s">
        <v>496</v>
      </c>
      <c r="J124" s="585" t="s">
        <v>640</v>
      </c>
      <c r="K124" s="586"/>
      <c r="L124" s="586"/>
      <c r="M124" s="586"/>
      <c r="N124" s="587"/>
    </row>
    <row r="125" spans="3:14">
      <c r="C125">
        <v>41</v>
      </c>
      <c r="D125" t="s">
        <v>492</v>
      </c>
      <c r="J125" s="583">
        <v>281422</v>
      </c>
      <c r="K125" s="584" t="s">
        <v>641</v>
      </c>
      <c r="L125" s="584" t="s">
        <v>644</v>
      </c>
      <c r="M125" s="588">
        <f>J128*11.8</f>
        <v>3933.3333333333335</v>
      </c>
      <c r="N125" s="589" t="s">
        <v>645</v>
      </c>
    </row>
    <row r="126" spans="3:14">
      <c r="C126" s="299">
        <f>C125/35.273962</f>
        <v>1.1623304464635984</v>
      </c>
      <c r="D126" t="s">
        <v>639</v>
      </c>
      <c r="J126" s="583">
        <v>8000</v>
      </c>
      <c r="K126" s="584" t="s">
        <v>273</v>
      </c>
      <c r="L126" s="584"/>
      <c r="M126" s="584">
        <f>J125/M125</f>
        <v>71.547966101694911</v>
      </c>
      <c r="N126" s="589" t="s">
        <v>646</v>
      </c>
    </row>
    <row r="127" spans="3:14">
      <c r="C127">
        <f>1.5*0.96</f>
        <v>1.44</v>
      </c>
      <c r="D127" t="s">
        <v>493</v>
      </c>
      <c r="J127" s="583">
        <v>24</v>
      </c>
      <c r="K127" s="584" t="s">
        <v>642</v>
      </c>
      <c r="L127" s="584"/>
      <c r="M127" s="584"/>
      <c r="N127" s="589"/>
    </row>
    <row r="128" spans="3:14" ht="15" thickBot="1">
      <c r="C128" s="391">
        <f>C127/C126</f>
        <v>1.2388903726829266</v>
      </c>
      <c r="D128" t="s">
        <v>494</v>
      </c>
      <c r="J128" s="590">
        <f>J126/J127</f>
        <v>333.33333333333331</v>
      </c>
      <c r="K128" s="591" t="s">
        <v>643</v>
      </c>
      <c r="L128" s="591"/>
      <c r="M128" s="591"/>
      <c r="N128" s="592"/>
    </row>
    <row r="129" spans="3:4">
      <c r="C129" s="392">
        <f>C128*1000</f>
        <v>1238.8903726829265</v>
      </c>
      <c r="D129" t="s">
        <v>495</v>
      </c>
    </row>
    <row r="148" spans="3:4">
      <c r="C148" s="298" t="s">
        <v>577</v>
      </c>
    </row>
    <row r="158" spans="3:4" ht="15" thickBot="1"/>
    <row r="159" spans="3:4" ht="15" thickBot="1">
      <c r="C159" s="242" t="s">
        <v>582</v>
      </c>
      <c r="D159" s="466"/>
    </row>
    <row r="160" spans="3:4">
      <c r="C160" s="467">
        <v>50</v>
      </c>
      <c r="D160" s="468" t="s">
        <v>578</v>
      </c>
    </row>
    <row r="161" spans="3:11">
      <c r="C161" s="467">
        <v>1.2</v>
      </c>
      <c r="D161" s="468" t="s">
        <v>317</v>
      </c>
    </row>
    <row r="162" spans="3:11">
      <c r="C162" s="467">
        <f>C161*C160</f>
        <v>60</v>
      </c>
      <c r="D162" s="468" t="s">
        <v>579</v>
      </c>
    </row>
    <row r="163" spans="3:11">
      <c r="C163" s="467">
        <v>160</v>
      </c>
      <c r="D163" s="468" t="s">
        <v>580</v>
      </c>
    </row>
    <row r="164" spans="3:11" ht="15" thickBot="1">
      <c r="C164" s="469">
        <f>121 / 100</f>
        <v>1.21</v>
      </c>
      <c r="D164" s="468" t="s">
        <v>581</v>
      </c>
      <c r="E164" s="298"/>
      <c r="F164">
        <f>60/1000</f>
        <v>0.06</v>
      </c>
      <c r="G164" t="s">
        <v>581</v>
      </c>
    </row>
    <row r="165" spans="3:11" ht="15" thickBot="1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  <c r="I165" s="573"/>
      <c r="J165" s="574"/>
      <c r="K165" s="575"/>
    </row>
    <row r="166" spans="3:11" ht="15" thickBot="1">
      <c r="I166" s="576" t="s">
        <v>653</v>
      </c>
      <c r="J166" s="531"/>
      <c r="K166" s="577"/>
    </row>
    <row r="167" spans="3:11" ht="15" thickBot="1">
      <c r="C167" s="242" t="s">
        <v>583</v>
      </c>
      <c r="D167" s="466"/>
      <c r="I167" s="578" t="s">
        <v>654</v>
      </c>
      <c r="J167" s="531"/>
      <c r="K167" s="577"/>
    </row>
    <row r="168" spans="3:11">
      <c r="C168" s="467">
        <v>500</v>
      </c>
      <c r="D168" s="468" t="s">
        <v>584</v>
      </c>
      <c r="I168" s="576"/>
      <c r="J168" s="531"/>
      <c r="K168" s="577"/>
    </row>
    <row r="169" spans="3:11">
      <c r="C169" s="467">
        <v>363</v>
      </c>
      <c r="D169" s="468" t="s">
        <v>585</v>
      </c>
      <c r="I169" s="576">
        <v>16</v>
      </c>
      <c r="J169" s="531" t="s">
        <v>655</v>
      </c>
      <c r="K169" s="577"/>
    </row>
    <row r="170" spans="3:11">
      <c r="C170" s="467">
        <f>C169/C168</f>
        <v>0.72599999999999998</v>
      </c>
      <c r="D170" s="468" t="s">
        <v>581</v>
      </c>
      <c r="I170" s="576">
        <f xml:space="preserve"> I169*0.98</f>
        <v>15.68</v>
      </c>
      <c r="J170" s="531" t="s">
        <v>656</v>
      </c>
      <c r="K170" s="577"/>
    </row>
    <row r="171" spans="3:11" ht="15" thickBot="1">
      <c r="C171" s="476">
        <f>C170*1000000</f>
        <v>726000</v>
      </c>
      <c r="D171" s="470" t="s">
        <v>290</v>
      </c>
      <c r="I171" s="579">
        <f>I170/0.453</f>
        <v>34.613686534216335</v>
      </c>
      <c r="J171" s="531" t="s">
        <v>657</v>
      </c>
      <c r="K171" s="577"/>
    </row>
    <row r="172" spans="3:11" ht="15" thickBot="1">
      <c r="I172" s="579">
        <f>I171*1000</f>
        <v>34613.686534216336</v>
      </c>
      <c r="J172" s="531" t="s">
        <v>290</v>
      </c>
      <c r="K172" s="577"/>
    </row>
    <row r="173" spans="3:11" ht="15" thickBot="1">
      <c r="C173" s="242" t="s">
        <v>104</v>
      </c>
      <c r="D173" s="473"/>
      <c r="E173" s="466"/>
      <c r="I173" s="576"/>
      <c r="J173" s="531"/>
      <c r="K173" s="577"/>
    </row>
    <row r="174" spans="3:11">
      <c r="C174" s="467" t="s">
        <v>591</v>
      </c>
      <c r="E174" s="468"/>
      <c r="I174" s="576"/>
      <c r="J174" s="531"/>
      <c r="K174" s="577"/>
    </row>
    <row r="175" spans="3:11">
      <c r="C175" s="467" t="s">
        <v>592</v>
      </c>
      <c r="E175" s="468"/>
      <c r="I175" s="576"/>
      <c r="J175" s="531"/>
      <c r="K175" s="577"/>
    </row>
    <row r="176" spans="3:11">
      <c r="C176" s="467" t="s">
        <v>593</v>
      </c>
      <c r="E176" s="468"/>
      <c r="I176" s="583" t="s">
        <v>658</v>
      </c>
      <c r="J176" s="584"/>
      <c r="K176" s="577"/>
    </row>
    <row r="177" spans="3:11" ht="15" thickBot="1">
      <c r="C177" s="312"/>
      <c r="D177" s="474"/>
      <c r="E177" s="470"/>
      <c r="I177" s="576"/>
      <c r="J177" s="531"/>
      <c r="K177" s="577"/>
    </row>
    <row r="178" spans="3:11" ht="15" thickBot="1">
      <c r="C178" s="475">
        <f>20/700</f>
        <v>2.8571428571428571E-2</v>
      </c>
      <c r="D178" s="473" t="s">
        <v>589</v>
      </c>
      <c r="E178" s="466"/>
      <c r="I178" s="580"/>
      <c r="J178" s="581"/>
      <c r="K178" s="582"/>
    </row>
    <row r="179" spans="3:11">
      <c r="C179" s="467">
        <f xml:space="preserve"> 2 /1000</f>
        <v>2E-3</v>
      </c>
      <c r="D179" t="s">
        <v>590</v>
      </c>
      <c r="E179" s="468"/>
    </row>
    <row r="180" spans="3:11" ht="15" thickBot="1">
      <c r="C180">
        <f>C179*0.3</f>
        <v>5.9999999999999995E-4</v>
      </c>
      <c r="D180" t="s">
        <v>595</v>
      </c>
      <c r="E180" s="470"/>
    </row>
    <row r="181" spans="3:11" ht="15" thickBot="1">
      <c r="C181" s="476">
        <f>C179/C178</f>
        <v>7.0000000000000007E-2</v>
      </c>
      <c r="D181" s="474" t="s">
        <v>594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I167" r:id="rId5" display="https://www.northernbrewer.com/products/amylase-enzyme-1-lb" xr:uid="{A19DEF9A-F9EF-4ECD-9D63-0F7F98382811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653" t="s">
        <v>110</v>
      </c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5"/>
      <c r="P5" s="11"/>
      <c r="Q5" s="11"/>
    </row>
    <row r="6" spans="3:17" ht="18">
      <c r="C6" s="11"/>
      <c r="D6" s="205" t="s">
        <v>1</v>
      </c>
      <c r="E6" s="198" t="s">
        <v>522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J11" sqref="J11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629" t="s">
        <v>374</v>
      </c>
      <c r="D3" s="630"/>
      <c r="E3" s="630"/>
      <c r="F3" s="630"/>
      <c r="G3" s="631"/>
      <c r="H3" s="11"/>
      <c r="I3" s="11"/>
      <c r="J3" s="11"/>
      <c r="L3" s="656" t="s">
        <v>373</v>
      </c>
      <c r="M3" s="657"/>
      <c r="N3" s="657"/>
      <c r="O3" s="657"/>
      <c r="P3" s="658"/>
      <c r="U3" s="389"/>
    </row>
    <row r="4" spans="2:31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>
      <c r="J5" s="403">
        <f>I10-H10</f>
        <v>1500</v>
      </c>
      <c r="T5" t="e">
        <f>#REF!/2</f>
        <v>#REF!</v>
      </c>
      <c r="V5" t="e">
        <f>#REF!*2</f>
        <v>#REF!</v>
      </c>
    </row>
    <row r="6" spans="2:31">
      <c r="J6">
        <f>J5/J10</f>
        <v>75</v>
      </c>
      <c r="AB6" s="340"/>
      <c r="AC6" s="340" t="s">
        <v>352</v>
      </c>
      <c r="AD6" s="340"/>
      <c r="AE6" s="340"/>
    </row>
    <row r="7" spans="2:31" ht="15" thickBot="1">
      <c r="K7" s="295"/>
      <c r="AA7" s="340"/>
      <c r="AB7" s="340"/>
      <c r="AC7" s="340"/>
      <c r="AD7" s="340"/>
      <c r="AE7" s="340"/>
    </row>
    <row r="8" spans="2:31" ht="15" thickBot="1">
      <c r="C8" s="329"/>
      <c r="D8" s="646" t="s">
        <v>342</v>
      </c>
      <c r="E8" s="649"/>
      <c r="F8" s="649"/>
      <c r="G8" s="649"/>
      <c r="H8" s="646" t="s">
        <v>371</v>
      </c>
      <c r="I8" s="649"/>
      <c r="J8" s="647"/>
      <c r="K8" s="344"/>
      <c r="L8" s="329"/>
      <c r="M8" s="646" t="s">
        <v>342</v>
      </c>
      <c r="N8" s="649"/>
      <c r="O8" s="649"/>
      <c r="P8" s="649"/>
      <c r="Q8" s="646" t="s">
        <v>371</v>
      </c>
      <c r="R8" s="649"/>
      <c r="S8" s="647"/>
      <c r="AA8" s="340"/>
      <c r="AB8" s="340"/>
      <c r="AC8" s="340"/>
      <c r="AD8" s="340"/>
      <c r="AE8" s="340"/>
    </row>
    <row r="9" spans="2:31" ht="18.600000000000001" thickBot="1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502" t="s">
        <v>610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4500</v>
      </c>
      <c r="I10" s="555">
        <v>6000</v>
      </c>
      <c r="J10" s="278">
        <v>20</v>
      </c>
      <c r="K10" s="11" t="s">
        <v>633</v>
      </c>
      <c r="L10" s="539" t="s">
        <v>253</v>
      </c>
      <c r="M10" s="545">
        <v>510</v>
      </c>
      <c r="N10" s="545" t="s">
        <v>523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607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605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634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635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636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637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11" t="s">
        <v>608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>
      <c r="L45" s="166" t="s">
        <v>606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609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>
      <c r="L47" s="166" t="s">
        <v>607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>
      <c r="L48" s="166" t="s">
        <v>605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>
      <c r="L49" s="166" t="s">
        <v>605</v>
      </c>
      <c r="M49" s="166" t="s">
        <v>255</v>
      </c>
      <c r="N49" s="278">
        <v>200</v>
      </c>
      <c r="O49" s="297" t="s">
        <v>525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>
      <c r="L50" s="502" t="s">
        <v>610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>
      <c r="L51" s="166" t="s">
        <v>611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>
      <c r="L52" s="166" t="s">
        <v>613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>
      <c r="L53" s="166" t="s">
        <v>614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>
      <c r="L54" s="166" t="s">
        <v>616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>
      <c r="L55" s="166" t="s">
        <v>626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9" t="s">
        <v>75</v>
      </c>
      <c r="T8" s="610"/>
      <c r="U8" s="611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09" t="s">
        <v>7</v>
      </c>
      <c r="AI8" s="610"/>
      <c r="AJ8" s="611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Uncertainty_test_idea</vt:lpstr>
      <vt:lpstr>Uncertainty_old</vt:lpstr>
      <vt:lpstr>CHP (700)</vt:lpstr>
      <vt:lpstr>Composting (800)</vt:lpstr>
      <vt:lpstr>DataBank</vt:lpstr>
      <vt:lpstr>Systemblatt</vt:lpstr>
      <vt:lpstr>Pools</vt:lpstr>
      <vt:lpstr>Uncertainty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2024-10-16T14:59:04Z</dcterms:modified>
</cp:coreProperties>
</file>