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BA189F9D-7A14-4ED8-81F4-17E696F87995}" xr6:coauthVersionLast="47" xr6:coauthVersionMax="47" xr10:uidLastSave="{00000000-0000-0000-0000-000000000000}"/>
  <bookViews>
    <workbookView xWindow="-110" yWindow="-110" windowWidth="19420" windowHeight="10300" tabRatio="736" firstSheet="18" activeTab="21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Uncertainty_test_idea" sheetId="136" state="hidden" r:id="rId17"/>
    <sheet name="Uncertainty_old" sheetId="138" state="hidden" r:id="rId18"/>
    <sheet name="CHP (700)" sheetId="152" r:id="rId19"/>
    <sheet name="Composting (800)" sheetId="148" r:id="rId20"/>
    <sheet name="DataBank" sheetId="12" state="hidden" r:id="rId21"/>
    <sheet name="Systemblatt" sheetId="14" r:id="rId22"/>
    <sheet name="Pools" sheetId="114" r:id="rId23"/>
    <sheet name="Uncertainty" sheetId="144" r:id="rId24"/>
    <sheet name="Sources" sheetId="115" r:id="rId25"/>
    <sheet name="Distributor" sheetId="119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4" l="1"/>
  <c r="AF10" i="166"/>
  <c r="M125" i="115"/>
  <c r="M126" i="115"/>
  <c r="J128" i="115"/>
  <c r="I171" i="115"/>
  <c r="I172" i="115" s="1"/>
  <c r="I170" i="115"/>
  <c r="L3" i="115"/>
  <c r="V27" i="144"/>
  <c r="W27" i="144"/>
  <c r="X27" i="144"/>
  <c r="V28" i="144"/>
  <c r="W28" i="144"/>
  <c r="X28" i="144"/>
  <c r="V29" i="144"/>
  <c r="W29" i="144"/>
  <c r="X29" i="144"/>
  <c r="V30" i="144"/>
  <c r="W30" i="144"/>
  <c r="X30" i="144"/>
  <c r="V31" i="144"/>
  <c r="W31" i="144"/>
  <c r="X31" i="144"/>
  <c r="V32" i="144"/>
  <c r="W32" i="144"/>
  <c r="X32" i="144"/>
  <c r="V33" i="144"/>
  <c r="W33" i="144"/>
  <c r="X33" i="144"/>
  <c r="V34" i="144"/>
  <c r="W34" i="144"/>
  <c r="X34" i="144"/>
  <c r="V35" i="144"/>
  <c r="W35" i="144"/>
  <c r="X35" i="144"/>
  <c r="V36" i="144"/>
  <c r="W36" i="144"/>
  <c r="X36" i="144"/>
  <c r="V37" i="144"/>
  <c r="W37" i="144"/>
  <c r="X37" i="144"/>
  <c r="V38" i="144"/>
  <c r="W38" i="144"/>
  <c r="X38" i="144"/>
  <c r="V39" i="144"/>
  <c r="W39" i="144"/>
  <c r="X39" i="144"/>
  <c r="V40" i="144"/>
  <c r="W40" i="144"/>
  <c r="X40" i="144"/>
  <c r="V41" i="144"/>
  <c r="W41" i="144"/>
  <c r="X41" i="144"/>
  <c r="V42" i="144"/>
  <c r="W42" i="144"/>
  <c r="X42" i="144"/>
  <c r="V43" i="144"/>
  <c r="W43" i="144"/>
  <c r="X43" i="144"/>
  <c r="V44" i="144"/>
  <c r="W44" i="144"/>
  <c r="X44" i="144"/>
  <c r="V45" i="144"/>
  <c r="W45" i="144"/>
  <c r="X45" i="144"/>
  <c r="V46" i="144"/>
  <c r="W46" i="144"/>
  <c r="X46" i="144"/>
  <c r="V47" i="144"/>
  <c r="W47" i="144"/>
  <c r="X47" i="144"/>
  <c r="V48" i="144"/>
  <c r="W48" i="144"/>
  <c r="X48" i="144"/>
  <c r="V49" i="144"/>
  <c r="W49" i="144"/>
  <c r="X49" i="144"/>
  <c r="V50" i="144"/>
  <c r="W50" i="144"/>
  <c r="X50" i="144"/>
  <c r="V51" i="144"/>
  <c r="W51" i="144"/>
  <c r="X51" i="144"/>
  <c r="V52" i="144"/>
  <c r="W52" i="144"/>
  <c r="X52" i="144"/>
  <c r="V26" i="144"/>
  <c r="C54" i="144"/>
  <c r="X26" i="144"/>
  <c r="C128" i="115"/>
  <c r="C127" i="115"/>
  <c r="C126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7" i="144"/>
  <c r="L18" i="144" s="1"/>
  <c r="R21" i="144"/>
  <c r="P100" i="144"/>
  <c r="N20" i="144"/>
  <c r="M20" i="144"/>
  <c r="Q93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E27" i="152" l="1"/>
  <c r="E56" i="126" l="1"/>
  <c r="E55" i="126"/>
  <c r="E53" i="126"/>
  <c r="E52" i="126"/>
  <c r="D33" i="148"/>
  <c r="N10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W26" i="144" l="1"/>
  <c r="D72" i="138"/>
  <c r="D70" i="138"/>
  <c r="F25" i="114"/>
  <c r="C23" i="114"/>
  <c r="C37" i="114"/>
  <c r="E98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<sst xmlns="http://schemas.openxmlformats.org/spreadsheetml/2006/main" count="3606" uniqueCount="663">
  <si>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</si>
  <si>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</si>
  <si>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</si>
  <si>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</si>
  <si>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</si>
  <si>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</si>
  <si>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</si>
  <si>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</si>
  <si>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</si>
  <si>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</si>
  <si>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</si>
  <si>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</si>
  <si>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</si>
  <si>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</si>
  <si>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</si>
  <si>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</si>
  <si>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</si>
  <si>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</si>
  <si>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</si>
  <si>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</si>
  <si>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</si>
  <si>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</si>
  <si>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</si>
  <si>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</si>
  <si>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</si>
  <si>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</si>
  <si>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</si>
  <si>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</si>
  <si>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</si>
  <si>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</si>
  <si>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</si>
  <si>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</si>
  <si>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</si>
  <si>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</si>
  <si>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</si>
  <si>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</si>
  <si>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</si>
  <si>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</si>
  <si>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</si>
  <si>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</si>
  <si>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</si>
  <si>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</si>
  <si>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</si>
  <si>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</si>
  <si>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</si>
  <si>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</si>
  <si>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</si>
  <si>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</si>
  <si>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</si>
  <si>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</si>
  <si>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</si>
  <si>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</si>
  <si>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</si>
  <si>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</si>
  <si>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</si>
  <si>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</si>
  <si>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</si>
  <si>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</si>
  <si>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</si>
  <si>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</si>
  <si>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</si>
  <si>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</si>
  <si>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</si>
  <si>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</si>
  <si>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</si>
  <si>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</si>
  <si>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</si>
  <si>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</si>
  <si>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</si>
  <si>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</si>
  <si>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</si>
  <si>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</si>
  <si>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</si>
  <si>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</si>
  <si>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</si>
  <si>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</si>
  <si>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</si>
  <si>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</si>
  <si>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</si>
  <si>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</si>
  <si>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</si>
  <si>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</si>
  <si>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</si>
  <si>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</si>
  <si>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</si>
  <si>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</si>
  <si>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</si>
  <si>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</si>
  <si>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</si>
  <si>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</si>
  <si>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</si>
  <si>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</si>
  <si>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</si>
  <si>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</si>
  <si>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</si>
  <si>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</si>
  <si>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</si>
  <si>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</si>
  <si>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</si>
  <si>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</si>
  <si>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</si>
  <si>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</si>
  <si>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</si>
  <si>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</si>
  <si>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</si>
  <si>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</si>
  <si>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</si>
  <si>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</si>
  <si>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</si>
  <si>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</si>
  <si>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</si>
  <si>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</si>
  <si>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</si>
  <si>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</si>
  <si>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</si>
  <si>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</si>
  <si>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</si>
  <si>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</si>
  <si>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</si>
  <si>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</si>
  <si>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</si>
  <si>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</si>
  <si>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</si>
  <si>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</si>
  <si>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</si>
  <si>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</si>
  <si>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</si>
  <si>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</si>
  <si>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</si>
  <si>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</si>
  <si>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</si>
  <si>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</si>
  <si>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</si>
  <si>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</si>
  <si>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</si>
  <si>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</si>
  <si>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</si>
  <si>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</si>
  <si>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</si>
  <si>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</si>
  <si>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</si>
  <si>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</si>
  <si>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</si>
  <si>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</si>
  <si>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</si>
  <si>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</si>
  <si>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</si>
  <si>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</si>
  <si>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</si>
  <si>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</si>
  <si>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</si>
  <si>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</si>
  <si>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</si>
  <si>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</si>
  <si>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</si>
  <si>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</si>
  <si>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</si>
  <si>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</si>
  <si>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</si>
  <si>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</si>
  <si>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</si>
  <si>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</si>
  <si>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</si>
  <si>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</si>
  <si>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</si>
  <si>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</si>
  <si>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</si>
  <si>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</si>
  <si>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</si>
  <si>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</si>
  <si>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</si>
  <si>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</si>
  <si>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</si>
  <si>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</si>
  <si>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</si>
  <si>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</si>
  <si>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</si>
  <si>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</si>
  <si>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</si>
  <si>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</si>
  <si>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</si>
  <si>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</si>
  <si>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</si>
  <si>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</si>
  <si>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</si>
  <si>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</si>
  <si>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</si>
  <si>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</si>
  <si>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</si>
  <si>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</si>
  <si>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</si>
  <si>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</si>
  <si>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</si>
  <si>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</si>
  <si>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</si>
  <si>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</si>
  <si>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</si>
  <si>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</si>
  <si>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</si>
  <si>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</si>
  <si>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</si>
  <si>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</si>
  <si>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</si>
  <si>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</si>
  <si>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</si>
  <si>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</si>
  <si>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</si>
  <si>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</si>
  <si>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</si>
  <si>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</si>
  <si>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</si>
  <si>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</si>
  <si>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</si>
  <si>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</si>
  <si>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</si>
  <si>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</si>
  <si>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</si>
  <si>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</si>
  <si>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</si>
  <si>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</si>
  <si>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</si>
  <si>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</si>
  <si>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</si>
  <si>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</si>
  <si>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</si>
  <si>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</si>
  <si>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</si>
  <si>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</si>
  <si>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</si>
  <si>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</si>
  <si>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</si>
  <si>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</si>
  <si>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</si>
  <si>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</si>
  <si>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</si>
  <si>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</si>
  <si>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</si>
  <si>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</si>
  <si>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</si>
  <si>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</si>
  <si>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</si>
  <si>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</si>
  <si>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</si>
  <si>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</si>
  <si>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</si>
  <si>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</si>
  <si>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</si>
  <si>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</si>
  <si>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</si>
  <si>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</si>
  <si>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</si>
  <si>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</si>
  <si>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</si>
  <si>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</si>
  <si>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</si>
  <si>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</si>
  <si>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</si>
  <si>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</si>
  <si>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</si>
  <si>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</si>
  <si>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</si>
  <si>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</si>
  <si>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</si>
  <si>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</si>
  <si>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</si>
  <si>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</si>
  <si>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</si>
  <si>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</si>
  <si>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</si>
  <si>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</si>
  <si>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</si>
  <si>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</si>
  <si>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</si>
  <si>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</si>
  <si>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</si>
  <si>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</si>
  <si>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</si>
  <si>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</si>
  <si>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</si>
  <si>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</si>
  <si>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</si>
  <si>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</si>
  <si>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</si>
  <si>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</si>
  <si>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</si>
  <si>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</si>
  <si>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</si>
  <si>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</si>
  <si>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</si>
  <si>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</si>
  <si>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</si>
  <si>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</si>
  <si>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</si>
  <si>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</si>
  <si>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</si>
  <si>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</si>
  <si>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</si>
  <si>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</si>
  <si>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</si>
  <si>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</si>
  <si>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</si>
  <si>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</si>
  <si>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</si>
  <si>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</si>
  <si>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</si>
  <si>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</si>
  <si>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</si>
  <si>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</si>
  <si>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</si>
  <si>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</si>
  <si>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</si>
  <si>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</si>
  <si>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</si>
  <si>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</si>
  <si>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</si>
  <si>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</si>
  <si>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</si>
  <si>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</si>
  <si>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</si>
  <si>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</si>
  <si>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</si>
  <si>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</si>
  <si>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</si>
  <si>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</si>
  <si>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</si>
  <si>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</si>
  <si>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</si>
  <si>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</si>
  <si>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</si>
  <si>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</si>
  <si>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</si>
  <si>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</si>
  <si>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</si>
  <si>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</si>
  <si>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</si>
  <si>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</si>
  <si>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</si>
  <si>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</si>
  <si>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</si>
  <si>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</si>
  <si>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</si>
  <si>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</si>
  <si>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</si>
  <si>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</si>
  <si>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</si>
  <si>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</si>
  <si>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</si>
  <si>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</si>
  <si>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</si>
  <si>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</si>
  <si>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</si>
  <si>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</si>
  <si>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</si>
  <si>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</si>
  <si>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</si>
  <si>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</si>
  <si>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</si>
  <si>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</si>
  <si>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</si>
  <si>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</si>
  <si>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</si>
  <si>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</si>
  <si>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</si>
  <si>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</si>
  <si>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</si>
  <si>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</si>
  <si>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</si>
  <si>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</si>
  <si>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</si>
  <si>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</si>
  <si>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</si>
  <si>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</si>
  <si>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</si>
  <si>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</si>
  <si>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</si>
  <si>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</si>
  <si>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</si>
  <si>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</si>
  <si>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</si>
  <si>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</si>
  <si>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</si>
  <si>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</si>
  <si>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</si>
  <si>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</si>
  <si>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</si>
  <si>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</si>
  <si>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</si>
  <si>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</si>
  <si>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</si>
  <si>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</si>
  <si>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</si>
  <si>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</si>
  <si>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</si>
  <si>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</si>
  <si>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</si>
  <si>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</si>
  <si>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</si>
  <si>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</si>
  <si>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</si>
  <si>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</si>
  <si>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</si>
  <si>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</si>
  <si>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</si>
  <si>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</si>
  <si>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</si>
  <si>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</si>
  <si>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</si>
  <si>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</si>
  <si>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</si>
  <si>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</si>
  <si>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</si>
  <si>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</si>
  <si>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</si>
  <si>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</si>
  <si>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</si>
  <si>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</si>
  <si>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</si>
  <si>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</si>
  <si>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</si>
  <si>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</si>
  <si>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</si>
  <si>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</si>
  <si>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</si>
  <si>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</si>
  <si>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</si>
  <si>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</si>
  <si>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</si>
  <si>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</si>
  <si>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</si>
  <si>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</si>
  <si>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</si>
  <si>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</si>
  <si>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</si>
  <si>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</si>
  <si>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</si>
  <si>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</si>
  <si>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</si>
  <si>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</si>
  <si>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</si>
  <si>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</si>
  <si>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</si>
  <si>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</si>
  <si>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</si>
  <si>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</si>
  <si>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</si>
  <si>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</si>
  <si>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</si>
  <si>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</si>
  <si>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</si>
  <si>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</si>
  <si>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</si>
  <si>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</si>
  <si>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</si>
  <si>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</si>
  <si>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</si>
  <si>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</si>
  <si>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</si>
  <si>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</si>
  <si>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</si>
  <si>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</si>
  <si>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</si>
  <si>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</si>
  <si>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</si>
  <si>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</si>
  <si>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</si>
  <si>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</si>
  <si>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</si>
  <si>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</si>
  <si>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</si>
  <si>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</si>
  <si>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</si>
  <si>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</si>
  <si>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</si>
  <si>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</si>
  <si>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</si>
  <si>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</si>
  <si>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</si>
  <si>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</si>
  <si>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</si>
  <si>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</si>
  <si>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</si>
  <si>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</si>
  <si>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</si>
  <si>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</si>
  <si>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</si>
  <si>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</si>
  <si>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</si>
  <si>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</si>
  <si>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</si>
  <si>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</si>
  <si>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</si>
  <si>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</si>
  <si>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</si>
  <si>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</si>
  <si>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</si>
  <si>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</si>
  <si>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</si>
  <si>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</si>
  <si>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</si>
  <si>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</si>
  <si>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</si>
  <si>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</si>
  <si>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</si>
  <si>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</si>
  <si>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</si>
  <si>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</si>
  <si>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</si>
  <si>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</si>
  <si>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</si>
  <si>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</si>
  <si>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</si>
  <si>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</si>
  <si>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</si>
  <si>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</si>
  <si>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</si>
  <si>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</si>
  <si>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</si>
  <si>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</si>
  <si>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</si>
  <si>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</si>
  <si>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</si>
  <si>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</si>
  <si>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</si>
  <si>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</si>
  <si>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</si>
  <si>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</si>
  <si>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</si>
  <si>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</si>
  <si>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</si>
  <si>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</si>
  <si>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</si>
  <si>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</si>
  <si>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</si>
  <si>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</si>
  <si>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</si>
  <si>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</si>
  <si>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</si>
  <si>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</si>
  <si>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</si>
  <si>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</si>
  <si>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</si>
  <si>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</si>
  <si>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</si>
  <si>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</si>
  <si>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</si>
  <si>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</si>
  <si>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</si>
  <si>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</si>
  <si>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</si>
  <si>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</si>
  <si>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</si>
  <si>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</si>
  <si>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</si>
  <si>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</si>
  <si>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</si>
  <si>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</si>
  <si>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</si>
  <si>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</si>
  <si>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</si>
  <si>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</si>
  <si>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</si>
  <si>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</si>
  <si>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</si>
  <si>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</si>
  <si>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</si>
  <si>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</si>
  <si>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</si>
  <si>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</si>
  <si>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</si>
  <si>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</si>
  <si>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</si>
  <si>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</si>
  <si>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</si>
  <si>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</si>
  <si>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</si>
  <si>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</si>
  <si>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</si>
  <si>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</si>
  <si>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</si>
  <si>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</si>
  <si>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</si>
  <si>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</si>
  <si>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</si>
  <si>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</si>
  <si>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</si>
  <si>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</si>
  <si>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</si>
  <si>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</si>
  <si>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</si>
  <si>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</si>
  <si>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</si>
  <si>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</si>
  <si>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</si>
  <si>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</si>
  <si>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</si>
  <si>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</si>
  <si>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</si>
  <si>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</si>
  <si>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</si>
  <si>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</si>
  <si>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</si>
  <si>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</si>
  <si>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</si>
  <si>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</si>
  <si>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</si>
  <si>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</si>
  <si>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</si>
  <si>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</si>
  <si>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</si>
  <si>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</si>
  <si>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</si>
  <si>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</si>
  <si>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</si>
  <si>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</si>
  <si>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</si>
  <si>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</si>
  <si>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</si>
  <si>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</si>
  <si>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</si>
  <si>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</si>
  <si>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</si>
  <si>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</si>
  <si>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</si>
  <si>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</si>
  <si>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</si>
  <si>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</si>
  <si>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</si>
  <si>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</si>
  <si>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</si>
  <si>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</si>
  <si>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</si>
  <si>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</si>
  <si>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days</t>
  </si>
  <si>
    <t>MP fermentation</t>
  </si>
  <si>
    <t>starch</t>
  </si>
  <si>
    <t>% deviation</t>
  </si>
  <si>
    <t xml:space="preserve">Lower </t>
  </si>
  <si>
    <t>Upper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</si>
  <si>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</si>
  <si>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</si>
  <si>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</si>
  <si>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</si>
  <si>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</si>
  <si>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</si>
  <si>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</si>
  <si>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</si>
  <si>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</si>
  <si>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MCF stoich starch (400)</t>
  </si>
  <si>
    <t>MCF stoich sugar (400)</t>
  </si>
  <si>
    <t>Filtration (438)</t>
  </si>
  <si>
    <t>spraydryer (490)</t>
  </si>
  <si>
    <t xml:space="preserve">electricity </t>
  </si>
  <si>
    <t>Lysol costs</t>
  </si>
  <si>
    <t>ALTERNATIVE LY</t>
  </si>
  <si>
    <t>Amylase enzyme - 1 lb. (northernbrewer.com)</t>
  </si>
  <si>
    <t>$/lb</t>
  </si>
  <si>
    <t>€/lb</t>
  </si>
  <si>
    <t>€/kg</t>
  </si>
  <si>
    <t>SEEMS much more realistic</t>
  </si>
  <si>
    <t>PHA recovery Tank</t>
  </si>
  <si>
    <t>MCF stoi starch (400)</t>
  </si>
  <si>
    <t>Old</t>
  </si>
  <si>
    <t>Substrate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</si>
</sst>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5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7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0" xfId="0" applyFont="1" applyFill="1" applyAlignment="1">
      <alignment horizontal="center" vertical="center"/>
    </xf>
    <xf numFmtId="2" fontId="25" fillId="5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48" fillId="5" borderId="2" xfId="0" applyFont="1" applyFill="1" applyBorder="1"/>
    <xf numFmtId="0" fontId="48" fillId="5" borderId="2" xfId="0" applyFont="1" applyFill="1" applyBorder="1" applyAlignment="1">
      <alignment horizontal="center"/>
    </xf>
    <xf numFmtId="0" fontId="48" fillId="5" borderId="2" xfId="0" applyFont="1" applyFill="1" applyBorder="1" applyAlignment="1">
      <alignment horizontal="center" vertical="center"/>
    </xf>
    <xf numFmtId="2" fontId="48" fillId="5" borderId="2" xfId="0" applyNumberFormat="1" applyFont="1" applyFill="1" applyBorder="1" applyAlignment="1">
      <alignment horizontal="center"/>
    </xf>
    <xf numFmtId="0" fontId="48" fillId="5" borderId="2" xfId="0" applyFont="1" applyFill="1" applyBorder="1" applyAlignment="1">
      <alignment horizontal="left"/>
    </xf>
    <xf numFmtId="0" fontId="48" fillId="0" borderId="2" xfId="0" applyFont="1" applyBorder="1" applyAlignment="1">
      <alignment horizontal="left"/>
    </xf>
    <xf numFmtId="0" fontId="48" fillId="5" borderId="28" xfId="0" applyFont="1" applyFill="1" applyBorder="1"/>
    <xf numFmtId="0" fontId="48" fillId="0" borderId="0" xfId="0" applyFont="1"/>
    <xf numFmtId="0" fontId="48" fillId="5" borderId="28" xfId="0" applyFont="1" applyFill="1" applyBorder="1" applyAlignment="1">
      <alignment horizontal="center"/>
    </xf>
    <xf numFmtId="0" fontId="48" fillId="5" borderId="28" xfId="0" applyFont="1" applyFill="1" applyBorder="1" applyAlignment="1">
      <alignment horizontal="center" vertical="center"/>
    </xf>
    <xf numFmtId="2" fontId="48" fillId="5" borderId="28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/>
    </xf>
    <xf numFmtId="0" fontId="0" fillId="20" borderId="10" xfId="0" applyFill="1" applyBorder="1"/>
    <xf numFmtId="0" fontId="0" fillId="20" borderId="3" xfId="0" applyFill="1" applyBorder="1"/>
    <xf numFmtId="0" fontId="0" fillId="20" borderId="11" xfId="0" applyFill="1" applyBorder="1"/>
    <xf numFmtId="0" fontId="0" fillId="20" borderId="12" xfId="0" applyFill="1" applyBorder="1"/>
    <xf numFmtId="0" fontId="0" fillId="20" borderId="13" xfId="0" applyFill="1" applyBorder="1"/>
    <xf numFmtId="0" fontId="24" fillId="20" borderId="12" xfId="8" applyFill="1" applyBorder="1"/>
    <xf numFmtId="166" fontId="0" fillId="20" borderId="12" xfId="0" applyNumberFormat="1" applyFill="1" applyBorder="1"/>
    <xf numFmtId="0" fontId="0" fillId="20" borderId="14" xfId="0" applyFill="1" applyBorder="1"/>
    <xf numFmtId="0" fontId="0" fillId="20" borderId="4" xfId="0" applyFill="1" applyBorder="1"/>
    <xf numFmtId="0" fontId="0" fillId="20" borderId="15" xfId="0" applyFill="1" applyBorder="1"/>
    <xf numFmtId="0" fontId="0" fillId="13" borderId="12" xfId="0" applyFill="1" applyBorder="1"/>
    <xf numFmtId="0" fontId="0" fillId="13" borderId="0" xfId="0" applyFill="1"/>
    <xf numFmtId="0" fontId="0" fillId="13" borderId="10" xfId="0" applyFill="1" applyBorder="1"/>
    <xf numFmtId="0" fontId="0" fillId="13" borderId="3" xfId="0" applyFill="1" applyBorder="1"/>
    <xf numFmtId="0" fontId="0" fillId="13" borderId="11" xfId="0" applyFill="1" applyBorder="1"/>
    <xf numFmtId="2" fontId="0" fillId="13" borderId="0" xfId="0" applyNumberFormat="1" applyFill="1"/>
    <xf numFmtId="0" fontId="0" fillId="13" borderId="13" xfId="0" applyFill="1" applyBorder="1"/>
    <xf numFmtId="2" fontId="0" fillId="13" borderId="14" xfId="0" applyNumberFormat="1" applyFill="1" applyBorder="1"/>
    <xf numFmtId="0" fontId="0" fillId="13" borderId="4" xfId="0" applyFill="1" applyBorder="1"/>
    <xf numFmtId="0" fontId="0" fillId="13" borderId="15" xfId="0" applyFill="1" applyBorder="1"/>
    <xf numFmtId="0" fontId="15" fillId="21" borderId="13" xfId="0" applyFont="1" applyFill="1" applyBorder="1" applyAlignment="1" applyProtection="1">
      <alignment horizontal="center" vertical="center"/>
      <protection locked="0"/>
    </xf>
    <xf numFmtId="0" fontId="49" fillId="5" borderId="2" xfId="0" applyFont="1" applyFill="1" applyBorder="1"/>
    <xf numFmtId="0" fontId="49" fillId="5" borderId="2" xfId="0" applyFont="1" applyFill="1" applyBorder="1" applyAlignment="1">
      <alignment horizontal="center"/>
    </xf>
    <xf numFmtId="0" fontId="49" fillId="5" borderId="2" xfId="0" applyFont="1" applyFill="1" applyBorder="1" applyAlignment="1">
      <alignment horizontal="center" vertical="center"/>
    </xf>
    <xf numFmtId="2" fontId="49" fillId="5" borderId="2" xfId="0" applyNumberFormat="1" applyFont="1" applyFill="1" applyBorder="1" applyAlignment="1">
      <alignment horizontal="center"/>
    </xf>
    <xf numFmtId="0" fontId="49" fillId="5" borderId="2" xfId="0" applyFont="1" applyFill="1" applyBorder="1" applyAlignment="1">
      <alignment horizontal="left"/>
    </xf>
    <xf numFmtId="0" fontId="49" fillId="0" borderId="2" xfId="0" applyFont="1" applyBorder="1" applyAlignment="1">
      <alignment horizontal="left"/>
    </xf>
    <xf numFmtId="0" fontId="49" fillId="5" borderId="28" xfId="0" applyFont="1" applyFill="1" applyBorder="1"/>
    <xf numFmtId="0" fontId="49" fillId="0" borderId="0" xfId="0" applyFont="1"/>
    <xf numFmtId="0" fontId="49" fillId="5" borderId="28" xfId="0" applyFont="1" applyFill="1" applyBorder="1" applyAlignment="1">
      <alignment horizontal="center"/>
    </xf>
    <xf numFmtId="0" fontId="49" fillId="5" borderId="28" xfId="0" applyFont="1" applyFill="1" applyBorder="1" applyAlignment="1">
      <alignment horizontal="center" vertical="center"/>
    </xf>
    <xf numFmtId="2" fontId="49" fillId="5" borderId="28" xfId="0" applyNumberFormat="1" applyFont="1" applyFill="1" applyBorder="1" applyAlignment="1">
      <alignment horizontal="center"/>
    </xf>
    <xf numFmtId="2" fontId="50" fillId="5" borderId="2" xfId="0" applyNumberFormat="1" applyFont="1" applyFill="1" applyBorder="1" applyAlignment="1">
      <alignment horizontal="center"/>
    </xf>
    <xf numFmtId="0" fontId="50" fillId="5" borderId="2" xfId="0" applyFont="1" applyFill="1" applyBorder="1" applyAlignment="1">
      <alignment horizontal="center"/>
    </xf>
    <xf numFmtId="2" fontId="50" fillId="5" borderId="28" xfId="0" applyNumberFormat="1" applyFont="1" applyFill="1" applyBorder="1" applyAlignment="1">
      <alignment horizont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image" Target="../media/image41.png"/><Relationship Id="rId5" Type="http://schemas.openxmlformats.org/officeDocument/2006/relationships/image" Target="../media/image50.png"/><Relationship Id="rId4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42351748" y="15163377"/>
          <a:ext cx="3952065" cy="1513981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63787</xdr:colOff>
      <xdr:row>14</xdr:row>
      <xdr:rowOff>27135</xdr:rowOff>
    </xdr:from>
    <xdr:to>
      <xdr:col>31</xdr:col>
      <xdr:colOff>1770308</xdr:colOff>
      <xdr:row>20</xdr:row>
      <xdr:rowOff>105835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33263704" y="2895218"/>
          <a:ext cx="4754521" cy="147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Or</a:t>
          </a:r>
          <a:r>
            <a:rPr lang="en-US" sz="1800" baseline="0"/>
            <a:t> Easier still Assumme a final Titer of</a:t>
          </a:r>
        </a:p>
        <a:p>
          <a:r>
            <a:rPr lang="en-US" sz="1800" baseline="0"/>
            <a:t>-&gt; 22 gVFA/kgWater, much more sensible way to add water with less opertunity to fuck up the optimisation problem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482060</xdr:colOff>
      <xdr:row>15</xdr:row>
      <xdr:rowOff>43253</xdr:rowOff>
    </xdr:from>
    <xdr:to>
      <xdr:col>31</xdr:col>
      <xdr:colOff>283577</xdr:colOff>
      <xdr:row>23</xdr:row>
      <xdr:rowOff>211014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1899906" y="3325715"/>
          <a:ext cx="4561086" cy="20434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Lets Assume their is enough water coming in from the MCF and that no extra</a:t>
          </a:r>
          <a:r>
            <a:rPr lang="en-US" sz="1200" baseline="0"/>
            <a:t> water needs to be added!</a:t>
          </a:r>
          <a:endParaRPr lang="en-US" sz="1200"/>
        </a:p>
        <a:p>
          <a:endParaRPr lang="en-US" sz="1200"/>
        </a:p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r>
            <a:rPr lang="en-US" sz="1200" baseline="0"/>
            <a:t>Check if this more or less complise 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859584</xdr:colOff>
      <xdr:row>29</xdr:row>
      <xdr:rowOff>148478</xdr:rowOff>
    </xdr:from>
    <xdr:to>
      <xdr:col>12</xdr:col>
      <xdr:colOff>303416</xdr:colOff>
      <xdr:row>39</xdr:row>
      <xdr:rowOff>84307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65937" y="6524625"/>
          <a:ext cx="4710597" cy="2109770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737868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  <xdr:twoCellAnchor editAs="oneCell">
    <xdr:from>
      <xdr:col>6</xdr:col>
      <xdr:colOff>144518</xdr:colOff>
      <xdr:row>27</xdr:row>
      <xdr:rowOff>26276</xdr:rowOff>
    </xdr:from>
    <xdr:to>
      <xdr:col>10</xdr:col>
      <xdr:colOff>782935</xdr:colOff>
      <xdr:row>41</xdr:row>
      <xdr:rowOff>111346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5B9411-5219-4616-A8F1-D34957034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4828" y="5990897"/>
          <a:ext cx="4895107" cy="300169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6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74294</xdr:colOff>
      <xdr:row>78</xdr:row>
      <xdr:rowOff>73480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pSpPr/>
      </xdr:nvGrpSpPr>
      <xdr:grpSpPr>
        <a:xfrm>
          <a:off x="18763342" y="15527198"/>
          <a:ext cx="4595744" cy="244330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5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5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7" Type="http://schemas.openxmlformats.org/officeDocument/2006/relationships/drawing" Target="../drawings/drawing20.xm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printerSettings" Target="../printerSettings/printerSettings22.bin"/><Relationship Id="rId5" Type="http://schemas.openxmlformats.org/officeDocument/2006/relationships/hyperlink" Target="https://www.northernbrewer.com/products/amylase-enzyme-1-lb" TargetMode="External"/><Relationship Id="rId4" Type="http://schemas.openxmlformats.org/officeDocument/2006/relationships/hyperlink" Target="https://www.sigmaaldrich.com/NL/en/product/sigma/c2730" TargetMode="Externa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9" width="17.08984375" style="3" customWidth="1"/>
    <col min="10" max="12" width="15.1796875" style="3" customWidth="1"/>
    <col min="13" max="13" width="25.1796875" style="3" bestFit="1" customWidth="1"/>
    <col min="14" max="14" width="16.542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5.1796875" style="3" bestFit="1" customWidth="1"/>
    <col min="23" max="23" width="16.1796875" style="3" bestFit="1" customWidth="1"/>
    <col min="24" max="25" width="20.1796875" style="3" bestFit="1" customWidth="1"/>
    <col min="26" max="26" width="22.1796875" style="3" customWidth="1"/>
    <col min="27" max="27" width="23" style="3" bestFit="1" customWidth="1"/>
    <col min="28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403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183</v>
      </c>
      <c r="S10" s="97">
        <v>888</v>
      </c>
      <c r="T10" s="227" t="s">
        <v>295</v>
      </c>
      <c r="U10" s="359">
        <v>1</v>
      </c>
      <c r="V10" s="360" t="s">
        <v>407</v>
      </c>
      <c r="W10" s="132">
        <v>11</v>
      </c>
      <c r="X10" s="78">
        <v>888</v>
      </c>
      <c r="Y10" s="133"/>
      <c r="Z10" s="131"/>
      <c r="AA10" s="361" t="s">
        <v>408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295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59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453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5"/>
      <c r="L16" s="5"/>
      <c r="M16" s="233"/>
      <c r="N16" s="228" t="s">
        <v>453</v>
      </c>
      <c r="O16" s="74"/>
      <c r="P16" s="74"/>
      <c r="Q16" s="77"/>
      <c r="R16" s="5"/>
      <c r="S16" s="103">
        <v>888</v>
      </c>
      <c r="T16" s="228" t="s">
        <v>525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22</v>
      </c>
      <c r="F17" s="200" t="s">
        <v>182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526</v>
      </c>
      <c r="O17" s="74"/>
      <c r="P17" s="74"/>
      <c r="Q17" s="77"/>
      <c r="R17" s="5"/>
      <c r="S17" s="103">
        <v>888</v>
      </c>
      <c r="T17" s="228" t="s">
        <v>297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525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297</v>
      </c>
      <c r="O19" s="74"/>
      <c r="P19" s="74"/>
      <c r="Q19" s="77"/>
      <c r="R19" s="5"/>
      <c r="S19" s="103">
        <v>888</v>
      </c>
      <c r="T19" s="228" t="s">
        <v>527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453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526</v>
      </c>
      <c r="J21" s="200" t="s">
        <v>169</v>
      </c>
      <c r="K21" s="5"/>
      <c r="L21" s="5"/>
      <c r="M21" s="229"/>
      <c r="N21" s="228" t="s">
        <v>527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525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297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447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446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3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58" t="s">
        <v>406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357" t="s">
        <v>405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T3" zoomScale="58" zoomScaleNormal="58" workbookViewId="0">
      <selection activeCell="AF16" sqref="AF16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9" width="18.453125" style="3" customWidth="1"/>
    <col min="10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17.54296875" style="3" customWidth="1"/>
    <col min="32" max="32" width="63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9" thickBot="1">
      <c r="C10" s="81"/>
      <c r="D10" s="62" t="s">
        <v>1</v>
      </c>
      <c r="E10" s="63" t="s">
        <v>562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569</v>
      </c>
      <c r="S10" s="97">
        <v>400</v>
      </c>
      <c r="T10" s="98" t="s">
        <v>297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586</v>
      </c>
      <c r="AD10" s="133" t="s">
        <v>12</v>
      </c>
      <c r="AE10" s="78" t="s">
        <v>297</v>
      </c>
      <c r="AF10" s="131">
        <f>2/1000</f>
        <v>2E-3</v>
      </c>
      <c r="AG10" s="114"/>
      <c r="AH10" s="377" t="s">
        <v>297</v>
      </c>
      <c r="AI10" s="501">
        <v>14</v>
      </c>
      <c r="AJ10" s="121">
        <v>-1</v>
      </c>
      <c r="AK10" s="109"/>
      <c r="AL10" s="485">
        <v>14</v>
      </c>
      <c r="AM10" s="486" t="s">
        <v>297</v>
      </c>
      <c r="AN10" s="487">
        <v>0.9</v>
      </c>
      <c r="AO10" s="82"/>
    </row>
    <row r="11" spans="3:41" ht="19" thickBot="1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453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453</v>
      </c>
      <c r="AN11" s="488">
        <v>0.7</v>
      </c>
      <c r="AO11" s="82"/>
    </row>
    <row r="12" spans="3:41" ht="18.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7" t="s">
        <v>453</v>
      </c>
      <c r="AI12" s="447">
        <v>15</v>
      </c>
      <c r="AJ12" s="121">
        <v>-1</v>
      </c>
      <c r="AK12" s="109"/>
      <c r="AL12" s="104">
        <v>16</v>
      </c>
      <c r="AM12" s="6" t="s">
        <v>525</v>
      </c>
      <c r="AN12" s="488">
        <v>0.7</v>
      </c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295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525</v>
      </c>
      <c r="AI14" s="447">
        <v>16</v>
      </c>
      <c r="AJ14" s="121">
        <v>-1</v>
      </c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295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173</v>
      </c>
      <c r="G20" s="5"/>
      <c r="H20" s="72"/>
      <c r="I20" s="228" t="s">
        <v>453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525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 t="s">
        <v>526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 t="s">
        <v>563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.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295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453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.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297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.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.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9" thickBot="1">
      <c r="C56" s="81"/>
      <c r="D56" s="5"/>
      <c r="E56" s="5"/>
      <c r="F56" s="5"/>
      <c r="G56" s="5"/>
      <c r="H56" s="455" t="s">
        <v>568</v>
      </c>
      <c r="I56" s="456"/>
      <c r="J56" s="456"/>
      <c r="K56" s="457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.5">
      <c r="C57" s="81"/>
      <c r="D57" s="5"/>
      <c r="E57" s="5"/>
      <c r="F57" s="5"/>
      <c r="G57" s="5"/>
      <c r="H57" s="458">
        <v>3</v>
      </c>
      <c r="I57" s="459" t="s">
        <v>421</v>
      </c>
      <c r="J57" s="459"/>
      <c r="K57" s="460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.5">
      <c r="C58" s="81"/>
      <c r="D58" s="5"/>
      <c r="E58" s="5"/>
      <c r="F58" s="5"/>
      <c r="G58" s="5"/>
      <c r="H58" s="458">
        <v>1</v>
      </c>
      <c r="I58" s="459" t="s">
        <v>567</v>
      </c>
      <c r="J58" s="459"/>
      <c r="K58" s="460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.5">
      <c r="C59" s="81"/>
      <c r="D59" s="5"/>
      <c r="E59" s="5"/>
      <c r="F59" s="5"/>
      <c r="G59" s="5"/>
      <c r="H59" s="458">
        <v>30</v>
      </c>
      <c r="I59" s="459" t="s">
        <v>564</v>
      </c>
      <c r="J59" s="459" t="s">
        <v>565</v>
      </c>
      <c r="K59" s="460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.5">
      <c r="C60" s="81"/>
      <c r="D60" s="5"/>
      <c r="E60" s="5"/>
      <c r="F60" s="5"/>
      <c r="G60" s="5"/>
      <c r="H60" s="458"/>
      <c r="I60" s="459"/>
      <c r="J60" s="459"/>
      <c r="K60" s="460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.5">
      <c r="C61" s="81"/>
      <c r="D61" s="5"/>
      <c r="E61" s="5"/>
      <c r="F61" s="5"/>
      <c r="G61" s="5"/>
      <c r="H61" s="458" t="s">
        <v>566</v>
      </c>
      <c r="I61" s="459"/>
      <c r="J61" s="459"/>
      <c r="K61" s="460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.5">
      <c r="C62" s="81"/>
      <c r="D62" s="5"/>
      <c r="E62" s="5"/>
      <c r="F62" s="5"/>
      <c r="G62" s="5"/>
      <c r="H62" s="461">
        <f xml:space="preserve"> H57/H59</f>
        <v>0.1</v>
      </c>
      <c r="I62" s="459" t="s">
        <v>179</v>
      </c>
      <c r="J62" s="459"/>
      <c r="K62" s="460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9" thickBot="1">
      <c r="C63" s="81"/>
      <c r="D63" s="5"/>
      <c r="E63" s="5"/>
      <c r="F63" s="5"/>
      <c r="G63" s="5"/>
      <c r="H63" s="462"/>
      <c r="I63" s="463"/>
      <c r="J63" s="463"/>
      <c r="K63" s="464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X1" zoomScale="72" zoomScaleNormal="72" workbookViewId="0">
      <selection activeCell="AF11" sqref="AF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23.36328125" style="3" bestFit="1" customWidth="1"/>
    <col min="6" max="6" width="15.1796875" style="3" customWidth="1"/>
    <col min="7" max="7" width="6.1796875" style="3" customWidth="1"/>
    <col min="8" max="8" width="21.453125" style="3" customWidth="1"/>
    <col min="9" max="9" width="20.54296875" style="3" bestFit="1" customWidth="1"/>
    <col min="10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4" width="19.6328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5.90625" style="3" bestFit="1" customWidth="1"/>
    <col min="32" max="32" width="70.81640625" style="3" customWidth="1"/>
    <col min="33" max="33" width="10.81640625" style="3"/>
    <col min="34" max="34" width="21.36328125" style="3" customWidth="1"/>
    <col min="35" max="35" width="14.54296875" style="3" customWidth="1"/>
    <col min="36" max="36" width="13.08984375" style="3" customWidth="1"/>
    <col min="37" max="37" width="10.81640625" style="3"/>
    <col min="38" max="38" width="14" style="3" bestFit="1" customWidth="1"/>
    <col min="39" max="39" width="19.08984375" style="3" bestFit="1" customWidth="1"/>
    <col min="40" max="40" width="15.453125" style="3" bestFit="1" customWidth="1"/>
    <col min="41" max="42" width="10.81640625" style="3"/>
    <col min="43" max="43" width="20.08984375" style="3" bestFit="1" customWidth="1"/>
    <col min="44" max="48" width="10.81640625" style="3"/>
    <col min="49" max="49" width="17.81640625" style="3" bestFit="1" customWidth="1"/>
    <col min="50" max="16384" width="10.8164062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78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1:44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434" t="s">
        <v>88</v>
      </c>
      <c r="AM9" s="434" t="s">
        <v>89</v>
      </c>
      <c r="AN9" s="434" t="s">
        <v>90</v>
      </c>
      <c r="AO9" s="82"/>
    </row>
    <row r="10" spans="1:44" ht="18.5">
      <c r="A10" s="5"/>
      <c r="B10" s="5"/>
      <c r="C10" s="81"/>
      <c r="D10" s="62" t="s">
        <v>1</v>
      </c>
      <c r="E10" s="63" t="s">
        <v>435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301</v>
      </c>
      <c r="S10" s="97">
        <v>420</v>
      </c>
      <c r="T10" s="98" t="s">
        <v>449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13</v>
      </c>
      <c r="AC10" s="98" t="s">
        <v>449</v>
      </c>
      <c r="AD10" s="98" t="s">
        <v>12</v>
      </c>
      <c r="AE10" s="98" t="s">
        <v>14</v>
      </c>
      <c r="AF10" s="65">
        <f xml:space="preserve"> 22/1000</f>
        <v>2.1999999999999999E-2</v>
      </c>
      <c r="AG10" s="114"/>
      <c r="AH10" s="436" t="s">
        <v>295</v>
      </c>
      <c r="AI10" s="449">
        <v>26</v>
      </c>
      <c r="AJ10" s="445">
        <v>-1</v>
      </c>
      <c r="AK10" s="109"/>
      <c r="AL10" s="47">
        <v>13</v>
      </c>
      <c r="AM10" s="42" t="s">
        <v>164</v>
      </c>
      <c r="AN10" s="491">
        <v>0.99</v>
      </c>
      <c r="AO10" s="82"/>
    </row>
    <row r="11" spans="1:44" ht="19" thickBot="1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453" t="s">
        <v>449</v>
      </c>
      <c r="AI11" s="119">
        <v>26</v>
      </c>
      <c r="AJ11" s="65">
        <f>0.55</f>
        <v>0.55000000000000004</v>
      </c>
      <c r="AK11" s="109"/>
      <c r="AL11" s="482">
        <v>22</v>
      </c>
      <c r="AM11" s="43" t="s">
        <v>297</v>
      </c>
      <c r="AN11" s="451">
        <v>0.7</v>
      </c>
      <c r="AO11" s="82"/>
      <c r="AP11" s="103"/>
      <c r="AQ11" s="93"/>
      <c r="AR11" s="65"/>
    </row>
    <row r="12" spans="1:44" ht="18.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453" t="s">
        <v>167</v>
      </c>
      <c r="AI12" s="119">
        <v>26</v>
      </c>
      <c r="AJ12" s="65">
        <f xml:space="preserve"> 0.1</f>
        <v>0.1</v>
      </c>
      <c r="AK12" s="109"/>
      <c r="AL12" s="482">
        <v>23</v>
      </c>
      <c r="AM12" s="43" t="s">
        <v>453</v>
      </c>
      <c r="AN12" s="451">
        <v>0.77500000000000002</v>
      </c>
      <c r="AO12" s="82"/>
    </row>
    <row r="13" spans="1:44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2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453" t="s">
        <v>15</v>
      </c>
      <c r="AI13" s="119">
        <v>26</v>
      </c>
      <c r="AJ13" s="65">
        <f>1-AJ12-AJ11</f>
        <v>0.35</v>
      </c>
      <c r="AK13" s="109"/>
      <c r="AL13" s="482">
        <v>24</v>
      </c>
      <c r="AM13" s="43" t="s">
        <v>525</v>
      </c>
      <c r="AN13" s="451">
        <v>0.9</v>
      </c>
      <c r="AO13" s="82"/>
    </row>
    <row r="14" spans="1:44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7" t="s">
        <v>163</v>
      </c>
      <c r="AI14" s="501">
        <v>25</v>
      </c>
      <c r="AJ14" s="448">
        <v>-1</v>
      </c>
      <c r="AK14" s="109"/>
      <c r="AL14" s="482">
        <v>25</v>
      </c>
      <c r="AM14" s="43" t="s">
        <v>163</v>
      </c>
      <c r="AN14" s="451">
        <v>0.45</v>
      </c>
      <c r="AO14" s="82"/>
    </row>
    <row r="15" spans="1:44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295</v>
      </c>
      <c r="U15" s="99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453" t="s">
        <v>449</v>
      </c>
      <c r="AI15" s="119">
        <v>25</v>
      </c>
      <c r="AJ15" s="65">
        <f>0.55</f>
        <v>0.55000000000000004</v>
      </c>
      <c r="AK15" s="109"/>
      <c r="AL15" s="482">
        <v>26</v>
      </c>
      <c r="AM15" s="43" t="s">
        <v>295</v>
      </c>
      <c r="AN15" s="451">
        <v>0.6</v>
      </c>
      <c r="AO15" s="82"/>
    </row>
    <row r="16" spans="1:44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297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453" t="s">
        <v>167</v>
      </c>
      <c r="AI16" s="119">
        <v>25</v>
      </c>
      <c r="AJ16" s="65">
        <f xml:space="preserve"> 0.1</f>
        <v>0.1</v>
      </c>
      <c r="AK16" s="74"/>
      <c r="AL16" s="441"/>
      <c r="AN16" s="517"/>
      <c r="AO16" s="82"/>
    </row>
    <row r="17" spans="1:41" ht="18.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453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453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.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7" t="s">
        <v>297</v>
      </c>
      <c r="AI18" s="501">
        <v>22</v>
      </c>
      <c r="AJ18" s="448">
        <v>-1</v>
      </c>
      <c r="AK18" s="74"/>
      <c r="AL18" s="103"/>
      <c r="AM18" s="93"/>
      <c r="AN18" s="65"/>
      <c r="AO18" s="82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3" t="s">
        <v>449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3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3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453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164</v>
      </c>
      <c r="AI22" s="501">
        <v>13</v>
      </c>
      <c r="AJ22" s="448">
        <v>-1</v>
      </c>
      <c r="AK22" s="74"/>
      <c r="AL22" s="103"/>
      <c r="AM22" s="93"/>
      <c r="AN22" s="65"/>
      <c r="AO22" s="82"/>
    </row>
    <row r="23" spans="1:41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525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3" t="s">
        <v>449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526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3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527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3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501">
        <v>23</v>
      </c>
      <c r="AJ26" s="448">
        <v>-1</v>
      </c>
      <c r="AK26" s="74"/>
      <c r="AL26" s="103"/>
      <c r="AM26" s="93"/>
      <c r="AN26" s="65"/>
      <c r="AO26" s="82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3" t="s">
        <v>449</v>
      </c>
      <c r="AI27" s="119">
        <v>23</v>
      </c>
      <c r="AJ27" s="65">
        <f>0.55</f>
        <v>0.55000000000000004</v>
      </c>
      <c r="AK27" s="74"/>
      <c r="AL27" s="106"/>
      <c r="AM27" s="454"/>
      <c r="AN27" s="67"/>
      <c r="AO27" s="82"/>
    </row>
    <row r="28" spans="1:41" ht="18.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3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.5">
      <c r="A29" s="5"/>
      <c r="B29" s="5"/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3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.5">
      <c r="A30" s="5"/>
      <c r="B30" s="5"/>
      <c r="C30" s="81"/>
      <c r="D30" s="5"/>
      <c r="E30" s="5"/>
      <c r="F30" s="5"/>
      <c r="G30" s="5"/>
      <c r="H30" s="5" t="s">
        <v>436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501">
        <v>24</v>
      </c>
      <c r="AJ30" s="448">
        <v>-1</v>
      </c>
      <c r="AK30" s="5"/>
      <c r="AL30" s="5"/>
      <c r="AM30" s="5"/>
      <c r="AN30" s="5"/>
      <c r="AO30" s="82"/>
    </row>
    <row r="31" spans="1:41" ht="18.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3" t="s">
        <v>449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.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3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9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5" t="s">
        <v>15</v>
      </c>
      <c r="AI33" s="516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439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440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441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301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.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6" t="s">
        <v>164</v>
      </c>
      <c r="AR42" s="449">
        <v>2</v>
      </c>
      <c r="AS42" s="445">
        <v>-1</v>
      </c>
      <c r="AV42" s="48">
        <v>13</v>
      </c>
      <c r="AW42" s="43" t="s">
        <v>620</v>
      </c>
      <c r="AX42" s="30" t="s">
        <v>164</v>
      </c>
    </row>
    <row r="43" spans="1:50" ht="18.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444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2">
        <v>22</v>
      </c>
      <c r="AW43" s="489" t="s">
        <v>619</v>
      </c>
      <c r="AX43" s="30" t="s">
        <v>297</v>
      </c>
    </row>
    <row r="44" spans="1:50" ht="18.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445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2">
        <v>23</v>
      </c>
      <c r="AW44" s="513" t="s">
        <v>621</v>
      </c>
      <c r="AX44" s="30" t="s">
        <v>453</v>
      </c>
    </row>
    <row r="45" spans="1:50" ht="18.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442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4">
        <f>1-AS44-AS43</f>
        <v>0.65</v>
      </c>
      <c r="AV45" s="482">
        <v>24</v>
      </c>
      <c r="AW45" s="489" t="s">
        <v>622</v>
      </c>
      <c r="AX45" s="30" t="s">
        <v>525</v>
      </c>
    </row>
    <row r="46" spans="1:50" ht="18.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443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79"/>
      <c r="AI46" s="11"/>
      <c r="AJ46" s="11"/>
      <c r="AK46" s="5"/>
      <c r="AL46" s="5"/>
      <c r="AM46" s="5"/>
      <c r="AN46" s="5"/>
      <c r="AO46" s="82"/>
      <c r="AQ46" s="424" t="s">
        <v>163</v>
      </c>
      <c r="AR46" s="435">
        <v>3</v>
      </c>
      <c r="AS46" s="446">
        <v>-1</v>
      </c>
      <c r="AV46" s="482">
        <v>25</v>
      </c>
      <c r="AW46" s="489" t="s">
        <v>623</v>
      </c>
      <c r="AX46" s="30" t="s">
        <v>163</v>
      </c>
    </row>
    <row r="47" spans="1:50" ht="19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301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4">
        <v>26</v>
      </c>
      <c r="AW47" s="514" t="s">
        <v>624</v>
      </c>
      <c r="AX47" s="29" t="s">
        <v>295</v>
      </c>
    </row>
    <row r="48" spans="1:50" ht="18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4" t="s">
        <v>295</v>
      </c>
      <c r="AR50" s="447">
        <v>4</v>
      </c>
      <c r="AS50" s="448">
        <v>-1</v>
      </c>
    </row>
    <row r="51" spans="1:45" ht="18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4">
        <f>1-AS52-AS51</f>
        <v>0.56999999999999995</v>
      </c>
    </row>
    <row r="54" spans="1:45" ht="18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4" t="s">
        <v>297</v>
      </c>
      <c r="AR54" s="447">
        <v>7</v>
      </c>
      <c r="AS54" s="448">
        <v>-1</v>
      </c>
    </row>
    <row r="55" spans="1:45" ht="18.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.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.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4">
        <f>1-AS56-AS55</f>
        <v>0.65</v>
      </c>
    </row>
    <row r="58" spans="1:45" ht="18.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4" t="s">
        <v>453</v>
      </c>
      <c r="AR58" s="447">
        <v>5</v>
      </c>
      <c r="AS58" s="448">
        <v>-1</v>
      </c>
    </row>
    <row r="59" spans="1:45" ht="18.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.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.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448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4">
        <f>1-AS60-AS59</f>
        <v>0.70000000000000007</v>
      </c>
    </row>
    <row r="62" spans="1:45" ht="18.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4" t="s">
        <v>525</v>
      </c>
      <c r="AR62" s="447">
        <v>6</v>
      </c>
      <c r="AS62" s="448">
        <v>-1</v>
      </c>
    </row>
    <row r="63" spans="1:45" ht="18.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.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9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0">
        <f>1-AS64-AS63</f>
        <v>0.75</v>
      </c>
    </row>
    <row r="66" spans="1:45" ht="18.5">
      <c r="A66" s="5"/>
      <c r="B66" s="5"/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4" t="s">
        <v>167</v>
      </c>
      <c r="AR66" s="227">
        <v>21</v>
      </c>
      <c r="AS66" s="448">
        <v>-1</v>
      </c>
    </row>
    <row r="67" spans="1:45" ht="18.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560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.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9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0">
        <v>21</v>
      </c>
      <c r="AS69" s="450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U7" zoomScale="65" zoomScaleNormal="65" workbookViewId="0">
      <selection activeCell="AC25" sqref="AC2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3.36328125" style="3" customWidth="1"/>
    <col min="25" max="26" width="21.36328125" style="3" bestFit="1" customWidth="1"/>
    <col min="27" max="28" width="10.81640625" style="3"/>
    <col min="29" max="29" width="25.81640625" style="3" customWidth="1"/>
    <col min="30" max="30" width="10.81640625" style="3"/>
    <col min="31" max="31" width="22.08984375" style="3" customWidth="1"/>
    <col min="32" max="32" width="64.36328125" style="3" bestFit="1" customWidth="1"/>
    <col min="33" max="33" width="16.54296875" style="3" customWidth="1"/>
    <col min="34" max="34" width="18.81640625" style="3" customWidth="1"/>
    <col min="35" max="35" width="32.453125" style="3" customWidth="1"/>
    <col min="36" max="36" width="42.90625" style="3" bestFit="1" customWidth="1"/>
    <col min="37" max="37" width="10.81640625" style="3"/>
    <col min="38" max="38" width="14.6328125" style="3" bestFit="1" customWidth="1"/>
    <col min="39" max="39" width="20.1796875" style="3" bestFit="1" customWidth="1"/>
    <col min="40" max="40" width="25.1796875" style="3" customWidth="1"/>
    <col min="41" max="44" width="10.81640625" style="3"/>
    <col min="45" max="45" width="15.90625" style="3" bestFit="1" customWidth="1"/>
    <col min="46" max="46" width="14" style="3" bestFit="1" customWidth="1"/>
    <col min="47" max="47" width="8.36328125" style="3" bestFit="1" customWidth="1"/>
    <col min="48" max="48" width="10.81640625" style="3"/>
    <col min="49" max="49" width="30.1796875" style="3" bestFit="1" customWidth="1"/>
    <col min="50" max="50" width="19.08984375" style="3" bestFit="1" customWidth="1"/>
    <col min="51" max="51" width="15.453125" style="3" bestFit="1" customWidth="1"/>
    <col min="52" max="16384" width="10.81640625" style="3"/>
  </cols>
  <sheetData>
    <row r="1" spans="3:51" ht="10.5" customHeight="1" thickBot="1"/>
    <row r="2" spans="3:5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456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O8" s="82"/>
      <c r="AS8" s="626" t="s">
        <v>5</v>
      </c>
      <c r="AT8" s="627"/>
      <c r="AU8" s="628"/>
      <c r="AV8" s="93"/>
      <c r="AW8" s="507" t="s">
        <v>6</v>
      </c>
      <c r="AX8" s="508"/>
      <c r="AY8" s="509"/>
    </row>
    <row r="9" spans="3:5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.5">
      <c r="C10" s="81"/>
      <c r="D10" s="62" t="s">
        <v>1</v>
      </c>
      <c r="E10" s="63" t="s">
        <v>454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183</v>
      </c>
      <c r="S10" s="97">
        <v>430</v>
      </c>
      <c r="T10" s="98" t="s">
        <v>457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/>
      <c r="AC10" s="78"/>
      <c r="AD10" s="133"/>
      <c r="AE10" s="78"/>
      <c r="AF10" s="131"/>
      <c r="AG10" s="114"/>
      <c r="AH10" s="134" t="s">
        <v>457</v>
      </c>
      <c r="AI10" s="527">
        <f>AI57</f>
        <v>0.58753753753753757</v>
      </c>
      <c r="AJ10" s="528" t="s">
        <v>14</v>
      </c>
      <c r="AO10" s="82"/>
      <c r="AS10" s="120" t="s">
        <v>449</v>
      </c>
      <c r="AT10" s="119">
        <v>10</v>
      </c>
      <c r="AU10" s="121">
        <v>-1</v>
      </c>
      <c r="AV10" s="109"/>
      <c r="AW10" s="122">
        <v>10</v>
      </c>
      <c r="AX10" s="432" t="s">
        <v>449</v>
      </c>
      <c r="AY10" s="124">
        <v>1</v>
      </c>
    </row>
    <row r="11" spans="3:51" ht="19" thickBot="1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3" t="s">
        <v>164</v>
      </c>
      <c r="AO11" s="82"/>
      <c r="AS11" s="120" t="s">
        <v>457</v>
      </c>
      <c r="AT11" s="119">
        <v>10</v>
      </c>
      <c r="AU11" s="368">
        <f>AI62*2</f>
        <v>1.9916526696187715</v>
      </c>
      <c r="AV11" s="109"/>
      <c r="AW11" s="110"/>
      <c r="AX11" s="6"/>
      <c r="AY11" s="125"/>
    </row>
    <row r="12" spans="3:51" ht="18.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1" t="s">
        <v>163</v>
      </c>
      <c r="AO12" s="82"/>
      <c r="AS12" s="120" t="s">
        <v>15</v>
      </c>
      <c r="AT12" s="119">
        <v>10</v>
      </c>
      <c r="AU12" s="368">
        <f>(2-AU11)</f>
        <v>8.3473303812284794E-3</v>
      </c>
      <c r="AV12" s="109"/>
      <c r="AW12" s="110"/>
      <c r="AX12" s="6"/>
      <c r="AY12" s="125"/>
    </row>
    <row r="13" spans="3:5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1" t="s">
        <v>295</v>
      </c>
      <c r="AO13" s="82"/>
      <c r="AV13" s="109"/>
      <c r="AW13" s="111"/>
      <c r="AX13" s="6"/>
      <c r="AY13" s="112"/>
    </row>
    <row r="14" spans="3:5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1" t="s">
        <v>297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1" t="s">
        <v>453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1" t="s">
        <v>525</v>
      </c>
      <c r="AO16" s="82"/>
      <c r="AS16" s="101"/>
      <c r="AT16" s="70"/>
      <c r="AU16" s="65"/>
      <c r="AV16" s="74"/>
      <c r="AW16" s="104"/>
      <c r="AX16" s="6"/>
      <c r="AY16" s="77"/>
    </row>
    <row r="17" spans="3:51" ht="18.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527</v>
      </c>
      <c r="AO17" s="82"/>
      <c r="AS17" s="101"/>
      <c r="AT17" s="70"/>
      <c r="AU17" s="65"/>
      <c r="AV17" s="74"/>
      <c r="AW17" s="104"/>
      <c r="AX17" s="6"/>
      <c r="AY17" s="77"/>
    </row>
    <row r="18" spans="3:51" ht="18.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.5">
      <c r="C19" s="81"/>
      <c r="D19" s="64" t="s">
        <v>59</v>
      </c>
      <c r="E19" s="65"/>
      <c r="F19" s="200" t="s">
        <v>173</v>
      </c>
      <c r="G19" s="5"/>
      <c r="H19" s="72"/>
      <c r="I19" s="228" t="s">
        <v>297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.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0"/>
      <c r="AT28" s="86"/>
      <c r="AU28" s="91"/>
      <c r="AV28" s="5"/>
      <c r="AW28" s="5"/>
      <c r="AX28" s="10"/>
      <c r="AY28" s="5"/>
    </row>
    <row r="29" spans="3:51" ht="15.5">
      <c r="C29" s="81"/>
      <c r="D29" s="5"/>
      <c r="E29" s="5"/>
      <c r="F29" s="5"/>
      <c r="G29" s="5"/>
      <c r="H29" s="5" t="s">
        <v>437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1"/>
      <c r="AT29" s="5"/>
      <c r="AU29" s="82"/>
      <c r="AV29" s="5"/>
      <c r="AW29" s="5"/>
      <c r="AX29" s="10"/>
      <c r="AY29" s="5"/>
    </row>
    <row r="30" spans="3:51" ht="15.5">
      <c r="C30" s="81"/>
      <c r="D30" s="5" t="s">
        <v>471</v>
      </c>
      <c r="E30" s="5"/>
      <c r="F30" s="5"/>
      <c r="G30" s="5"/>
      <c r="H30" s="5" t="s">
        <v>455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1"/>
      <c r="AU30" s="82"/>
      <c r="AV30" s="5"/>
      <c r="AW30" s="5"/>
      <c r="AX30" s="10"/>
      <c r="AY30" s="5"/>
    </row>
    <row r="31" spans="3:51">
      <c r="C31" s="81"/>
      <c r="D31" s="3" t="s">
        <v>472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5">
      <c r="C32" s="81"/>
      <c r="D32" s="381" t="s">
        <v>460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>
      <c r="C33" s="81"/>
      <c r="D33" s="5" t="s">
        <v>458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2"/>
      <c r="AT33" s="89"/>
      <c r="AU33" s="139"/>
      <c r="AV33" s="5"/>
      <c r="AW33" s="5"/>
      <c r="AX33" s="5"/>
      <c r="AY33" s="5"/>
    </row>
    <row r="34" spans="3:51" ht="15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449</v>
      </c>
      <c r="AM36" s="119">
        <v>10</v>
      </c>
      <c r="AN36" s="121">
        <v>-1</v>
      </c>
      <c r="AO36" s="82"/>
    </row>
    <row r="37" spans="3:51" ht="18.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.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457</v>
      </c>
      <c r="AM38" s="119">
        <v>10</v>
      </c>
      <c r="AN38" s="368">
        <f>AM88*2</f>
        <v>0</v>
      </c>
      <c r="AO38" s="82"/>
    </row>
    <row r="39" spans="3:51" ht="18.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8">
        <f>(2-AN38)</f>
        <v>2</v>
      </c>
      <c r="AO39" s="82"/>
    </row>
    <row r="40" spans="3:5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2" t="s">
        <v>461</v>
      </c>
      <c r="AK43" s="5"/>
      <c r="AL43" s="5"/>
      <c r="AM43" s="5"/>
      <c r="AN43" s="5"/>
      <c r="AO43" s="82"/>
    </row>
    <row r="44" spans="3:5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.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467</v>
      </c>
      <c r="AI50" s="108"/>
      <c r="AJ50" s="11"/>
      <c r="AK50" s="5"/>
      <c r="AL50" s="5"/>
      <c r="AM50" s="5"/>
      <c r="AN50" s="5"/>
      <c r="AO50" s="82"/>
    </row>
    <row r="51" spans="3:41" ht="18.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3">
        <f>3.5*32/74</f>
        <v>1.5135135135135136</v>
      </c>
      <c r="AI51" s="108" t="s">
        <v>462</v>
      </c>
      <c r="AJ51" s="11"/>
      <c r="AK51" s="5"/>
      <c r="AL51" s="5"/>
      <c r="AM51" s="5"/>
      <c r="AN51" s="5"/>
      <c r="AO51" s="82"/>
    </row>
    <row r="52" spans="3:41" ht="18.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3">
        <f>4.5*32/86</f>
        <v>1.6744186046511629</v>
      </c>
      <c r="AI52" s="108" t="s">
        <v>463</v>
      </c>
      <c r="AJ52" s="11"/>
      <c r="AK52" s="5"/>
      <c r="AL52" s="5"/>
      <c r="AM52" s="5"/>
      <c r="AN52" s="5"/>
      <c r="AO52" s="82"/>
    </row>
    <row r="53" spans="3:41" ht="18.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4">
        <f>AH51/AH52</f>
        <v>0.90390390390390396</v>
      </c>
      <c r="AI53" s="108" t="s">
        <v>466</v>
      </c>
      <c r="AJ53" s="11"/>
      <c r="AK53" s="5"/>
      <c r="AL53" s="5"/>
      <c r="AM53" s="5"/>
      <c r="AN53" s="5"/>
      <c r="AO53" s="82"/>
    </row>
    <row r="54" spans="3:41" ht="15.5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.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3" t="s">
        <v>464</v>
      </c>
      <c r="AH56" s="5">
        <v>0.5</v>
      </c>
      <c r="AI56" s="385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.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465</v>
      </c>
      <c r="AH57" s="382">
        <f>AH56*$AH$51/$AH$52</f>
        <v>0.45195195195195198</v>
      </c>
      <c r="AI57" s="382">
        <f>AI56*$AH$51/$AH$52</f>
        <v>0.58753753753753757</v>
      </c>
      <c r="AJ57" s="382">
        <f>AJ56*$AH$51/$AH$52</f>
        <v>0.7231231231231231</v>
      </c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6" t="s">
        <v>468</v>
      </c>
      <c r="AJ59" s="386"/>
      <c r="AK59" s="11"/>
      <c r="AL59" s="5"/>
      <c r="AM59" s="5"/>
      <c r="AN59" s="5"/>
      <c r="AO59" s="82"/>
    </row>
    <row r="60" spans="3:41" ht="2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7">
        <v>0.59</v>
      </c>
      <c r="AJ60" s="387" t="s">
        <v>469</v>
      </c>
      <c r="AK60" s="11"/>
      <c r="AL60" s="5"/>
      <c r="AM60" s="5"/>
      <c r="AN60" s="5"/>
      <c r="AO60" s="82"/>
    </row>
    <row r="61" spans="3:41" ht="2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7" t="s">
        <v>470</v>
      </c>
      <c r="AJ61" s="387"/>
      <c r="AK61" s="11"/>
      <c r="AL61" s="5"/>
      <c r="AM61" s="5"/>
      <c r="AN61" s="5"/>
      <c r="AO61" s="82"/>
    </row>
    <row r="62" spans="3:41" ht="2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8">
        <f>AI57/AI60</f>
        <v>0.99582633480938576</v>
      </c>
      <c r="AJ62" s="387" t="s">
        <v>559</v>
      </c>
      <c r="AK62" s="11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>
      <c r="C66" s="81"/>
      <c r="D66" s="5"/>
      <c r="E66" s="5"/>
      <c r="F66" s="5"/>
      <c r="G66" s="5" t="s">
        <v>438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473</v>
      </c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>
      <c r="H71" s="5"/>
      <c r="I71" s="5"/>
      <c r="J71" s="5"/>
    </row>
    <row r="72" spans="3:41">
      <c r="H72" s="5"/>
      <c r="I72" s="5"/>
      <c r="J72" s="5"/>
    </row>
    <row r="73" spans="3:41">
      <c r="H73" s="5"/>
      <c r="I73" s="5"/>
      <c r="J73" s="5"/>
    </row>
    <row r="74" spans="3:41">
      <c r="H74" s="5"/>
      <c r="I74" s="5"/>
      <c r="J74" s="5"/>
    </row>
    <row r="75" spans="3:41">
      <c r="H75" s="5"/>
      <c r="I75" s="5"/>
      <c r="J75" s="5"/>
    </row>
    <row r="76" spans="3:41">
      <c r="H76" s="5"/>
      <c r="I76" s="5"/>
      <c r="J76" s="5"/>
    </row>
    <row r="77" spans="3:41">
      <c r="H77" s="5"/>
      <c r="I77" s="5"/>
      <c r="J77" s="5"/>
    </row>
    <row r="78" spans="3:41">
      <c r="H78" s="5"/>
      <c r="I78" s="5"/>
      <c r="J78" s="5"/>
    </row>
    <row r="79" spans="3:41">
      <c r="H79" s="5"/>
      <c r="I79" s="5"/>
      <c r="J79" s="5"/>
    </row>
    <row r="130" spans="18:18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J1" zoomScale="75" zoomScaleNormal="47" workbookViewId="0">
      <selection activeCell="U11" sqref="U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08984375" style="3" bestFit="1" customWidth="1"/>
    <col min="6" max="7" width="15.1796875" style="3" customWidth="1"/>
    <col min="8" max="8" width="21" style="3" bestFit="1" customWidth="1"/>
    <col min="9" max="9" width="15.81640625" style="3" bestFit="1" customWidth="1"/>
    <col min="10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483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314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5">
        <v>0.35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457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484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485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299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418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301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 t="s">
        <v>414</v>
      </c>
      <c r="I40" s="5"/>
      <c r="J40" s="5" t="s">
        <v>417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415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415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 t="s">
        <v>416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A7" zoomScale="47" zoomScaleNormal="47" workbookViewId="0">
      <selection activeCell="E10" sqref="E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33" width="20.54296875" style="3" customWidth="1"/>
    <col min="34" max="34" width="16.08984375" style="3" bestFit="1" customWidth="1"/>
    <col min="35" max="35" width="14" style="3" customWidth="1"/>
    <col min="36" max="36" width="8.453125" style="3" bestFit="1" customWidth="1"/>
    <col min="37" max="37" width="10.81640625" style="3"/>
    <col min="38" max="38" width="14" style="3" bestFit="1" customWidth="1"/>
    <col min="39" max="39" width="19.36328125" style="3" bestFit="1" customWidth="1"/>
    <col min="40" max="40" width="15.453125" style="3" bestFit="1" customWidth="1"/>
    <col min="41" max="16384" width="10.8164062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626" t="s">
        <v>5</v>
      </c>
      <c r="AI8" s="627"/>
      <c r="AJ8" s="628"/>
      <c r="AK8" s="93"/>
      <c r="AL8" s="626" t="s">
        <v>6</v>
      </c>
      <c r="AM8" s="627"/>
      <c r="AN8" s="628"/>
    </row>
    <row r="9" spans="1:40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.5">
      <c r="A10" s="5"/>
      <c r="B10" s="5"/>
      <c r="C10" s="81"/>
      <c r="D10" s="62" t="s">
        <v>1</v>
      </c>
      <c r="E10" s="63" t="s">
        <v>659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183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497</v>
      </c>
      <c r="AD10" s="133" t="s">
        <v>12</v>
      </c>
      <c r="AE10" s="78" t="s">
        <v>457</v>
      </c>
      <c r="AF10" s="367">
        <f>(4.7+11.8)/56.3</f>
        <v>0.29307282415630553</v>
      </c>
      <c r="AG10" s="5"/>
      <c r="AH10" s="120" t="s">
        <v>457</v>
      </c>
      <c r="AI10" s="119">
        <v>11</v>
      </c>
      <c r="AJ10" s="121">
        <v>-1</v>
      </c>
      <c r="AK10" s="109"/>
      <c r="AL10" s="122">
        <v>11</v>
      </c>
      <c r="AM10" s="123" t="s">
        <v>457</v>
      </c>
      <c r="AN10" s="124">
        <v>0.95</v>
      </c>
    </row>
    <row r="11" spans="1:40" ht="19" thickBot="1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486</v>
      </c>
      <c r="AD11" s="100"/>
      <c r="AE11" s="70"/>
      <c r="AF11" s="102"/>
      <c r="AG11" s="5"/>
      <c r="AH11" s="120" t="s">
        <v>167</v>
      </c>
      <c r="AI11" s="119">
        <v>11</v>
      </c>
      <c r="AJ11" s="366">
        <v>0.4</v>
      </c>
      <c r="AK11" s="109"/>
      <c r="AL11" s="110"/>
      <c r="AM11" s="6"/>
      <c r="AN11" s="125"/>
    </row>
    <row r="12" spans="1:40" ht="18.5">
      <c r="A12" s="5"/>
      <c r="B12" s="5"/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354</v>
      </c>
      <c r="AI12" s="119">
        <v>11</v>
      </c>
      <c r="AJ12" s="366">
        <v>0.6</v>
      </c>
      <c r="AK12" s="109"/>
      <c r="AL12" s="110"/>
      <c r="AM12" s="6"/>
      <c r="AN12" s="125"/>
    </row>
    <row r="13" spans="1:40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457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7"/>
      <c r="AI27" s="438"/>
      <c r="AJ27" s="439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501</v>
      </c>
      <c r="AC30" s="5"/>
      <c r="AD30" s="5"/>
      <c r="AE30" s="5"/>
      <c r="AF30" s="5"/>
      <c r="AG30" s="5"/>
      <c r="AH30" s="81"/>
      <c r="AI30" s="82"/>
      <c r="AJ30" s="82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502</v>
      </c>
      <c r="AC31" s="5"/>
      <c r="AD31" s="5"/>
      <c r="AE31" s="5"/>
      <c r="AF31" s="5"/>
      <c r="AG31" s="5"/>
      <c r="AH31" s="441"/>
      <c r="AI31" s="82"/>
      <c r="AJ31" s="82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499</v>
      </c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5" zoomScale="75" zoomScaleNormal="47" workbookViewId="0">
      <selection activeCell="T18" sqref="T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500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492">
        <v>440</v>
      </c>
      <c r="T10" s="98" t="s">
        <v>167</v>
      </c>
      <c r="U10" s="305">
        <f>0.3/13</f>
        <v>2.3076923076923075E-2</v>
      </c>
      <c r="V10" s="79"/>
      <c r="W10" s="132"/>
      <c r="X10" s="511">
        <v>440</v>
      </c>
      <c r="Y10" s="512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2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>
        <v>440</v>
      </c>
      <c r="T12" s="119" t="s">
        <v>354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>
        <v>600</v>
      </c>
      <c r="T13" s="114" t="s">
        <v>167</v>
      </c>
      <c r="U13" s="369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510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.4531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33" width="20.54296875" style="3" customWidth="1"/>
    <col min="34" max="34" width="16.08984375" style="3" bestFit="1" customWidth="1"/>
    <col min="35" max="35" width="14" style="3" customWidth="1"/>
    <col min="36" max="36" width="8.453125" style="3" bestFit="1" customWidth="1"/>
    <col min="37" max="37" width="10.81640625" style="3"/>
    <col min="38" max="38" width="14" style="3" bestFit="1" customWidth="1"/>
    <col min="39" max="39" width="19.36328125" style="3" bestFit="1" customWidth="1"/>
    <col min="40" max="40" width="15.453125" style="3" bestFit="1" customWidth="1"/>
    <col min="41" max="16384" width="10.8164062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5"/>
      <c r="AJ6" s="5"/>
      <c r="AK6" s="5"/>
      <c r="AL6" s="5"/>
      <c r="AM6" s="5"/>
      <c r="AN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631"/>
      <c r="AI8" s="631"/>
      <c r="AJ8" s="631"/>
      <c r="AK8" s="93"/>
      <c r="AL8" s="631"/>
      <c r="AM8" s="631"/>
      <c r="AN8" s="631"/>
    </row>
    <row r="9" spans="1:40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.5">
      <c r="A10" s="5"/>
      <c r="B10" s="5"/>
      <c r="C10" s="81"/>
      <c r="D10" s="62" t="s">
        <v>1</v>
      </c>
      <c r="E10" s="63" t="s">
        <v>617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183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7">
        <f>(27.6+0.3)/157.6</f>
        <v>0.1770304568527919</v>
      </c>
      <c r="AG10" s="5"/>
      <c r="AH10" s="119"/>
      <c r="AI10" s="119"/>
      <c r="AJ10" s="119"/>
      <c r="AK10" s="109"/>
      <c r="AL10" s="393"/>
      <c r="AM10" s="123"/>
      <c r="AN10" s="123"/>
    </row>
    <row r="11" spans="1:40" ht="19" thickBot="1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354</v>
      </c>
      <c r="AD11" s="100"/>
      <c r="AE11" s="70"/>
      <c r="AF11" s="102"/>
      <c r="AG11" s="5"/>
      <c r="AH11" s="119"/>
      <c r="AI11" s="119"/>
      <c r="AJ11" s="394"/>
      <c r="AK11" s="109"/>
      <c r="AL11" s="395"/>
      <c r="AM11" s="6"/>
      <c r="AN11" s="6"/>
    </row>
    <row r="12" spans="1:40" ht="18.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5"/>
      <c r="AM12" s="6"/>
      <c r="AN12" s="6"/>
    </row>
    <row r="13" spans="1:40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.5">
      <c r="A18" s="5"/>
      <c r="B18" s="5"/>
      <c r="C18" s="81"/>
      <c r="D18" s="66" t="s">
        <v>58</v>
      </c>
      <c r="E18" s="65">
        <v>25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.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>
      <c r="A30" s="5"/>
      <c r="B30" s="5"/>
      <c r="C30" s="81"/>
      <c r="D30" s="5"/>
      <c r="E30" s="5"/>
      <c r="F30" s="5"/>
      <c r="G30" s="5"/>
      <c r="H30" s="5" t="s">
        <v>479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481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480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482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9.81640625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503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0">
        <f>M44</f>
        <v>4.9897958674510626E-4</v>
      </c>
      <c r="O10" s="169"/>
      <c r="P10" s="170"/>
      <c r="Q10" s="171"/>
      <c r="R10" s="5" t="s">
        <v>301</v>
      </c>
      <c r="S10" s="97">
        <v>490</v>
      </c>
      <c r="T10" s="98" t="s">
        <v>354</v>
      </c>
      <c r="U10" s="305">
        <f>27.3/27.6</f>
        <v>0.98913043478260865</v>
      </c>
      <c r="V10" s="79"/>
      <c r="W10" s="132"/>
      <c r="X10" s="511">
        <v>490</v>
      </c>
      <c r="Y10" s="512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3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0"/>
      <c r="T13" s="114"/>
      <c r="U13" s="369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354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 t="s">
        <v>354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475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389" t="s">
        <v>474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478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299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476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428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430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477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418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301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E1" zoomScale="75" zoomScaleNormal="47" workbookViewId="0">
      <selection activeCell="X17" sqref="X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5" width="17" style="3" bestFit="1" customWidth="1"/>
    <col min="6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504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2">
        <f>M39</f>
        <v>0.70905555555555555</v>
      </c>
      <c r="P10" s="170"/>
      <c r="Q10" s="171"/>
      <c r="R10" s="5" t="s">
        <v>427</v>
      </c>
      <c r="S10" s="97">
        <v>6000</v>
      </c>
      <c r="T10" s="98" t="s">
        <v>354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505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295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60</v>
      </c>
      <c r="F18" s="200" t="s">
        <v>182</v>
      </c>
      <c r="G18" s="5"/>
      <c r="H18" s="72"/>
      <c r="I18" s="228" t="s">
        <v>420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 t="s">
        <v>419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507</v>
      </c>
      <c r="N30" s="396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303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506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303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508</v>
      </c>
      <c r="N35" s="396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303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509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427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510</v>
      </c>
      <c r="N41" s="396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302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485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7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8">
        <f>M42/M44</f>
        <v>1347.7333333333333</v>
      </c>
      <c r="N46" s="82" t="s">
        <v>418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9" thickBot="1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399">
        <f>M46/1000</f>
        <v>1.3477333333333334</v>
      </c>
      <c r="N47" s="60" t="s">
        <v>301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3" t="s">
        <v>429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428</v>
      </c>
      <c r="J52" s="10">
        <v>10</v>
      </c>
      <c r="K52" s="10" t="s">
        <v>428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9">
        <v>1610</v>
      </c>
      <c r="I53" s="10" t="s">
        <v>426</v>
      </c>
      <c r="J53" s="370">
        <f>H53/H52*J52</f>
        <v>635.0333293890269</v>
      </c>
      <c r="K53" s="10" t="s">
        <v>426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816406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7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204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1" width="10.81640625" style="3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19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18.453125" style="3" bestFit="1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5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9" thickBot="1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/>
      <c r="F17" s="200" t="s">
        <v>182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/>
      <c r="F18" s="200" t="s">
        <v>182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A3" zoomScale="68" zoomScaleNormal="68" workbookViewId="0">
      <selection activeCell="K18" sqref="K1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3.81640625" style="3" customWidth="1"/>
    <col min="4" max="4" width="31.1796875" style="3" customWidth="1"/>
    <col min="5" max="5" width="20.1796875" style="3" bestFit="1" customWidth="1"/>
    <col min="6" max="6" width="15.1796875" style="3" customWidth="1"/>
    <col min="7" max="7" width="8.81640625" style="3" customWidth="1"/>
    <col min="8" max="8" width="23.453125" style="3" customWidth="1"/>
    <col min="9" max="9" width="18.81640625" style="3" customWidth="1"/>
    <col min="10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6" width="19.81640625" style="3" bestFit="1" customWidth="1"/>
    <col min="27" max="28" width="10.81640625" style="3"/>
    <col min="29" max="29" width="25.81640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2.81640625" style="3" bestFit="1" customWidth="1"/>
    <col min="39" max="39" width="17.81640625" style="3" bestFit="1" customWidth="1"/>
    <col min="40" max="40" width="25.1796875" style="3" customWidth="1"/>
    <col min="41" max="42" width="10.81640625" style="3"/>
    <col min="43" max="43" width="20.81640625" style="3" bestFit="1" customWidth="1"/>
    <col min="44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398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4" t="s">
        <v>33</v>
      </c>
      <c r="AI9" s="434" t="s">
        <v>88</v>
      </c>
      <c r="AJ9" s="434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239" t="s">
        <v>323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4">
        <f>E55</f>
        <v>1.0153846153846154E-2</v>
      </c>
      <c r="O10" s="354">
        <f>E56</f>
        <v>0.12692307692307692</v>
      </c>
      <c r="P10" s="170"/>
      <c r="Q10" s="171"/>
      <c r="R10" s="5" t="s">
        <v>301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6" t="s">
        <v>164</v>
      </c>
      <c r="AI10" s="449">
        <v>2</v>
      </c>
      <c r="AJ10" s="445">
        <v>-1</v>
      </c>
      <c r="AK10" s="109"/>
      <c r="AL10" s="122">
        <v>2</v>
      </c>
      <c r="AM10" s="123" t="s">
        <v>164</v>
      </c>
      <c r="AN10" s="433">
        <v>0.99</v>
      </c>
      <c r="AO10" s="82"/>
    </row>
    <row r="11" spans="3:41" ht="18.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9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1">
        <v>0.7</v>
      </c>
      <c r="AO11" s="82"/>
    </row>
    <row r="12" spans="3:41" ht="18.5">
      <c r="C12" s="81"/>
      <c r="D12" s="64" t="s">
        <v>39</v>
      </c>
      <c r="E12" s="238" t="s">
        <v>204</v>
      </c>
      <c r="F12" s="200" t="s">
        <v>169</v>
      </c>
      <c r="G12" s="5"/>
      <c r="H12" s="64" t="s">
        <v>65</v>
      </c>
      <c r="I12" s="306">
        <v>0.63</v>
      </c>
      <c r="J12" s="200" t="str">
        <f>J15</f>
        <v>t/h</v>
      </c>
      <c r="K12" s="74"/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295</v>
      </c>
      <c r="AN12" s="451">
        <v>0.77500000000000002</v>
      </c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351">
        <v>0.32800000000000001</v>
      </c>
      <c r="J13" s="200" t="s">
        <v>169</v>
      </c>
      <c r="K13" s="74"/>
      <c r="L13" s="74"/>
      <c r="M13" s="71"/>
      <c r="N13" s="119" t="s">
        <v>295</v>
      </c>
      <c r="O13" s="119" t="s">
        <v>295</v>
      </c>
      <c r="P13" s="70"/>
      <c r="Q13" s="65"/>
      <c r="R13" s="108"/>
      <c r="S13" s="48">
        <v>800</v>
      </c>
      <c r="T13" s="70" t="s">
        <v>295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4">
        <f>1-AJ12-AJ11</f>
        <v>0.65</v>
      </c>
      <c r="AK13" s="109"/>
      <c r="AL13" s="111">
        <v>7</v>
      </c>
      <c r="AM13" s="6" t="s">
        <v>297</v>
      </c>
      <c r="AN13" s="451">
        <v>0.9</v>
      </c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4" t="s">
        <v>163</v>
      </c>
      <c r="AI14" s="435">
        <v>3</v>
      </c>
      <c r="AJ14" s="446">
        <v>-1</v>
      </c>
      <c r="AK14" s="109"/>
      <c r="AL14" s="111">
        <v>5</v>
      </c>
      <c r="AM14" s="6" t="s">
        <v>453</v>
      </c>
      <c r="AN14" s="451">
        <v>0.45</v>
      </c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525</v>
      </c>
      <c r="AN15" s="451">
        <v>0.6</v>
      </c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297</v>
      </c>
      <c r="O16" s="70" t="s">
        <v>297</v>
      </c>
      <c r="P16" s="74"/>
      <c r="Q16" s="77"/>
      <c r="R16" s="108"/>
      <c r="S16" s="48">
        <v>800</v>
      </c>
      <c r="T16" s="70" t="s">
        <v>453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1">
        <v>0.77500000000000002</v>
      </c>
      <c r="AO16" s="82"/>
    </row>
    <row r="17" spans="3:44" ht="18.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186</v>
      </c>
      <c r="AR17" s="30" t="s">
        <v>164</v>
      </c>
    </row>
    <row r="18" spans="3:44" ht="18.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295</v>
      </c>
      <c r="J18" s="200"/>
      <c r="K18" s="74"/>
      <c r="L18" s="74"/>
      <c r="M18" s="72"/>
      <c r="N18" s="70" t="s">
        <v>525</v>
      </c>
      <c r="O18" s="70" t="s">
        <v>525</v>
      </c>
      <c r="P18" s="74"/>
      <c r="Q18" s="77"/>
      <c r="R18" s="108"/>
      <c r="S18" s="48">
        <v>800</v>
      </c>
      <c r="T18" s="70" t="s">
        <v>526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4" t="s">
        <v>295</v>
      </c>
      <c r="AI18" s="447">
        <v>4</v>
      </c>
      <c r="AJ18" s="448">
        <v>-1</v>
      </c>
      <c r="AK18" s="74"/>
      <c r="AL18" s="104"/>
      <c r="AM18" s="6"/>
      <c r="AN18" s="77"/>
      <c r="AO18" s="82"/>
      <c r="AP18" s="48">
        <v>3</v>
      </c>
      <c r="AQ18" s="43" t="s">
        <v>187</v>
      </c>
      <c r="AR18" s="30" t="s">
        <v>163</v>
      </c>
    </row>
    <row r="19" spans="3:44" ht="18.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0" t="s">
        <v>453</v>
      </c>
      <c r="O19" s="70" t="s">
        <v>453</v>
      </c>
      <c r="P19" s="74"/>
      <c r="Q19" s="77"/>
      <c r="R19" s="108"/>
      <c r="S19" s="48">
        <v>800</v>
      </c>
      <c r="T19" s="70" t="s">
        <v>297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188</v>
      </c>
      <c r="AR19" s="30" t="s">
        <v>295</v>
      </c>
    </row>
    <row r="20" spans="3:44" ht="18.5">
      <c r="C20" s="81"/>
      <c r="D20" s="66" t="s">
        <v>60</v>
      </c>
      <c r="E20" s="65"/>
      <c r="F20" s="200" t="s">
        <v>173</v>
      </c>
      <c r="G20" s="5"/>
      <c r="H20" s="72"/>
      <c r="I20" s="65" t="s">
        <v>297</v>
      </c>
      <c r="J20" s="200"/>
      <c r="K20" s="74"/>
      <c r="L20" s="74"/>
      <c r="M20" s="104"/>
      <c r="N20" s="70" t="s">
        <v>167</v>
      </c>
      <c r="O20" s="70" t="s">
        <v>167</v>
      </c>
      <c r="P20" s="74"/>
      <c r="Q20" s="77"/>
      <c r="R20" s="108"/>
      <c r="S20" s="48">
        <v>800</v>
      </c>
      <c r="T20" s="70" t="s">
        <v>527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556</v>
      </c>
      <c r="AR20" s="30" t="s">
        <v>453</v>
      </c>
    </row>
    <row r="21" spans="3:44" ht="18.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 t="s">
        <v>453</v>
      </c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4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557</v>
      </c>
      <c r="AR21" s="30" t="s">
        <v>525</v>
      </c>
    </row>
    <row r="22" spans="3:44" ht="18.5">
      <c r="C22" s="81"/>
      <c r="D22" s="66" t="s">
        <v>62</v>
      </c>
      <c r="E22" s="65"/>
      <c r="F22" s="200" t="s">
        <v>169</v>
      </c>
      <c r="G22" s="5"/>
      <c r="H22" s="104"/>
      <c r="I22" s="65" t="s">
        <v>525</v>
      </c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4" t="s">
        <v>297</v>
      </c>
      <c r="AI22" s="447">
        <v>7</v>
      </c>
      <c r="AJ22" s="448">
        <v>-1</v>
      </c>
      <c r="AK22" s="74"/>
      <c r="AL22" s="104"/>
      <c r="AM22" s="6"/>
      <c r="AN22" s="77"/>
      <c r="AO22" s="82"/>
      <c r="AP22" s="48">
        <v>7</v>
      </c>
      <c r="AQ22" s="43" t="s">
        <v>558</v>
      </c>
      <c r="AR22" s="30" t="s">
        <v>297</v>
      </c>
    </row>
    <row r="23" spans="3:44" ht="18.5">
      <c r="C23" s="81"/>
      <c r="D23" s="66" t="s">
        <v>63</v>
      </c>
      <c r="E23" s="65"/>
      <c r="F23" s="200" t="s">
        <v>169</v>
      </c>
      <c r="G23" s="5"/>
      <c r="H23" s="104"/>
      <c r="I23" s="65" t="s">
        <v>167</v>
      </c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.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.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4">
        <f>1-AJ24-AJ23</f>
        <v>0.65</v>
      </c>
      <c r="AK25" s="74"/>
      <c r="AL25" s="104"/>
      <c r="AM25" s="6"/>
      <c r="AN25" s="77"/>
      <c r="AO25" s="82"/>
    </row>
    <row r="26" spans="3:44" ht="19" thickBot="1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4" t="s">
        <v>453</v>
      </c>
      <c r="AI26" s="447">
        <v>5</v>
      </c>
      <c r="AJ26" s="448">
        <v>-1</v>
      </c>
      <c r="AK26" s="74"/>
      <c r="AL26" s="104"/>
      <c r="AM26" s="6"/>
      <c r="AN26" s="77"/>
      <c r="AO26" s="82"/>
    </row>
    <row r="27" spans="3:44" ht="19" thickBot="1">
      <c r="C27" s="81"/>
      <c r="D27" s="213" t="s">
        <v>196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.5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4">
        <f>1-AJ28-AJ27</f>
        <v>0.70000000000000007</v>
      </c>
      <c r="AK29" s="5"/>
      <c r="AL29" s="5"/>
      <c r="AM29" s="10"/>
      <c r="AN29" s="5"/>
      <c r="AO29" s="82"/>
    </row>
    <row r="30" spans="3:44" ht="18.5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4" t="s">
        <v>525</v>
      </c>
      <c r="AI30" s="447">
        <v>6</v>
      </c>
      <c r="AJ30" s="448">
        <v>-1</v>
      </c>
      <c r="AK30" s="5"/>
      <c r="AL30" s="5"/>
      <c r="AM30" s="10"/>
      <c r="AN30" s="5"/>
      <c r="AO30" s="82"/>
    </row>
    <row r="31" spans="3:44" ht="18.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.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9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0">
        <f>1-AJ32-AJ31</f>
        <v>0.75</v>
      </c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4" t="s">
        <v>167</v>
      </c>
      <c r="AI34" s="227">
        <v>21</v>
      </c>
      <c r="AJ34" s="448">
        <v>-1</v>
      </c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.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9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0">
        <v>21</v>
      </c>
      <c r="AJ37" s="450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306</v>
      </c>
      <c r="E45" s="309">
        <v>100</v>
      </c>
      <c r="F45" s="5" t="s">
        <v>299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5" t="s">
        <v>544</v>
      </c>
      <c r="AG45" s="426"/>
      <c r="AH45" s="426"/>
      <c r="AI45" s="426"/>
      <c r="AJ45" s="426"/>
      <c r="AK45" s="426"/>
      <c r="AL45" s="426"/>
      <c r="AM45" s="427"/>
      <c r="AN45" s="426"/>
      <c r="AO45" s="426"/>
    </row>
    <row r="46" spans="3:41" ht="23.5">
      <c r="C46" s="81"/>
      <c r="D46" s="5" t="s">
        <v>305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8" t="s">
        <v>545</v>
      </c>
      <c r="AG46" s="428"/>
      <c r="AH46" s="429"/>
      <c r="AI46" s="429"/>
      <c r="AJ46" s="429"/>
      <c r="AK46" s="429"/>
      <c r="AL46" s="429"/>
      <c r="AM46" s="429"/>
      <c r="AN46" s="429"/>
      <c r="AO46" s="429"/>
    </row>
    <row r="47" spans="3:41" ht="15.5">
      <c r="C47" s="81"/>
      <c r="D47" s="5" t="s">
        <v>307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0" t="s">
        <v>546</v>
      </c>
      <c r="AG47" s="431" t="s">
        <v>527</v>
      </c>
      <c r="AH47" s="431" t="s">
        <v>528</v>
      </c>
      <c r="AI47" s="431" t="s">
        <v>163</v>
      </c>
      <c r="AJ47" s="431" t="s">
        <v>529</v>
      </c>
      <c r="AK47" s="431" t="s">
        <v>530</v>
      </c>
      <c r="AL47" s="431" t="s">
        <v>531</v>
      </c>
      <c r="AM47" s="431" t="s">
        <v>297</v>
      </c>
      <c r="AN47" s="431" t="s">
        <v>532</v>
      </c>
      <c r="AO47" s="431" t="s">
        <v>533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547</v>
      </c>
      <c r="AH48" s="400">
        <v>0.33</v>
      </c>
      <c r="AI48" s="400">
        <v>0.56000000000000005</v>
      </c>
      <c r="AK48" s="400">
        <v>0.2</v>
      </c>
      <c r="AL48" s="400">
        <v>0.15</v>
      </c>
      <c r="AM48" s="400">
        <v>0.25</v>
      </c>
      <c r="AN48" s="400">
        <v>0.25</v>
      </c>
      <c r="AO48" s="400">
        <f>AVERAGE(AK48:AN48)</f>
        <v>0.21249999999999999</v>
      </c>
    </row>
    <row r="49" spans="3:41">
      <c r="C49" s="81"/>
      <c r="D49" s="5" t="s">
        <v>308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548</v>
      </c>
      <c r="AH49" s="400"/>
      <c r="AI49" s="400"/>
      <c r="AK49" s="400">
        <v>0.3</v>
      </c>
      <c r="AL49" s="400">
        <v>0.4</v>
      </c>
      <c r="AM49" s="400">
        <v>0.5</v>
      </c>
      <c r="AN49" s="400">
        <v>0.5</v>
      </c>
      <c r="AO49" s="400">
        <f>AVERAGE(AK49:AN49)</f>
        <v>0.42499999999999999</v>
      </c>
    </row>
    <row r="50" spans="3:41">
      <c r="C50" s="81"/>
      <c r="D50" s="5" t="s">
        <v>312</v>
      </c>
      <c r="E50" s="5">
        <v>260</v>
      </c>
      <c r="F50" s="5" t="s">
        <v>313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549</v>
      </c>
      <c r="AH50" s="400"/>
      <c r="AI50" s="400"/>
      <c r="AK50" s="400">
        <v>0.12</v>
      </c>
      <c r="AL50" s="400">
        <v>0</v>
      </c>
      <c r="AM50" s="400">
        <v>0.27</v>
      </c>
      <c r="AN50" s="400">
        <v>0.27</v>
      </c>
      <c r="AO50" s="400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550</v>
      </c>
      <c r="AH51" s="400"/>
      <c r="AI51" s="400">
        <v>0.9</v>
      </c>
      <c r="AK51" s="400"/>
      <c r="AL51" s="400"/>
      <c r="AM51" s="400"/>
      <c r="AN51" s="400"/>
    </row>
    <row r="52" spans="3:41">
      <c r="C52" s="81"/>
      <c r="D52" s="5" t="s">
        <v>309</v>
      </c>
      <c r="E52" s="5">
        <f>E49*(E45*E46)</f>
        <v>2640</v>
      </c>
      <c r="F52" s="5" t="s">
        <v>302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551</v>
      </c>
      <c r="AH52" s="400"/>
      <c r="AI52" s="400"/>
      <c r="AK52" s="400">
        <v>0</v>
      </c>
      <c r="AL52" s="400">
        <v>0</v>
      </c>
      <c r="AM52" s="400">
        <v>0.3</v>
      </c>
      <c r="AN52" s="400">
        <v>0.3</v>
      </c>
      <c r="AO52" s="3">
        <v>0</v>
      </c>
    </row>
    <row r="53" spans="3:41">
      <c r="C53" s="81"/>
      <c r="D53" s="5" t="s">
        <v>310</v>
      </c>
      <c r="E53" s="5">
        <f>E49*(E45*E47)</f>
        <v>33000</v>
      </c>
      <c r="F53" s="5" t="s">
        <v>302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552</v>
      </c>
      <c r="AH53" s="400"/>
      <c r="AI53" s="400"/>
      <c r="AK53" s="400">
        <v>0.15</v>
      </c>
      <c r="AL53" s="400">
        <v>0.2</v>
      </c>
      <c r="AM53" s="400">
        <v>0.3</v>
      </c>
      <c r="AN53" s="400">
        <v>0.3</v>
      </c>
      <c r="AO53" s="400">
        <f>AVERAGE(AK53:AN53)</f>
        <v>0.23749999999999999</v>
      </c>
    </row>
    <row r="54" spans="3:41">
      <c r="C54" s="81"/>
      <c r="D54" s="5" t="s">
        <v>311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553</v>
      </c>
      <c r="AH54" s="400"/>
      <c r="AI54" s="400"/>
      <c r="AK54" s="400">
        <v>0.3</v>
      </c>
      <c r="AL54" s="400">
        <v>0.4</v>
      </c>
      <c r="AM54" s="400">
        <v>0.5</v>
      </c>
      <c r="AN54" s="400">
        <v>0.5</v>
      </c>
      <c r="AO54" s="400">
        <f>AVERAGE(AK54:AN54)</f>
        <v>0.42499999999999999</v>
      </c>
    </row>
    <row r="55" spans="3:41">
      <c r="C55" s="81"/>
      <c r="D55" s="5" t="s">
        <v>309</v>
      </c>
      <c r="E55" s="307">
        <f>E52/260/1000</f>
        <v>1.0153846153846154E-2</v>
      </c>
      <c r="F55" s="5" t="s">
        <v>314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554</v>
      </c>
      <c r="AH55" s="400">
        <v>0.4</v>
      </c>
      <c r="AI55" s="400">
        <v>0.8</v>
      </c>
      <c r="AJ55" s="400">
        <v>0.5</v>
      </c>
      <c r="AK55" s="400">
        <v>0.35</v>
      </c>
      <c r="AL55" s="400">
        <v>0.45</v>
      </c>
      <c r="AM55" s="400">
        <v>0.7</v>
      </c>
      <c r="AN55" s="400">
        <v>0.7</v>
      </c>
      <c r="AO55" s="400">
        <f>AVERAGE(AK55:AN55)</f>
        <v>0.55000000000000004</v>
      </c>
    </row>
    <row r="56" spans="3:41">
      <c r="C56" s="81"/>
      <c r="D56" s="5" t="s">
        <v>310</v>
      </c>
      <c r="E56" s="310">
        <f>E53/E50/1000</f>
        <v>0.12692307692307692</v>
      </c>
      <c r="F56" s="5" t="s">
        <v>314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4" t="s">
        <v>315</v>
      </c>
    </row>
    <row r="77" spans="3:41">
      <c r="D77" s="3" t="s">
        <v>322</v>
      </c>
    </row>
    <row r="95" spans="4:6">
      <c r="D95" s="3" t="s">
        <v>304</v>
      </c>
    </row>
    <row r="96" spans="4:6">
      <c r="D96" s="3" t="s">
        <v>316</v>
      </c>
      <c r="E96" s="3">
        <v>7.1699999999999997E-4</v>
      </c>
      <c r="F96" s="3" t="s">
        <v>317</v>
      </c>
    </row>
    <row r="97" spans="4:6">
      <c r="D97" s="3" t="s">
        <v>318</v>
      </c>
      <c r="E97" s="3">
        <v>190</v>
      </c>
      <c r="F97" s="3" t="s">
        <v>319</v>
      </c>
    </row>
    <row r="98" spans="4:6">
      <c r="D98" s="3" t="s">
        <v>320</v>
      </c>
      <c r="E98" s="3">
        <f>E97*E96</f>
        <v>0.13622999999999999</v>
      </c>
      <c r="F98" s="3" t="s">
        <v>321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O12:Q12 P14:Q27 N12:N27 AC10:AC27 I16:I27 Q11 T10:T27 O13:O27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0.81640625" style="3" bestFit="1" customWidth="1"/>
    <col min="5" max="7" width="15.1796875" style="3" customWidth="1"/>
    <col min="8" max="8" width="21" style="3" bestFit="1" customWidth="1"/>
    <col min="9" max="12" width="15.1796875" style="3" customWidth="1"/>
    <col min="13" max="13" width="25.1796875" style="3" bestFit="1" customWidth="1"/>
    <col min="14" max="14" width="15.1796875" style="3" customWidth="1"/>
    <col min="15" max="16" width="25.81640625" style="3" bestFit="1" customWidth="1"/>
    <col min="17" max="18" width="15.1796875" style="3" customWidth="1"/>
    <col min="19" max="19" width="21.453125" style="3" customWidth="1"/>
    <col min="20" max="20" width="17.81640625" style="3" customWidth="1"/>
    <col min="21" max="21" width="10.179687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179687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90625" style="3" bestFit="1" customWidth="1"/>
    <col min="33" max="16384" width="10.8164062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609"/>
      <c r="E6" s="609"/>
      <c r="F6" s="5"/>
      <c r="G6" s="5"/>
      <c r="H6" s="609"/>
      <c r="I6" s="609"/>
      <c r="J6" s="15"/>
      <c r="K6" s="15"/>
      <c r="L6" s="5"/>
      <c r="M6" s="609"/>
      <c r="N6" s="609"/>
      <c r="O6" s="609"/>
      <c r="P6" s="609"/>
      <c r="Q6" s="5"/>
      <c r="R6" s="5"/>
      <c r="S6" s="610"/>
      <c r="T6" s="610"/>
      <c r="U6" s="610"/>
      <c r="V6" s="610"/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5"/>
      <c r="AH8" s="5"/>
      <c r="AI8" s="82"/>
      <c r="AJ8" s="5"/>
    </row>
    <row r="9" spans="1:36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.5">
      <c r="A10" s="5"/>
      <c r="B10" s="5"/>
      <c r="C10" s="81"/>
      <c r="D10" s="62" t="s">
        <v>1</v>
      </c>
      <c r="E10" s="63" t="s">
        <v>516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183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9" thickBot="1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.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.5">
      <c r="A14" s="5"/>
      <c r="B14" s="5"/>
      <c r="C14" s="81"/>
      <c r="D14" s="64" t="s">
        <v>54</v>
      </c>
      <c r="E14" s="356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.5">
      <c r="A17" s="5"/>
      <c r="B17" s="5"/>
      <c r="C17" s="81"/>
      <c r="D17" s="64" t="s">
        <v>57</v>
      </c>
      <c r="E17" s="65">
        <v>30</v>
      </c>
      <c r="F17" s="200" t="s">
        <v>182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.5">
      <c r="A18" s="5"/>
      <c r="B18" s="5"/>
      <c r="C18" s="81"/>
      <c r="D18" s="66" t="s">
        <v>58</v>
      </c>
      <c r="E18" s="65">
        <v>30</v>
      </c>
      <c r="F18" s="200" t="s">
        <v>182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.5">
      <c r="A19" s="5"/>
      <c r="B19" s="5"/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.5">
      <c r="A20" s="5"/>
      <c r="B20" s="5"/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.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.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.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9" thickBot="1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9" thickBot="1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 t="s">
        <v>514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520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3">
        <v>1</v>
      </c>
      <c r="I41" s="5" t="s">
        <v>513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 t="s">
        <v>515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3" t="s">
        <v>518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 t="s">
        <v>517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5">
      <c r="A47" s="5"/>
      <c r="B47" s="5"/>
      <c r="C47" s="81"/>
      <c r="D47" s="608"/>
      <c r="E47" s="608"/>
      <c r="F47" s="608"/>
      <c r="G47" s="608"/>
      <c r="H47" s="608"/>
      <c r="I47" s="608"/>
      <c r="J47" s="608"/>
      <c r="K47" s="608"/>
      <c r="L47" s="608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5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5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5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5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5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5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5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5" t="s">
        <v>215</v>
      </c>
      <c r="D6" s="248" t="s">
        <v>219</v>
      </c>
      <c r="E6" s="197"/>
      <c r="F6" s="253" t="s">
        <v>216</v>
      </c>
      <c r="G6" s="253" t="s">
        <v>220</v>
      </c>
      <c r="H6" s="253" t="s">
        <v>218</v>
      </c>
      <c r="I6" s="197"/>
      <c r="J6" s="243" t="s">
        <v>216</v>
      </c>
      <c r="K6" s="243" t="s">
        <v>220</v>
      </c>
      <c r="L6" s="243" t="s">
        <v>218</v>
      </c>
      <c r="M6" s="240"/>
      <c r="N6" s="243" t="s">
        <v>216</v>
      </c>
      <c r="O6" s="247" t="s">
        <v>217</v>
      </c>
      <c r="P6" s="243" t="s">
        <v>218</v>
      </c>
      <c r="Q6" s="197"/>
      <c r="R6" s="11"/>
      <c r="S6" s="11"/>
      <c r="T6" s="11"/>
    </row>
    <row r="7" spans="3:20">
      <c r="C7" s="257" t="s">
        <v>207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>
      <c r="C8" s="172" t="s">
        <v>208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>
      <c r="C9" s="172" t="s">
        <v>209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>
      <c r="C10" s="172" t="s">
        <v>210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>
      <c r="C11" s="172" t="s">
        <v>211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>
      <c r="C12" s="172" t="s">
        <v>212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>
      <c r="C13" s="172" t="s">
        <v>213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>
      <c r="C14" s="264" t="s">
        <v>214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632" t="s">
        <v>221</v>
      </c>
      <c r="D22" s="633"/>
      <c r="E22" s="633"/>
      <c r="F22" s="6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9" t="s">
        <v>222</v>
      </c>
      <c r="D23" s="250" t="s">
        <v>223</v>
      </c>
      <c r="E23" s="249" t="s">
        <v>224</v>
      </c>
      <c r="F23" s="242" t="s">
        <v>219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81640625" defaultRowHeight="14.5"/>
  <cols>
    <col min="2" max="2" width="34.453125" bestFit="1" customWidth="1"/>
    <col min="3" max="3" width="14" bestFit="1" customWidth="1"/>
    <col min="4" max="4" width="16.54296875" bestFit="1" customWidth="1"/>
    <col min="5" max="5" width="15.81640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81640625" bestFit="1" customWidth="1"/>
    <col min="14" max="14" width="11.81640625" bestFit="1" customWidth="1"/>
    <col min="15" max="15" width="13" customWidth="1"/>
    <col min="16" max="16" width="14.81640625" bestFit="1" customWidth="1"/>
    <col min="17" max="17" width="12.1796875" bestFit="1" customWidth="1"/>
    <col min="18" max="18" width="19.453125" bestFit="1" customWidth="1"/>
    <col min="19" max="19" width="12.81640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632" t="s">
        <v>229</v>
      </c>
      <c r="C3" s="634"/>
      <c r="D3" s="11"/>
      <c r="E3" s="242" t="s">
        <v>236</v>
      </c>
      <c r="F3" s="277" t="s">
        <v>235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2" t="s">
        <v>230</v>
      </c>
      <c r="C4" s="288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266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231</v>
      </c>
      <c r="C5" s="284" t="s">
        <v>262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240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264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263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6" t="s">
        <v>245</v>
      </c>
      <c r="C8" s="11"/>
      <c r="D8" s="11"/>
      <c r="E8" s="11"/>
      <c r="F8" s="11"/>
      <c r="G8" s="11"/>
      <c r="H8" s="11"/>
      <c r="I8" s="11"/>
      <c r="J8" s="287" t="s">
        <v>247</v>
      </c>
      <c r="K8" s="11"/>
      <c r="L8" s="11"/>
      <c r="M8" s="11"/>
      <c r="N8" s="11"/>
      <c r="O8" s="11"/>
      <c r="P8" s="11"/>
      <c r="R8" s="172">
        <v>4</v>
      </c>
      <c r="S8" s="285" t="s">
        <v>268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638" t="s">
        <v>254</v>
      </c>
      <c r="C9" s="639"/>
      <c r="D9" s="639"/>
      <c r="E9" s="639"/>
      <c r="F9" s="639"/>
      <c r="G9" s="247"/>
      <c r="H9" s="11"/>
      <c r="I9" s="11"/>
      <c r="J9" s="317" t="s">
        <v>255</v>
      </c>
      <c r="K9" s="318"/>
      <c r="L9" s="318"/>
      <c r="M9" s="318"/>
      <c r="N9" s="318"/>
      <c r="O9" s="246"/>
      <c r="P9" s="247"/>
      <c r="R9" s="244"/>
      <c r="S9" s="89" t="s">
        <v>242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9" t="s">
        <v>238</v>
      </c>
      <c r="C10" s="281" t="s">
        <v>33</v>
      </c>
      <c r="D10" s="282" t="s">
        <v>241</v>
      </c>
      <c r="E10" s="319" t="s">
        <v>239</v>
      </c>
      <c r="F10" s="278" t="s">
        <v>243</v>
      </c>
      <c r="G10" s="320" t="s">
        <v>334</v>
      </c>
      <c r="H10" s="321" t="s">
        <v>336</v>
      </c>
      <c r="I10" s="11"/>
      <c r="J10" s="279" t="s">
        <v>238</v>
      </c>
      <c r="K10" s="279" t="s">
        <v>33</v>
      </c>
      <c r="L10" s="283" t="s">
        <v>237</v>
      </c>
      <c r="M10" s="279" t="s">
        <v>241</v>
      </c>
      <c r="N10" s="279" t="s">
        <v>239</v>
      </c>
      <c r="O10" s="279" t="s">
        <v>243</v>
      </c>
      <c r="P10" s="320" t="s">
        <v>334</v>
      </c>
      <c r="R10" s="11"/>
      <c r="S10" s="11"/>
      <c r="T10" s="286" t="s">
        <v>245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249</v>
      </c>
      <c r="G11" s="276" t="s">
        <v>333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249</v>
      </c>
      <c r="P11" s="276" t="s">
        <v>333</v>
      </c>
      <c r="R11" s="289" t="s">
        <v>265</v>
      </c>
      <c r="S11" s="11"/>
      <c r="T11" s="290" t="s">
        <v>330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51" t="s">
        <v>297</v>
      </c>
      <c r="D12" s="240">
        <v>0.18</v>
      </c>
      <c r="E12" s="197">
        <v>1</v>
      </c>
      <c r="F12" s="172" t="s">
        <v>248</v>
      </c>
      <c r="G12" s="278" t="s">
        <v>333</v>
      </c>
      <c r="H12" s="166"/>
      <c r="I12" s="11"/>
      <c r="J12" s="172">
        <v>210</v>
      </c>
      <c r="K12" s="251" t="s">
        <v>297</v>
      </c>
      <c r="L12" s="197">
        <v>1</v>
      </c>
      <c r="M12" s="197">
        <v>0.28000000000000003</v>
      </c>
      <c r="N12" s="270">
        <v>3</v>
      </c>
      <c r="O12" s="278" t="s">
        <v>248</v>
      </c>
      <c r="P12" s="278" t="s">
        <v>333</v>
      </c>
      <c r="R12" s="211" t="s">
        <v>261</v>
      </c>
      <c r="S12" s="11"/>
      <c r="T12" s="166" t="s">
        <v>238</v>
      </c>
      <c r="U12" s="264" t="s">
        <v>327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249</v>
      </c>
      <c r="G13" s="278" t="s">
        <v>335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7" t="s">
        <v>251</v>
      </c>
      <c r="C26" s="197"/>
      <c r="D26" s="197"/>
      <c r="E26" s="197"/>
      <c r="F26" s="197"/>
      <c r="G26" s="197"/>
      <c r="H26" s="197"/>
      <c r="I26" s="11"/>
      <c r="J26" s="287" t="s">
        <v>247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5" t="s">
        <v>252</v>
      </c>
      <c r="C27" s="246"/>
      <c r="D27" s="246"/>
      <c r="E27" s="246"/>
      <c r="F27" s="246"/>
      <c r="G27" s="246"/>
      <c r="H27" s="247"/>
      <c r="I27" s="11"/>
      <c r="J27" s="317" t="s">
        <v>253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9" t="s">
        <v>238</v>
      </c>
      <c r="C28" s="319" t="s">
        <v>277</v>
      </c>
      <c r="D28" s="279" t="s">
        <v>33</v>
      </c>
      <c r="E28" s="319" t="s">
        <v>241</v>
      </c>
      <c r="F28" s="279" t="s">
        <v>239</v>
      </c>
      <c r="G28" s="278" t="s">
        <v>243</v>
      </c>
      <c r="H28" s="320" t="s">
        <v>334</v>
      </c>
      <c r="I28" s="11"/>
      <c r="J28" s="276" t="s">
        <v>238</v>
      </c>
      <c r="K28" s="243" t="s">
        <v>33</v>
      </c>
      <c r="L28" s="248" t="s">
        <v>237</v>
      </c>
      <c r="M28" s="269" t="s">
        <v>241</v>
      </c>
      <c r="N28" s="276" t="s">
        <v>239</v>
      </c>
      <c r="O28" s="276" t="s">
        <v>243</v>
      </c>
      <c r="P28" s="320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248</v>
      </c>
      <c r="H29" s="278" t="s">
        <v>335</v>
      </c>
      <c r="I29" s="11"/>
      <c r="J29" s="257"/>
      <c r="K29" s="251"/>
      <c r="L29" s="197"/>
      <c r="M29" s="268"/>
      <c r="N29" s="268"/>
      <c r="O29" s="276"/>
      <c r="P29" s="276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248</v>
      </c>
      <c r="H30" s="278" t="s">
        <v>335</v>
      </c>
      <c r="I30" s="11"/>
      <c r="J30" s="172"/>
      <c r="K30" s="251"/>
      <c r="L30" s="197"/>
      <c r="M30" s="197"/>
      <c r="N30" s="197"/>
      <c r="O30" s="278"/>
      <c r="P30" s="278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7" t="s">
        <v>246</v>
      </c>
      <c r="C45" s="11"/>
      <c r="D45" s="11"/>
      <c r="E45" s="11"/>
      <c r="F45" s="11"/>
      <c r="G45" s="11"/>
      <c r="H45" s="11"/>
      <c r="I45" s="287" t="s">
        <v>257</v>
      </c>
      <c r="J45" s="11"/>
      <c r="K45" s="11"/>
      <c r="L45" s="11"/>
      <c r="M45" s="11"/>
      <c r="O45" s="287" t="s">
        <v>258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635" t="s">
        <v>244</v>
      </c>
      <c r="C46" s="636"/>
      <c r="D46" s="636"/>
      <c r="E46" s="636"/>
      <c r="F46" s="636"/>
      <c r="G46" s="637"/>
      <c r="H46" s="11"/>
      <c r="I46" s="635" t="s">
        <v>259</v>
      </c>
      <c r="J46" s="636"/>
      <c r="K46" s="636"/>
      <c r="L46" s="637"/>
      <c r="M46" s="289"/>
      <c r="O46" s="317" t="s">
        <v>260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8" t="s">
        <v>238</v>
      </c>
      <c r="C47" s="278" t="s">
        <v>33</v>
      </c>
      <c r="D47" s="270" t="s">
        <v>241</v>
      </c>
      <c r="E47" s="278" t="s">
        <v>239</v>
      </c>
      <c r="F47" s="278" t="s">
        <v>243</v>
      </c>
      <c r="G47" s="320" t="s">
        <v>334</v>
      </c>
      <c r="H47" s="11"/>
      <c r="I47" s="276" t="s">
        <v>238</v>
      </c>
      <c r="J47" s="269" t="s">
        <v>241</v>
      </c>
      <c r="K47" s="276" t="s">
        <v>239</v>
      </c>
      <c r="L47" s="276" t="s">
        <v>243</v>
      </c>
      <c r="M47" s="320" t="s">
        <v>334</v>
      </c>
      <c r="O47" s="243" t="s">
        <v>238</v>
      </c>
      <c r="P47" s="247" t="s">
        <v>241</v>
      </c>
      <c r="Q47" s="243" t="s">
        <v>239</v>
      </c>
      <c r="R47" s="276" t="s">
        <v>243</v>
      </c>
      <c r="S47" s="320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7"/>
      <c r="C48" s="274"/>
      <c r="D48" s="268"/>
      <c r="E48" s="268"/>
      <c r="F48" s="276"/>
      <c r="G48" s="276" t="s">
        <v>333</v>
      </c>
      <c r="H48" s="11"/>
      <c r="I48" s="257"/>
      <c r="J48" s="268"/>
      <c r="K48" s="269"/>
      <c r="L48" s="276"/>
      <c r="M48" s="276" t="s">
        <v>333</v>
      </c>
      <c r="O48" s="257">
        <v>2000</v>
      </c>
      <c r="P48" s="300">
        <v>7.1999999999999995E-2</v>
      </c>
      <c r="Q48" s="269">
        <v>4</v>
      </c>
      <c r="R48" s="276" t="s">
        <v>249</v>
      </c>
      <c r="S48" s="276" t="s">
        <v>333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51"/>
      <c r="D49" s="197"/>
      <c r="E49" s="197"/>
      <c r="F49" s="278"/>
      <c r="G49" s="278" t="s">
        <v>333</v>
      </c>
      <c r="H49" s="11"/>
      <c r="I49" s="172"/>
      <c r="J49" s="197"/>
      <c r="K49" s="270"/>
      <c r="L49" s="278"/>
      <c r="M49" s="278" t="s">
        <v>333</v>
      </c>
      <c r="O49" s="172">
        <v>3000</v>
      </c>
      <c r="P49" s="197">
        <v>0.41</v>
      </c>
      <c r="Q49" s="270">
        <v>4</v>
      </c>
      <c r="R49" s="278" t="s">
        <v>248</v>
      </c>
      <c r="S49" s="278" t="s">
        <v>333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248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248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6" t="s">
        <v>245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638" t="s">
        <v>254</v>
      </c>
      <c r="C68" s="639"/>
      <c r="D68" s="639"/>
      <c r="E68" s="639"/>
      <c r="F68" s="639"/>
      <c r="G68" s="247"/>
    </row>
    <row r="69" spans="2:30" ht="15" thickBot="1">
      <c r="B69" s="279" t="s">
        <v>238</v>
      </c>
      <c r="C69" s="281" t="s">
        <v>33</v>
      </c>
      <c r="D69" s="282" t="s">
        <v>241</v>
      </c>
      <c r="E69" s="319" t="s">
        <v>239</v>
      </c>
      <c r="F69" s="278" t="s">
        <v>243</v>
      </c>
      <c r="G69" s="320" t="s">
        <v>334</v>
      </c>
    </row>
    <row r="70" spans="2:30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249</v>
      </c>
      <c r="G70" s="276" t="s">
        <v>333</v>
      </c>
    </row>
    <row r="71" spans="2:30">
      <c r="B71" s="172">
        <v>11</v>
      </c>
      <c r="C71" s="251" t="s">
        <v>297</v>
      </c>
      <c r="D71" s="240">
        <v>0.18</v>
      </c>
      <c r="E71" s="197">
        <v>1</v>
      </c>
      <c r="F71" s="172" t="s">
        <v>248</v>
      </c>
      <c r="G71" s="278" t="s">
        <v>333</v>
      </c>
    </row>
    <row r="72" spans="2:30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249</v>
      </c>
      <c r="G72" s="278" t="s">
        <v>335</v>
      </c>
    </row>
    <row r="73" spans="2:30">
      <c r="B73" s="172"/>
      <c r="C73" s="251"/>
      <c r="D73" s="197"/>
      <c r="E73" s="197"/>
      <c r="F73" s="172"/>
      <c r="G73" s="278"/>
    </row>
    <row r="74" spans="2:30">
      <c r="B74" s="172"/>
      <c r="C74" s="251"/>
      <c r="D74" s="197"/>
      <c r="E74" s="197"/>
      <c r="F74" s="172"/>
      <c r="G74" s="278"/>
    </row>
    <row r="75" spans="2:30">
      <c r="B75" s="172"/>
      <c r="C75" s="251"/>
      <c r="D75" s="197"/>
      <c r="E75" s="197"/>
      <c r="F75" s="172"/>
      <c r="G75" s="278"/>
    </row>
    <row r="76" spans="2:30">
      <c r="B76" s="172"/>
      <c r="C76" s="251"/>
      <c r="D76" s="197"/>
      <c r="E76" s="197"/>
      <c r="F76" s="172"/>
      <c r="G76" s="278"/>
    </row>
    <row r="77" spans="2:30">
      <c r="B77" s="172"/>
      <c r="C77" s="251"/>
      <c r="D77" s="197"/>
      <c r="E77" s="197"/>
      <c r="F77" s="172"/>
      <c r="G77" s="278"/>
    </row>
    <row r="78" spans="2:30">
      <c r="B78" s="172"/>
      <c r="C78" s="251"/>
      <c r="D78" s="197"/>
      <c r="E78" s="197"/>
      <c r="F78" s="172"/>
      <c r="G78" s="278"/>
    </row>
    <row r="79" spans="2:30">
      <c r="B79" s="172"/>
      <c r="C79" s="251"/>
      <c r="D79" s="197"/>
      <c r="E79" s="197"/>
      <c r="F79" s="172"/>
      <c r="G79" s="278"/>
    </row>
    <row r="80" spans="2:30">
      <c r="B80" s="172"/>
      <c r="C80" s="251"/>
      <c r="D80" s="197"/>
      <c r="E80" s="197"/>
      <c r="F80" s="172"/>
      <c r="G80" s="278"/>
    </row>
    <row r="81" spans="2:10">
      <c r="B81" s="172"/>
      <c r="C81" s="251"/>
      <c r="D81" s="197"/>
      <c r="E81" s="197"/>
      <c r="F81" s="172"/>
      <c r="G81" s="278"/>
    </row>
    <row r="82" spans="2:10" ht="15" thickBot="1">
      <c r="B82" s="264"/>
      <c r="C82" s="275"/>
      <c r="D82" s="155"/>
      <c r="E82" s="155"/>
      <c r="F82" s="264"/>
      <c r="G82" s="279"/>
    </row>
    <row r="87" spans="2:10" ht="15" thickBot="1">
      <c r="C87" s="197"/>
      <c r="D87" s="197"/>
      <c r="E87" s="197"/>
      <c r="F87" s="197"/>
      <c r="G87" s="197"/>
      <c r="H87" s="197"/>
      <c r="I87" s="197"/>
    </row>
    <row r="88" spans="2:10" ht="15" thickBot="1">
      <c r="B88" s="322" t="s">
        <v>338</v>
      </c>
      <c r="C88" s="243" t="s">
        <v>238</v>
      </c>
      <c r="D88" s="248" t="s">
        <v>277</v>
      </c>
      <c r="E88" s="243" t="s">
        <v>33</v>
      </c>
      <c r="F88" s="248" t="s">
        <v>241</v>
      </c>
      <c r="G88" s="243" t="s">
        <v>239</v>
      </c>
      <c r="H88" s="243" t="s">
        <v>243</v>
      </c>
      <c r="I88" s="323" t="s">
        <v>334</v>
      </c>
      <c r="J88" s="321" t="s">
        <v>336</v>
      </c>
    </row>
    <row r="89" spans="2:10">
      <c r="B89" s="322" t="s">
        <v>254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248</v>
      </c>
      <c r="I89" s="276" t="s">
        <v>335</v>
      </c>
      <c r="J89" s="166"/>
    </row>
    <row r="90" spans="2:10">
      <c r="B90" s="166" t="s">
        <v>254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248</v>
      </c>
      <c r="I90" s="278" t="s">
        <v>335</v>
      </c>
      <c r="J90" s="166"/>
    </row>
    <row r="91" spans="2:10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zoomScale="58" zoomScaleNormal="58" workbookViewId="0">
      <selection activeCell="L13" sqref="L13"/>
    </sheetView>
  </sheetViews>
  <sheetFormatPr defaultColWidth="10.81640625" defaultRowHeight="14.5"/>
  <cols>
    <col min="1" max="1" width="16.6328125" style="3" bestFit="1" customWidth="1"/>
    <col min="2" max="2" width="2.1796875" style="3" customWidth="1"/>
    <col min="3" max="3" width="3.81640625" style="3" customWidth="1"/>
    <col min="4" max="4" width="31.1796875" style="3" customWidth="1"/>
    <col min="5" max="5" width="18.81640625" style="3" customWidth="1"/>
    <col min="6" max="6" width="15.1796875" style="3" customWidth="1"/>
    <col min="7" max="7" width="8.453125" style="3" customWidth="1"/>
    <col min="8" max="8" width="23.453125" style="3" customWidth="1"/>
    <col min="9" max="11" width="15.1796875" style="3" customWidth="1"/>
    <col min="12" max="12" width="4.1796875" style="3" customWidth="1"/>
    <col min="13" max="13" width="24.81640625" style="3" bestFit="1" customWidth="1"/>
    <col min="14" max="14" width="15.1796875" style="3" customWidth="1"/>
    <col min="15" max="15" width="30.1796875" style="3" customWidth="1"/>
    <col min="16" max="16" width="33" style="3" customWidth="1"/>
    <col min="17" max="17" width="15.179687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1796875" style="3" customWidth="1"/>
    <col min="24" max="24" width="26.453125" style="3" customWidth="1"/>
    <col min="25" max="25" width="17.81640625" style="3" customWidth="1"/>
    <col min="26" max="26" width="18.1796875" style="3" customWidth="1"/>
    <col min="27" max="28" width="10.81640625" style="3"/>
    <col min="29" max="29" width="25.81640625" style="3" customWidth="1"/>
    <col min="30" max="30" width="10.81640625" style="3"/>
    <col min="31" max="31" width="16.81640625" style="3" bestFit="1" customWidth="1"/>
    <col min="32" max="32" width="59.81640625" style="3" customWidth="1"/>
    <col min="33" max="33" width="10.81640625" style="3"/>
    <col min="34" max="34" width="18.81640625" style="3" customWidth="1"/>
    <col min="35" max="35" width="16.81640625" style="3" customWidth="1"/>
    <col min="36" max="37" width="10.81640625" style="3"/>
    <col min="38" max="38" width="14.6328125" style="3" bestFit="1" customWidth="1"/>
    <col min="39" max="39" width="17.81640625" style="3" bestFit="1" customWidth="1"/>
    <col min="40" max="40" width="25.1796875" style="3" customWidth="1"/>
    <col min="41" max="16384" width="10.81640625" style="3"/>
  </cols>
  <sheetData>
    <row r="1" spans="3:41" ht="10.5" customHeight="1" thickBot="1"/>
    <row r="2" spans="3:41" ht="18.649999999999999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0" t="s">
        <v>75</v>
      </c>
      <c r="T8" s="621"/>
      <c r="U8" s="622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6" t="s">
        <v>5</v>
      </c>
      <c r="AI8" s="627"/>
      <c r="AJ8" s="628"/>
      <c r="AK8" s="93"/>
      <c r="AL8" s="626" t="s">
        <v>6</v>
      </c>
      <c r="AM8" s="627"/>
      <c r="AN8" s="628"/>
      <c r="AO8" s="82"/>
    </row>
    <row r="9" spans="3:41" ht="21.5" thickBot="1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5">
      <c r="C10" s="81"/>
      <c r="D10" s="62" t="s">
        <v>1</v>
      </c>
      <c r="E10" s="63" t="s">
        <v>402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2" t="s">
        <v>166</v>
      </c>
      <c r="AN10" s="433">
        <v>1</v>
      </c>
      <c r="AO10" s="82"/>
    </row>
    <row r="11" spans="3:41" ht="19" thickBot="1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99">
        <v>7.37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.5">
      <c r="C12" s="81"/>
      <c r="D12" s="64" t="s">
        <v>39</v>
      </c>
      <c r="E12" s="194" t="s">
        <v>401</v>
      </c>
      <c r="F12" s="200" t="s">
        <v>169</v>
      </c>
      <c r="G12" s="5"/>
      <c r="H12" s="64" t="s">
        <v>65</v>
      </c>
      <c r="I12" s="99">
        <v>3.004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.5"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.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593">
        <v>2014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9" thickBot="1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3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9" thickBot="1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.5">
      <c r="C17" s="81"/>
      <c r="D17" s="64" t="s">
        <v>57</v>
      </c>
      <c r="E17" s="65">
        <v>35</v>
      </c>
      <c r="F17" s="200" t="s">
        <v>182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.5">
      <c r="C18" s="81"/>
      <c r="D18" s="66" t="s">
        <v>58</v>
      </c>
      <c r="E18" s="65">
        <v>80</v>
      </c>
      <c r="F18" s="200" t="s">
        <v>182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.5">
      <c r="C19" s="81"/>
      <c r="D19" s="64" t="s">
        <v>59</v>
      </c>
      <c r="E19" s="65"/>
      <c r="F19" s="200" t="s">
        <v>182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.5">
      <c r="C20" s="81"/>
      <c r="D20" s="66" t="s">
        <v>60</v>
      </c>
      <c r="E20" s="65"/>
      <c r="F20" s="200" t="s">
        <v>182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.5">
      <c r="C21" s="81"/>
      <c r="D21" s="66" t="s">
        <v>61</v>
      </c>
      <c r="E21" s="529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.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.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.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.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9" thickBot="1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9" thickBot="1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7"/>
      <c r="AI27" s="438"/>
      <c r="AJ27" s="439"/>
      <c r="AK27" s="74"/>
      <c r="AL27" s="105"/>
      <c r="AM27" s="129"/>
      <c r="AN27" s="76"/>
      <c r="AO27" s="82"/>
    </row>
    <row r="28" spans="3:41" ht="15.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3"/>
      <c r="AI28" s="5"/>
      <c r="AJ28" s="82"/>
      <c r="AK28" s="5"/>
      <c r="AL28" s="5"/>
      <c r="AM28" s="10"/>
      <c r="AN28" s="5"/>
      <c r="AO28" s="82"/>
    </row>
    <row r="29" spans="3:41" ht="15.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3"/>
      <c r="AI29" s="5"/>
      <c r="AJ29" s="82"/>
      <c r="AK29" s="5"/>
      <c r="AL29" s="5"/>
      <c r="AM29" s="10"/>
      <c r="AN29" s="5"/>
      <c r="AO29" s="82"/>
    </row>
    <row r="30" spans="3:41" ht="15.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3"/>
      <c r="AI30" s="5"/>
      <c r="AJ30" s="82"/>
      <c r="AK30" s="5"/>
      <c r="AL30" s="5"/>
      <c r="AM30" s="10"/>
      <c r="AN30" s="5"/>
      <c r="AO30" s="82"/>
    </row>
    <row r="31" spans="3:41" ht="18.5">
      <c r="C31" s="81"/>
      <c r="D31" s="35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521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625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.5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.5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.5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.5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9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.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5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zoomScale="50" zoomScaleNormal="50" workbookViewId="0">
      <selection activeCell="N38" sqref="N38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4" width="19.6328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239" t="s">
        <v>392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>
        <f>35/1000</f>
        <v>3.5000000000000003E-2</v>
      </c>
      <c r="O10" s="169"/>
      <c r="P10" s="170"/>
      <c r="Q10" s="171"/>
      <c r="R10" s="5" t="s">
        <v>183</v>
      </c>
      <c r="S10" s="97">
        <v>8000</v>
      </c>
      <c r="T10" s="98" t="s">
        <v>511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356">
        <v>800</v>
      </c>
      <c r="F11" s="200" t="s">
        <v>169</v>
      </c>
      <c r="G11" s="5"/>
      <c r="H11" s="64" t="s">
        <v>64</v>
      </c>
      <c r="I11" s="99">
        <v>0.48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5">
        <v>3.75</v>
      </c>
      <c r="J12" s="82" t="str">
        <f>J15</f>
        <v>t/h</v>
      </c>
      <c r="K12" s="74"/>
      <c r="L12" s="74"/>
      <c r="M12" s="231" t="s">
        <v>74</v>
      </c>
      <c r="N12" s="236" t="s">
        <v>295</v>
      </c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</v>
      </c>
      <c r="J13" s="82" t="s">
        <v>169</v>
      </c>
      <c r="K13" s="74"/>
      <c r="L13" s="74"/>
      <c r="M13" s="232"/>
      <c r="N13" s="120" t="s">
        <v>163</v>
      </c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356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3" t="s">
        <v>164</v>
      </c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356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3" t="s">
        <v>453</v>
      </c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356">
        <v>1.44</v>
      </c>
      <c r="F16" s="200" t="s">
        <v>169</v>
      </c>
      <c r="G16" s="5"/>
      <c r="H16" s="226" t="s">
        <v>52</v>
      </c>
      <c r="I16" s="227" t="s">
        <v>295</v>
      </c>
      <c r="J16" s="203" t="s">
        <v>169</v>
      </c>
      <c r="K16" s="74"/>
      <c r="L16" s="74"/>
      <c r="M16" s="233"/>
      <c r="N16" s="103" t="s">
        <v>525</v>
      </c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3" t="s">
        <v>161</v>
      </c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3" t="s">
        <v>526</v>
      </c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3" t="s">
        <v>297</v>
      </c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3" t="s">
        <v>527</v>
      </c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167</v>
      </c>
      <c r="J21" s="200" t="s">
        <v>169</v>
      </c>
      <c r="K21" s="74"/>
      <c r="L21" s="74"/>
      <c r="M21" s="229"/>
      <c r="N21" s="103" t="s">
        <v>419</v>
      </c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297</v>
      </c>
      <c r="J22" s="200" t="s">
        <v>169</v>
      </c>
      <c r="K22" s="74"/>
      <c r="L22" s="74"/>
      <c r="M22" s="229"/>
      <c r="N22" s="103" t="s">
        <v>167</v>
      </c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 t="s">
        <v>453</v>
      </c>
      <c r="J23" s="200" t="s">
        <v>169</v>
      </c>
      <c r="K23" s="74"/>
      <c r="L23" s="74"/>
      <c r="M23" s="229"/>
      <c r="N23" s="103" t="s">
        <v>457</v>
      </c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 t="s">
        <v>525</v>
      </c>
      <c r="J24" s="200" t="s">
        <v>169</v>
      </c>
      <c r="K24" s="74"/>
      <c r="L24" s="74"/>
      <c r="M24" s="229"/>
      <c r="N24" s="103" t="s">
        <v>354</v>
      </c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 t="s">
        <v>419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393</v>
      </c>
      <c r="E31" s="5"/>
      <c r="F31" s="5"/>
      <c r="G31" s="5"/>
      <c r="H31" s="5" t="s">
        <v>512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O12:Q12 I16:I27 O14:Q27 N25:N27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6" zoomScale="80" zoomScaleNormal="80" workbookViewId="0">
      <selection activeCell="Y22" sqref="Y22"/>
    </sheetView>
  </sheetViews>
  <sheetFormatPr defaultColWidth="10.81640625" defaultRowHeight="14.5"/>
  <cols>
    <col min="7" max="8" width="24.1796875" bestFit="1" customWidth="1"/>
    <col min="10" max="10" width="16.81640625" bestFit="1" customWidth="1"/>
    <col min="25" max="25" width="26.1796875" bestFit="1" customWidth="1"/>
    <col min="27" max="27" width="31.08984375" bestFit="1" customWidth="1"/>
  </cols>
  <sheetData>
    <row r="1" spans="1:27" ht="15.5">
      <c r="A1" t="s">
        <v>26</v>
      </c>
      <c r="B1" t="s">
        <v>180</v>
      </c>
      <c r="F1" s="1" t="s">
        <v>16</v>
      </c>
      <c r="P1" t="s">
        <v>298</v>
      </c>
    </row>
    <row r="2" spans="1:27" ht="15.5">
      <c r="A2" t="s">
        <v>25</v>
      </c>
      <c r="B2" t="s">
        <v>180</v>
      </c>
      <c r="C2" t="s">
        <v>25</v>
      </c>
      <c r="F2" s="174" t="s">
        <v>115</v>
      </c>
      <c r="P2" t="s">
        <v>298</v>
      </c>
    </row>
    <row r="3" spans="1:27" ht="15.5">
      <c r="A3" t="s">
        <v>12</v>
      </c>
      <c r="B3" t="s">
        <v>179</v>
      </c>
      <c r="C3" t="s">
        <v>12</v>
      </c>
      <c r="F3" s="216" t="s">
        <v>197</v>
      </c>
    </row>
    <row r="4" spans="1:27" ht="15.5">
      <c r="A4" t="s">
        <v>13</v>
      </c>
      <c r="B4" t="s">
        <v>179</v>
      </c>
      <c r="C4" t="s">
        <v>13</v>
      </c>
      <c r="F4" s="216" t="s">
        <v>198</v>
      </c>
    </row>
    <row r="5" spans="1:27" ht="15.5">
      <c r="A5" t="s">
        <v>20</v>
      </c>
      <c r="C5" t="s">
        <v>20</v>
      </c>
      <c r="F5" s="216" t="s">
        <v>199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268</v>
      </c>
    </row>
    <row r="14" spans="1:27">
      <c r="A14" t="s">
        <v>202</v>
      </c>
    </row>
    <row r="15" spans="1:27">
      <c r="A15" t="s">
        <v>200</v>
      </c>
    </row>
    <row r="16" spans="1:27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225</v>
      </c>
      <c r="N16" s="295"/>
      <c r="O16" s="295" t="s">
        <v>232</v>
      </c>
      <c r="P16" s="295"/>
      <c r="Q16" s="295"/>
      <c r="R16" s="295" t="s">
        <v>234</v>
      </c>
      <c r="S16" s="295"/>
      <c r="T16" s="295"/>
      <c r="U16" s="295" t="s">
        <v>233</v>
      </c>
      <c r="V16" s="295"/>
      <c r="W16" s="295" t="s">
        <v>337</v>
      </c>
      <c r="X16" s="295"/>
      <c r="Y16" s="295" t="s">
        <v>339</v>
      </c>
      <c r="AA16" s="295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267</v>
      </c>
      <c r="R17" t="s">
        <v>221</v>
      </c>
      <c r="U17" t="s">
        <v>248</v>
      </c>
      <c r="W17" t="s">
        <v>369</v>
      </c>
      <c r="Y17" t="s">
        <v>252</v>
      </c>
      <c r="AA17" s="302" t="s">
        <v>252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262</v>
      </c>
      <c r="R18" t="s">
        <v>226</v>
      </c>
      <c r="U18" t="s">
        <v>250</v>
      </c>
      <c r="W18" t="s">
        <v>370</v>
      </c>
      <c r="Y18" t="s">
        <v>254</v>
      </c>
      <c r="AA18" s="302" t="s">
        <v>254</v>
      </c>
    </row>
    <row r="19" spans="5:27">
      <c r="G19" t="s">
        <v>141</v>
      </c>
      <c r="H19" t="s">
        <v>143</v>
      </c>
      <c r="M19" s="240" t="s">
        <v>262</v>
      </c>
      <c r="R19" t="s">
        <v>227</v>
      </c>
      <c r="U19" t="s">
        <v>249</v>
      </c>
      <c r="Y19" t="s">
        <v>255</v>
      </c>
      <c r="AA19" s="302" t="s">
        <v>255</v>
      </c>
    </row>
    <row r="20" spans="5:27">
      <c r="G20" t="s">
        <v>124</v>
      </c>
      <c r="H20" t="s">
        <v>132</v>
      </c>
      <c r="R20" t="s">
        <v>228</v>
      </c>
      <c r="Y20" t="s">
        <v>253</v>
      </c>
      <c r="AA20" s="302" t="s">
        <v>253</v>
      </c>
    </row>
    <row r="21" spans="5:27">
      <c r="G21" t="s">
        <v>206</v>
      </c>
      <c r="H21" t="s">
        <v>269</v>
      </c>
      <c r="Y21" t="s">
        <v>244</v>
      </c>
      <c r="AA21" s="302" t="s">
        <v>244</v>
      </c>
    </row>
    <row r="22" spans="5:27">
      <c r="G22" t="s">
        <v>272</v>
      </c>
      <c r="Y22" t="s">
        <v>345</v>
      </c>
      <c r="AA22" s="302" t="s">
        <v>345</v>
      </c>
    </row>
    <row r="23" spans="5:27">
      <c r="Y23" t="s">
        <v>346</v>
      </c>
      <c r="AA23" s="302" t="s">
        <v>346</v>
      </c>
    </row>
    <row r="24" spans="5:27">
      <c r="Y24" t="s">
        <v>121</v>
      </c>
      <c r="AA24" s="348" t="s">
        <v>377</v>
      </c>
    </row>
    <row r="25" spans="5:27">
      <c r="Y25" t="s">
        <v>134</v>
      </c>
      <c r="AA25" s="348" t="s">
        <v>378</v>
      </c>
    </row>
    <row r="26" spans="5:27">
      <c r="AA26" s="349" t="s">
        <v>383</v>
      </c>
    </row>
    <row r="27" spans="5:27">
      <c r="AA27" s="349" t="s">
        <v>386</v>
      </c>
    </row>
    <row r="28" spans="5:27">
      <c r="AA28" s="349" t="s">
        <v>384</v>
      </c>
    </row>
    <row r="29" spans="5:27">
      <c r="AA29" s="349" t="s">
        <v>385</v>
      </c>
    </row>
    <row r="30" spans="5:27">
      <c r="AA30" s="348" t="s">
        <v>387</v>
      </c>
    </row>
    <row r="31" spans="5:27">
      <c r="AA31" s="348" t="s">
        <v>388</v>
      </c>
    </row>
    <row r="32" spans="5:27">
      <c r="AA32" s="348" t="s">
        <v>379</v>
      </c>
    </row>
    <row r="33" spans="2:27">
      <c r="AA33" s="348" t="s">
        <v>389</v>
      </c>
    </row>
    <row r="34" spans="2:27">
      <c r="AA34" s="348" t="s">
        <v>380</v>
      </c>
    </row>
    <row r="35" spans="2:27">
      <c r="B35" t="s">
        <v>203</v>
      </c>
      <c r="AA35" s="348" t="s">
        <v>381</v>
      </c>
    </row>
    <row r="36" spans="2:27">
      <c r="AA36" s="348" t="s">
        <v>382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54" zoomScaleNormal="59" workbookViewId="0">
      <selection activeCell="C10" sqref="C10"/>
    </sheetView>
  </sheetViews>
  <sheetFormatPr defaultColWidth="10.81640625" defaultRowHeight="15.5"/>
  <cols>
    <col min="1" max="1" width="19.453125" style="2" customWidth="1"/>
    <col min="2" max="2" width="41.1796875" style="2" customWidth="1"/>
    <col min="3" max="3" width="26" style="2" bestFit="1" customWidth="1"/>
    <col min="4" max="4" width="13.81640625" style="2" customWidth="1"/>
    <col min="5" max="6" width="21.1796875" style="2" customWidth="1"/>
    <col min="7" max="7" width="17.81640625" style="2" customWidth="1"/>
    <col min="8" max="8" width="22.81640625" style="2" bestFit="1" customWidth="1"/>
    <col min="9" max="9" width="21.81640625" style="2" bestFit="1" customWidth="1"/>
    <col min="10" max="10" width="21" style="2" bestFit="1" customWidth="1"/>
    <col min="11" max="11" width="19.1796875" style="2" customWidth="1"/>
    <col min="12" max="13" width="20.1796875" style="2" customWidth="1"/>
    <col min="14" max="14" width="28.81640625" style="2" bestFit="1" customWidth="1"/>
    <col min="15" max="15" width="36.08984375" style="2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5.81640625" style="2" bestFit="1" customWidth="1"/>
    <col min="20" max="20" width="25.08984375" style="2" bestFit="1" customWidth="1"/>
    <col min="21" max="21" width="19.1796875" style="2" customWidth="1"/>
    <col min="22" max="22" width="23.1796875" style="2" bestFit="1" customWidth="1"/>
    <col min="23" max="23" width="21.9062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9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640" t="s">
        <v>29</v>
      </c>
      <c r="C3" s="641"/>
      <c r="D3" s="642"/>
      <c r="F3" s="292" t="s">
        <v>32</v>
      </c>
      <c r="G3" s="293"/>
      <c r="H3" s="293"/>
      <c r="I3" s="293"/>
      <c r="J3" s="293"/>
      <c r="K3" s="294"/>
      <c r="L3" s="14"/>
      <c r="M3" s="14"/>
      <c r="N3" s="646" t="s">
        <v>35</v>
      </c>
      <c r="O3" s="647"/>
      <c r="P3" s="648"/>
      <c r="Q3" s="14"/>
      <c r="R3" s="14"/>
      <c r="S3" s="649" t="s">
        <v>38</v>
      </c>
      <c r="T3" s="650"/>
      <c r="U3" s="650"/>
      <c r="V3" s="651"/>
      <c r="W3" s="14"/>
      <c r="X3" s="14"/>
      <c r="Y3" s="14"/>
      <c r="Z3" s="36"/>
      <c r="AA3" s="14"/>
      <c r="AB3" s="14"/>
      <c r="AC3" s="14"/>
    </row>
    <row r="4" spans="1:29" ht="107.15" customHeight="1" thickBot="1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.5">
      <c r="A5" s="58"/>
      <c r="B5" s="26" t="s">
        <v>27</v>
      </c>
      <c r="C5" s="28" t="s">
        <v>618</v>
      </c>
      <c r="D5" s="220" t="s">
        <v>169</v>
      </c>
      <c r="E5" s="14"/>
      <c r="F5" s="401" t="s">
        <v>295</v>
      </c>
      <c r="G5" s="43">
        <v>0</v>
      </c>
      <c r="H5" s="48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184</v>
      </c>
      <c r="P5" s="28" t="s">
        <v>164</v>
      </c>
      <c r="R5" s="14"/>
      <c r="S5" s="20" t="s">
        <v>18</v>
      </c>
      <c r="T5" s="532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.5">
      <c r="A6" s="37"/>
      <c r="B6" s="24" t="s">
        <v>28</v>
      </c>
      <c r="C6" s="30" t="s">
        <v>160</v>
      </c>
      <c r="D6" s="221" t="s">
        <v>169</v>
      </c>
      <c r="E6" s="14"/>
      <c r="F6" s="401" t="s">
        <v>163</v>
      </c>
      <c r="G6" s="43">
        <v>0</v>
      </c>
      <c r="H6" s="48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186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9" thickBot="1">
      <c r="A7" s="37"/>
      <c r="B7" s="181" t="s">
        <v>125</v>
      </c>
      <c r="C7" s="182" t="s">
        <v>123</v>
      </c>
      <c r="D7" s="221" t="s">
        <v>169</v>
      </c>
      <c r="E7" s="14"/>
      <c r="F7" s="401" t="s">
        <v>161</v>
      </c>
      <c r="G7" s="43">
        <v>0</v>
      </c>
      <c r="H7" s="48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187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.5">
      <c r="A8" s="37"/>
      <c r="B8" s="217" t="s">
        <v>201</v>
      </c>
      <c r="C8" s="513" t="s">
        <v>662</v>
      </c>
      <c r="D8" s="221" t="s">
        <v>169</v>
      </c>
      <c r="E8" s="218" t="s">
        <v>200</v>
      </c>
      <c r="F8" s="401" t="s">
        <v>453</v>
      </c>
      <c r="G8" s="43">
        <v>0</v>
      </c>
      <c r="H8" s="48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188</v>
      </c>
      <c r="P8" s="30" t="s">
        <v>295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.5">
      <c r="A9" s="37"/>
      <c r="B9" s="21" t="s">
        <v>270</v>
      </c>
      <c r="C9" s="513" t="s">
        <v>162</v>
      </c>
      <c r="D9" s="221" t="s">
        <v>169</v>
      </c>
      <c r="E9" s="30"/>
      <c r="F9" s="401" t="s">
        <v>525</v>
      </c>
      <c r="G9" s="43">
        <v>0</v>
      </c>
      <c r="H9" s="48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556</v>
      </c>
      <c r="P9" s="30" t="s">
        <v>453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9" thickBot="1">
      <c r="A10" s="37"/>
      <c r="B10" s="27" t="s">
        <v>271</v>
      </c>
      <c r="C10" s="371">
        <f>70*C11</f>
        <v>560000</v>
      </c>
      <c r="D10" s="221" t="s">
        <v>170</v>
      </c>
      <c r="E10" s="29"/>
      <c r="F10" s="402" t="s">
        <v>526</v>
      </c>
      <c r="G10" s="43">
        <v>0</v>
      </c>
      <c r="H10" s="48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557</v>
      </c>
      <c r="P10" s="30" t="s">
        <v>525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.5">
      <c r="A11" s="37"/>
      <c r="B11" s="20" t="s">
        <v>159</v>
      </c>
      <c r="C11" s="28">
        <v>8000</v>
      </c>
      <c r="D11" s="221" t="s">
        <v>273</v>
      </c>
      <c r="E11" s="14"/>
      <c r="F11" s="401" t="s">
        <v>297</v>
      </c>
      <c r="G11" s="43">
        <v>0</v>
      </c>
      <c r="H11" s="48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558</v>
      </c>
      <c r="P11" s="30" t="s">
        <v>297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>
      <c r="A12" s="37"/>
      <c r="B12" s="21" t="s">
        <v>31</v>
      </c>
      <c r="C12" s="30">
        <v>2020</v>
      </c>
      <c r="D12" s="222"/>
      <c r="E12" s="14"/>
      <c r="F12" s="401" t="s">
        <v>527</v>
      </c>
      <c r="G12" s="43">
        <v>0</v>
      </c>
      <c r="H12" s="48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189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>
      <c r="A13" s="37"/>
      <c r="B13" s="21" t="s">
        <v>126</v>
      </c>
      <c r="C13" s="30">
        <v>0.05</v>
      </c>
      <c r="D13" s="222"/>
      <c r="E13" s="14"/>
      <c r="F13" s="499" t="s">
        <v>419</v>
      </c>
      <c r="G13" s="43">
        <v>0</v>
      </c>
      <c r="H13" s="48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422</v>
      </c>
      <c r="P13" s="30" t="s">
        <v>295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.5">
      <c r="A14" s="37"/>
      <c r="B14" s="23" t="s">
        <v>127</v>
      </c>
      <c r="C14" s="30" t="s">
        <v>115</v>
      </c>
      <c r="D14" s="222"/>
      <c r="E14" s="14"/>
      <c r="F14" s="500" t="s">
        <v>164</v>
      </c>
      <c r="G14" s="43">
        <v>0</v>
      </c>
      <c r="H14" s="48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459</v>
      </c>
      <c r="P14" s="30" t="s">
        <v>449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9" thickBot="1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8">
        <v>5</v>
      </c>
      <c r="H15" s="48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498</v>
      </c>
      <c r="P15" s="30" t="s">
        <v>457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.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524</v>
      </c>
      <c r="P16" s="30" t="s">
        <v>449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.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7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596</v>
      </c>
      <c r="P17" s="30" t="s">
        <v>297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9" thickBot="1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1">
        <v>0</v>
      </c>
      <c r="I18" s="43">
        <v>32</v>
      </c>
      <c r="J18" s="43">
        <v>0</v>
      </c>
      <c r="K18" s="36"/>
      <c r="L18" s="14"/>
      <c r="M18" s="14"/>
      <c r="N18" s="482">
        <v>15</v>
      </c>
      <c r="O18" s="43" t="s">
        <v>597</v>
      </c>
      <c r="P18" s="483" t="s">
        <v>453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55"/>
      <c r="X18" s="655"/>
      <c r="Y18" s="655"/>
      <c r="Z18" s="656"/>
      <c r="AB18" s="14"/>
      <c r="AC18" s="14"/>
    </row>
    <row r="19" spans="1:29" ht="18.5">
      <c r="A19" s="37"/>
      <c r="B19" s="24" t="s">
        <v>54</v>
      </c>
      <c r="C19" s="30">
        <v>15</v>
      </c>
      <c r="D19" s="221" t="s">
        <v>172</v>
      </c>
      <c r="E19" s="14"/>
      <c r="F19" s="24" t="s">
        <v>457</v>
      </c>
      <c r="G19" s="43">
        <v>0</v>
      </c>
      <c r="H19" s="481">
        <v>0</v>
      </c>
      <c r="I19" s="43">
        <v>200</v>
      </c>
      <c r="J19" s="43">
        <v>0</v>
      </c>
      <c r="K19" s="157"/>
      <c r="L19" s="14"/>
      <c r="M19" s="14"/>
      <c r="N19" s="482">
        <v>16</v>
      </c>
      <c r="O19" s="43" t="s">
        <v>598</v>
      </c>
      <c r="P19" s="483" t="s">
        <v>525</v>
      </c>
      <c r="Q19" s="8"/>
      <c r="R19" s="53"/>
      <c r="S19" s="14"/>
      <c r="T19" s="14"/>
      <c r="U19" s="14"/>
      <c r="V19" s="14"/>
      <c r="W19" s="53"/>
      <c r="X19" s="10"/>
      <c r="Y19" s="653"/>
      <c r="Z19" s="654"/>
      <c r="AA19" s="14"/>
      <c r="AB19" s="14"/>
      <c r="AC19" s="14"/>
    </row>
    <row r="20" spans="1:29" ht="18.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1">
        <v>0</v>
      </c>
      <c r="I20" s="43">
        <v>200</v>
      </c>
      <c r="J20" s="43">
        <v>0</v>
      </c>
      <c r="K20" s="30"/>
      <c r="L20" s="14"/>
      <c r="M20" s="14"/>
      <c r="N20" s="482">
        <v>17</v>
      </c>
      <c r="O20" s="489" t="s">
        <v>599</v>
      </c>
      <c r="P20" s="483" t="s">
        <v>164</v>
      </c>
      <c r="Q20" s="8"/>
      <c r="R20" s="9"/>
      <c r="S20" s="14"/>
      <c r="T20" s="14"/>
      <c r="U20" s="14"/>
      <c r="V20" s="14"/>
      <c r="W20" s="9"/>
      <c r="X20" s="10"/>
      <c r="Y20" s="653"/>
      <c r="Z20" s="654"/>
      <c r="AA20" s="14"/>
      <c r="AB20" s="14"/>
      <c r="AC20" s="14"/>
    </row>
    <row r="21" spans="1:29" ht="19" thickBot="1">
      <c r="A21" s="37"/>
      <c r="B21" s="25" t="s">
        <v>97</v>
      </c>
      <c r="C21" s="29">
        <v>35</v>
      </c>
      <c r="D21" s="223" t="s">
        <v>174</v>
      </c>
      <c r="E21" s="14"/>
      <c r="F21" s="24" t="s">
        <v>185</v>
      </c>
      <c r="G21" s="43">
        <v>0</v>
      </c>
      <c r="H21" s="481">
        <v>0</v>
      </c>
      <c r="I21" s="43">
        <v>62.08</v>
      </c>
      <c r="J21" s="43">
        <v>0</v>
      </c>
      <c r="K21" s="30"/>
      <c r="L21" s="14"/>
      <c r="M21" s="14"/>
      <c r="N21" s="482">
        <v>18</v>
      </c>
      <c r="O21" s="489" t="s">
        <v>600</v>
      </c>
      <c r="P21" s="30" t="s">
        <v>297</v>
      </c>
      <c r="Q21" s="8"/>
      <c r="R21" s="9"/>
      <c r="S21" s="14"/>
      <c r="T21" s="14"/>
      <c r="U21" s="14"/>
      <c r="V21" s="14"/>
      <c r="W21" s="9"/>
      <c r="X21" s="10"/>
      <c r="Y21" s="653"/>
      <c r="Z21" s="654"/>
      <c r="AA21" s="14"/>
      <c r="AB21" s="14"/>
      <c r="AC21" s="14"/>
    </row>
    <row r="22" spans="1:29" ht="18.5">
      <c r="A22" s="37"/>
      <c r="C22" s="14"/>
      <c r="D22" s="14"/>
      <c r="E22" s="14"/>
      <c r="F22" s="24" t="s">
        <v>17</v>
      </c>
      <c r="G22" s="43">
        <v>0</v>
      </c>
      <c r="H22" s="481">
        <v>0</v>
      </c>
      <c r="I22" s="43">
        <v>28</v>
      </c>
      <c r="J22" s="43">
        <v>0</v>
      </c>
      <c r="K22" s="30"/>
      <c r="L22" s="14"/>
      <c r="M22" s="14"/>
      <c r="N22" s="482">
        <v>19</v>
      </c>
      <c r="O22" s="489" t="s">
        <v>601</v>
      </c>
      <c r="P22" s="483" t="s">
        <v>453</v>
      </c>
      <c r="Q22" s="8"/>
      <c r="R22" s="9"/>
      <c r="S22" s="14"/>
      <c r="T22" s="14"/>
      <c r="U22" s="530"/>
      <c r="V22" s="14"/>
      <c r="W22" s="9"/>
      <c r="X22" s="10"/>
      <c r="Y22" s="653"/>
      <c r="Z22" s="654"/>
      <c r="AA22" s="14"/>
      <c r="AB22" s="14"/>
      <c r="AC22" s="14"/>
    </row>
    <row r="23" spans="1:29" ht="18.5">
      <c r="A23" s="37"/>
      <c r="B23" s="14"/>
      <c r="C23" s="14"/>
      <c r="D23" s="14"/>
      <c r="E23" s="14"/>
      <c r="F23" s="24" t="s">
        <v>486</v>
      </c>
      <c r="G23" s="43">
        <v>0</v>
      </c>
      <c r="H23" s="481">
        <v>0</v>
      </c>
      <c r="I23" s="43">
        <v>100</v>
      </c>
      <c r="J23" s="43">
        <v>0</v>
      </c>
      <c r="K23" s="30"/>
      <c r="L23" s="14"/>
      <c r="M23" s="373"/>
      <c r="N23" s="482">
        <v>20</v>
      </c>
      <c r="O23" s="489" t="s">
        <v>602</v>
      </c>
      <c r="P23" s="483" t="s">
        <v>525</v>
      </c>
      <c r="Q23" s="8"/>
      <c r="R23" s="9"/>
      <c r="S23" s="9"/>
      <c r="T23" s="652"/>
      <c r="U23" s="652"/>
      <c r="V23" s="8"/>
      <c r="W23" s="8"/>
      <c r="X23" s="8"/>
      <c r="Y23" s="8"/>
      <c r="Z23" s="22"/>
      <c r="AA23" s="14"/>
      <c r="AB23" s="14"/>
      <c r="AC23" s="14"/>
    </row>
    <row r="24" spans="1:29" ht="18.5">
      <c r="A24" s="37"/>
      <c r="B24" s="14"/>
      <c r="C24" s="14"/>
      <c r="D24" s="14"/>
      <c r="E24" s="14"/>
      <c r="F24" s="24" t="s">
        <v>256</v>
      </c>
      <c r="G24" s="43">
        <v>0</v>
      </c>
      <c r="H24" s="481">
        <v>0</v>
      </c>
      <c r="I24" s="43">
        <v>100</v>
      </c>
      <c r="J24" s="43">
        <v>0</v>
      </c>
      <c r="K24" s="157"/>
      <c r="L24" s="14"/>
      <c r="M24" s="14"/>
      <c r="N24" s="482">
        <v>21</v>
      </c>
      <c r="O24" s="489" t="s">
        <v>603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>
      <c r="A25" s="37"/>
      <c r="B25" s="14"/>
      <c r="C25" s="14"/>
      <c r="D25" s="14"/>
      <c r="E25" s="14"/>
      <c r="F25" s="24" t="s">
        <v>300</v>
      </c>
      <c r="G25" s="43">
        <v>0</v>
      </c>
      <c r="H25" s="481">
        <v>0</v>
      </c>
      <c r="I25" s="43">
        <v>60</v>
      </c>
      <c r="J25" s="43">
        <v>0</v>
      </c>
      <c r="K25" s="374"/>
      <c r="L25" s="14"/>
      <c r="M25" s="14"/>
      <c r="N25" s="48">
        <v>13</v>
      </c>
      <c r="O25" s="43" t="s">
        <v>620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.5">
      <c r="A26" s="37"/>
      <c r="B26" s="14"/>
      <c r="C26" s="14"/>
      <c r="D26" s="14"/>
      <c r="E26" s="14"/>
      <c r="F26" s="24" t="s">
        <v>354</v>
      </c>
      <c r="G26" s="43">
        <v>0</v>
      </c>
      <c r="H26" s="481">
        <v>0</v>
      </c>
      <c r="I26" s="43">
        <v>200</v>
      </c>
      <c r="J26" s="43">
        <v>0</v>
      </c>
      <c r="K26" s="374"/>
      <c r="L26" s="14"/>
      <c r="M26" s="14"/>
      <c r="N26" s="482">
        <v>22</v>
      </c>
      <c r="O26" s="489" t="s">
        <v>619</v>
      </c>
      <c r="P26" s="30" t="s">
        <v>297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.5">
      <c r="A27" s="37"/>
      <c r="B27" s="14"/>
      <c r="C27" s="14"/>
      <c r="D27" s="14"/>
      <c r="E27" s="14"/>
      <c r="F27" s="137" t="s">
        <v>420</v>
      </c>
      <c r="G27" s="371">
        <v>0</v>
      </c>
      <c r="H27" s="481">
        <v>0</v>
      </c>
      <c r="I27" s="43">
        <v>200</v>
      </c>
      <c r="J27" s="43">
        <v>0</v>
      </c>
      <c r="K27" s="36"/>
      <c r="L27" s="14"/>
      <c r="M27" s="14"/>
      <c r="N27" s="482">
        <v>23</v>
      </c>
      <c r="O27" s="513" t="s">
        <v>621</v>
      </c>
      <c r="P27" s="30" t="s">
        <v>453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.5">
      <c r="A28" s="37"/>
      <c r="B28" s="14"/>
      <c r="C28" s="14"/>
      <c r="D28" s="14"/>
      <c r="E28" s="14"/>
      <c r="F28" s="24" t="s">
        <v>423</v>
      </c>
      <c r="G28" s="43">
        <v>0</v>
      </c>
      <c r="H28" s="481">
        <v>0</v>
      </c>
      <c r="I28" s="43">
        <v>98</v>
      </c>
      <c r="J28" s="43">
        <v>0</v>
      </c>
      <c r="K28" s="36"/>
      <c r="L28" s="14"/>
      <c r="M28" s="14"/>
      <c r="N28" s="482">
        <v>24</v>
      </c>
      <c r="O28" s="489" t="s">
        <v>622</v>
      </c>
      <c r="P28" s="30" t="s">
        <v>525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.5">
      <c r="A29" s="37"/>
      <c r="B29" s="14"/>
      <c r="C29" s="14"/>
      <c r="D29" s="14"/>
      <c r="E29" s="14"/>
      <c r="F29" s="24" t="s">
        <v>497</v>
      </c>
      <c r="G29" s="43">
        <v>0</v>
      </c>
      <c r="H29" s="481">
        <v>0</v>
      </c>
      <c r="I29" s="43">
        <v>40</v>
      </c>
      <c r="J29" s="43">
        <v>0</v>
      </c>
      <c r="K29" s="36"/>
      <c r="L29" s="14"/>
      <c r="M29" s="14"/>
      <c r="N29" s="482">
        <v>25</v>
      </c>
      <c r="O29" s="489" t="s">
        <v>623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9" thickBot="1">
      <c r="A30" s="37"/>
      <c r="B30" s="14"/>
      <c r="C30" s="14"/>
      <c r="D30" s="14"/>
      <c r="E30" s="14"/>
      <c r="F30" s="24" t="s">
        <v>431</v>
      </c>
      <c r="G30" s="480">
        <v>5.4</v>
      </c>
      <c r="H30" s="481">
        <v>0</v>
      </c>
      <c r="I30" s="41">
        <v>32.04</v>
      </c>
      <c r="J30" s="41">
        <v>0</v>
      </c>
      <c r="K30" s="36"/>
      <c r="L30" s="14"/>
      <c r="M30" s="14"/>
      <c r="N30" s="484">
        <v>26</v>
      </c>
      <c r="O30" s="514" t="s">
        <v>624</v>
      </c>
      <c r="P30" s="29" t="s">
        <v>295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>
      <c r="A31" s="37"/>
      <c r="B31" s="14"/>
      <c r="C31" s="14"/>
      <c r="D31" s="14"/>
      <c r="E31" s="14"/>
      <c r="F31" s="24" t="s">
        <v>449</v>
      </c>
      <c r="G31" s="41">
        <v>0</v>
      </c>
      <c r="H31" s="481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643" t="s">
        <v>135</v>
      </c>
      <c r="T31" s="644"/>
      <c r="U31" s="644"/>
      <c r="V31" s="644"/>
      <c r="W31" s="645"/>
      <c r="X31" s="14"/>
      <c r="Y31" s="14"/>
      <c r="Z31" s="36"/>
      <c r="AA31" s="14"/>
      <c r="AB31" s="14"/>
      <c r="AC31" s="14"/>
    </row>
    <row r="32" spans="1:29" ht="21.5" thickBot="1">
      <c r="A32" s="37"/>
      <c r="B32" s="14"/>
      <c r="C32" s="14"/>
      <c r="D32" s="14"/>
      <c r="E32" s="14"/>
      <c r="F32" s="24" t="s">
        <v>511</v>
      </c>
      <c r="G32" s="41">
        <v>0</v>
      </c>
      <c r="H32" s="481">
        <v>0</v>
      </c>
      <c r="I32" s="41">
        <v>100</v>
      </c>
      <c r="J32" s="41">
        <v>0</v>
      </c>
      <c r="K32" s="36"/>
      <c r="L32" s="14"/>
      <c r="M32" s="14"/>
      <c r="N32" s="518" t="s">
        <v>87</v>
      </c>
      <c r="O32" s="519">
        <v>0.55000000000000004</v>
      </c>
      <c r="P32" s="520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.5">
      <c r="A33" s="37"/>
      <c r="B33" s="14"/>
      <c r="C33" s="14"/>
      <c r="D33" s="14"/>
      <c r="E33" s="14"/>
      <c r="F33" s="24" t="s">
        <v>399</v>
      </c>
      <c r="G33" s="41">
        <v>0</v>
      </c>
      <c r="H33" s="481">
        <v>0</v>
      </c>
      <c r="I33" s="41">
        <v>100</v>
      </c>
      <c r="J33" s="41">
        <v>0</v>
      </c>
      <c r="K33" s="36"/>
      <c r="L33" s="14"/>
      <c r="M33" s="14"/>
      <c r="N33" s="521" t="s">
        <v>143</v>
      </c>
      <c r="O33" s="522">
        <v>0.27</v>
      </c>
      <c r="P33" s="523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9" thickBot="1">
      <c r="A34" s="37"/>
      <c r="B34" s="14"/>
      <c r="C34" s="14"/>
      <c r="D34" s="14"/>
      <c r="E34" s="14"/>
      <c r="F34" s="24" t="s">
        <v>523</v>
      </c>
      <c r="G34" s="41">
        <v>0</v>
      </c>
      <c r="H34" s="481">
        <v>0</v>
      </c>
      <c r="I34" s="41">
        <v>100</v>
      </c>
      <c r="J34" s="41">
        <v>0</v>
      </c>
      <c r="K34" s="36"/>
      <c r="L34" s="14"/>
      <c r="M34" s="14"/>
      <c r="N34" s="524" t="s">
        <v>132</v>
      </c>
      <c r="O34" s="525">
        <v>0.18</v>
      </c>
      <c r="P34" s="526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5" thickBot="1">
      <c r="A35" s="37"/>
      <c r="B35" s="14"/>
      <c r="C35" s="14"/>
      <c r="D35" s="14"/>
      <c r="E35" s="14"/>
      <c r="F35" s="24" t="s">
        <v>555</v>
      </c>
      <c r="G35" s="41">
        <v>0</v>
      </c>
      <c r="H35" s="481">
        <v>0</v>
      </c>
      <c r="I35" s="41">
        <v>100</v>
      </c>
      <c r="J35" s="41">
        <v>0</v>
      </c>
      <c r="K35" s="36"/>
      <c r="L35" s="14"/>
      <c r="M35" s="14"/>
      <c r="N35" s="643" t="s">
        <v>128</v>
      </c>
      <c r="O35" s="644"/>
      <c r="P35" s="645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586</v>
      </c>
      <c r="G36" s="41">
        <v>0</v>
      </c>
      <c r="H36" s="481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9" thickBot="1">
      <c r="A37" s="37"/>
      <c r="B37" s="14"/>
      <c r="C37" s="14"/>
      <c r="D37" s="14"/>
      <c r="E37" s="14"/>
      <c r="F37" s="224" t="s">
        <v>587</v>
      </c>
      <c r="G37" s="477">
        <v>0</v>
      </c>
      <c r="H37" s="477">
        <v>0</v>
      </c>
      <c r="I37" s="477">
        <v>100</v>
      </c>
      <c r="J37" s="47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.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.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.5">
      <c r="A40" s="37"/>
      <c r="B40" s="14"/>
      <c r="C40" s="14"/>
      <c r="D40" s="14"/>
      <c r="E40" s="14"/>
      <c r="F40" s="333" t="s">
        <v>268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5" thickBot="1">
      <c r="A41" s="37"/>
      <c r="B41" s="14"/>
      <c r="C41" s="14"/>
      <c r="D41" s="14"/>
      <c r="E41" s="14"/>
      <c r="F41" s="362" t="s">
        <v>409</v>
      </c>
      <c r="G41" s="362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.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">
      <c r="A61" s="14"/>
      <c r="B61" s="14"/>
      <c r="C61" s="14"/>
      <c r="D61" s="14"/>
      <c r="E61" s="14"/>
      <c r="F61" s="364">
        <v>558000</v>
      </c>
      <c r="G61" s="364" t="s">
        <v>410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">
      <c r="A62" s="14"/>
      <c r="B62" s="14"/>
      <c r="C62" s="14"/>
      <c r="D62" s="14"/>
      <c r="E62" s="14"/>
      <c r="F62" s="363" t="s">
        <v>411</v>
      </c>
      <c r="G62" s="36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">
      <c r="A63" s="14"/>
      <c r="B63" s="14"/>
      <c r="C63" s="14"/>
      <c r="D63" s="14"/>
      <c r="E63" s="14"/>
      <c r="F63" s="364">
        <f xml:space="preserve"> F61/8000</f>
        <v>69.75</v>
      </c>
      <c r="G63" s="364" t="s">
        <v>412</v>
      </c>
      <c r="H63" s="291" t="s">
        <v>413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91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E8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E9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topLeftCell="A4" zoomScale="72" zoomScaleNormal="100" workbookViewId="0">
      <selection activeCell="G15" sqref="G15"/>
    </sheetView>
  </sheetViews>
  <sheetFormatPr defaultColWidth="10.81640625" defaultRowHeight="14.5"/>
  <cols>
    <col min="3" max="3" width="16.453125" bestFit="1" customWidth="1"/>
    <col min="4" max="4" width="13.1796875" bestFit="1" customWidth="1"/>
    <col min="5" max="5" width="15.81640625" bestFit="1" customWidth="1"/>
    <col min="6" max="6" width="13.81640625" bestFit="1" customWidth="1"/>
    <col min="7" max="9" width="14.1796875" bestFit="1" customWidth="1"/>
    <col min="10" max="10" width="15.1796875" bestFit="1" customWidth="1"/>
    <col min="11" max="11" width="14.08984375" bestFit="1" customWidth="1"/>
    <col min="12" max="14" width="15.1796875" bestFit="1" customWidth="1"/>
  </cols>
  <sheetData>
    <row r="1" spans="2:18">
      <c r="L1" s="11"/>
    </row>
    <row r="2" spans="2:18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9" thickBot="1">
      <c r="B4" s="11"/>
      <c r="C4" s="11"/>
      <c r="D4" s="114"/>
      <c r="E4" s="315"/>
      <c r="F4" s="114"/>
      <c r="G4" s="11"/>
      <c r="H4" s="11"/>
      <c r="I4" s="11"/>
      <c r="J4" s="11"/>
      <c r="K4" s="11"/>
      <c r="L4" s="11"/>
    </row>
    <row r="5" spans="2:18" ht="24" thickBot="1">
      <c r="B5" s="296" t="s">
        <v>274</v>
      </c>
      <c r="C5" s="657" t="s">
        <v>98</v>
      </c>
      <c r="D5" s="658"/>
      <c r="E5" s="658"/>
      <c r="F5" s="658"/>
      <c r="G5" s="658"/>
      <c r="H5" s="658"/>
      <c r="I5" s="658"/>
      <c r="J5" s="658"/>
      <c r="K5" s="658"/>
      <c r="L5" s="658"/>
      <c r="M5" s="658"/>
      <c r="N5" s="658"/>
      <c r="O5" s="658"/>
      <c r="P5" s="658"/>
      <c r="Q5" s="659"/>
      <c r="R5" t="s">
        <v>22</v>
      </c>
    </row>
    <row r="6" spans="2:18" ht="18.5">
      <c r="B6" s="276"/>
      <c r="C6" s="161" t="s">
        <v>1</v>
      </c>
      <c r="D6" s="498" t="s">
        <v>519</v>
      </c>
      <c r="E6" s="498" t="s">
        <v>353</v>
      </c>
      <c r="F6" s="498" t="s">
        <v>400</v>
      </c>
      <c r="H6" s="498"/>
      <c r="I6" s="498"/>
      <c r="M6" s="498"/>
      <c r="P6" s="114"/>
      <c r="Q6" s="115"/>
    </row>
    <row r="7" spans="2:18" ht="18.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.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.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.5">
      <c r="B10" s="278"/>
      <c r="C10" s="161" t="s">
        <v>190</v>
      </c>
      <c r="D10" s="114">
        <v>430</v>
      </c>
      <c r="E10" s="315">
        <v>4500</v>
      </c>
      <c r="F10" s="114">
        <v>30</v>
      </c>
      <c r="H10" s="504"/>
      <c r="I10" s="315"/>
      <c r="M10" s="114"/>
      <c r="P10" s="114"/>
      <c r="Q10" s="115"/>
    </row>
    <row r="11" spans="2:18" ht="18.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.5">
      <c r="B12" s="278"/>
      <c r="C12" s="164" t="s">
        <v>116</v>
      </c>
      <c r="D12" s="114">
        <v>0</v>
      </c>
      <c r="E12" s="114">
        <v>0</v>
      </c>
      <c r="F12" s="506">
        <v>0</v>
      </c>
      <c r="H12" s="114"/>
      <c r="I12" s="114"/>
      <c r="M12" s="114"/>
      <c r="P12" s="114"/>
      <c r="Q12" s="115"/>
    </row>
    <row r="13" spans="2:18" ht="18.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.5">
      <c r="B14" s="278" t="s">
        <v>179</v>
      </c>
      <c r="C14" s="126" t="s">
        <v>275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9" thickBot="1">
      <c r="B15" s="279" t="s">
        <v>179</v>
      </c>
      <c r="C15" s="165" t="s">
        <v>276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>
      <c r="I16" s="11"/>
      <c r="J16" s="11"/>
      <c r="K16" s="11"/>
      <c r="L16" s="11"/>
    </row>
    <row r="17" spans="2:21">
      <c r="M17">
        <v>1500</v>
      </c>
    </row>
    <row r="19" spans="2:21">
      <c r="B19" t="s">
        <v>278</v>
      </c>
    </row>
    <row r="20" spans="2:21">
      <c r="B20" s="298" t="s">
        <v>281</v>
      </c>
      <c r="F20">
        <v>3000</v>
      </c>
    </row>
    <row r="21" spans="2:21">
      <c r="B21" t="s">
        <v>279</v>
      </c>
      <c r="C21">
        <v>76</v>
      </c>
      <c r="D21" t="s">
        <v>282</v>
      </c>
    </row>
    <row r="22" spans="2:21">
      <c r="B22" t="s">
        <v>280</v>
      </c>
      <c r="C22">
        <v>182</v>
      </c>
      <c r="D22" t="s">
        <v>282</v>
      </c>
    </row>
    <row r="23" spans="2:21">
      <c r="B23" t="s">
        <v>328</v>
      </c>
      <c r="C23">
        <f xml:space="preserve"> (C21+C22)/2 * 1000</f>
        <v>129000</v>
      </c>
    </row>
    <row r="24" spans="2:21">
      <c r="B24" t="s">
        <v>289</v>
      </c>
      <c r="C24">
        <v>0.6</v>
      </c>
    </row>
    <row r="25" spans="2:21" ht="18.5">
      <c r="B25" t="s">
        <v>284</v>
      </c>
      <c r="C25" t="e">
        <f>#REF! -#REF!* C24</f>
        <v>#REF!</v>
      </c>
      <c r="D25" t="s">
        <v>290</v>
      </c>
      <c r="F25">
        <f>500/1000000</f>
        <v>5.0000000000000001E-4</v>
      </c>
      <c r="U25" s="503"/>
    </row>
    <row r="26" spans="2:21">
      <c r="B26" t="s">
        <v>280</v>
      </c>
      <c r="C26" t="e">
        <f>#REF! +#REF!* C24</f>
        <v>#REF!</v>
      </c>
      <c r="D26" t="s">
        <v>290</v>
      </c>
      <c r="K26" t="s">
        <v>22</v>
      </c>
    </row>
    <row r="29" spans="2:21">
      <c r="B29" s="298" t="s">
        <v>283</v>
      </c>
      <c r="F29">
        <v>2000</v>
      </c>
    </row>
    <row r="30" spans="2:21">
      <c r="B30" t="s">
        <v>284</v>
      </c>
      <c r="C30">
        <v>1.04</v>
      </c>
      <c r="D30" t="s">
        <v>286</v>
      </c>
      <c r="Q30" s="298"/>
    </row>
    <row r="31" spans="2:21">
      <c r="B31" t="s">
        <v>285</v>
      </c>
      <c r="C31">
        <v>0.9</v>
      </c>
      <c r="D31" t="s">
        <v>286</v>
      </c>
    </row>
    <row r="32" spans="2:21">
      <c r="T32" s="298"/>
    </row>
    <row r="33" spans="2:18">
      <c r="B33" t="s">
        <v>287</v>
      </c>
      <c r="C33">
        <v>0.78900000000000003</v>
      </c>
      <c r="D33" t="s">
        <v>288</v>
      </c>
    </row>
    <row r="34" spans="2:18">
      <c r="R34" s="465"/>
    </row>
    <row r="35" spans="2:18">
      <c r="B35" t="s">
        <v>284</v>
      </c>
      <c r="C35">
        <f>C30*C33 *1000</f>
        <v>820.56000000000006</v>
      </c>
      <c r="D35" t="s">
        <v>290</v>
      </c>
    </row>
    <row r="36" spans="2:18">
      <c r="B36" t="s">
        <v>285</v>
      </c>
      <c r="C36">
        <f>C31*C33*1000</f>
        <v>710.1</v>
      </c>
      <c r="D36" t="s">
        <v>290</v>
      </c>
    </row>
    <row r="37" spans="2:18" ht="18.5">
      <c r="B37" t="s">
        <v>328</v>
      </c>
      <c r="C37" s="114">
        <f>(C35+C36)/2</f>
        <v>765.33</v>
      </c>
      <c r="D37" t="s">
        <v>290</v>
      </c>
      <c r="E37" s="314"/>
    </row>
    <row r="38" spans="2:18">
      <c r="B38" t="s">
        <v>289</v>
      </c>
      <c r="C38" s="299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8" t="s">
        <v>615</v>
      </c>
    </row>
    <row r="43" spans="2:18">
      <c r="B43" s="298" t="s">
        <v>291</v>
      </c>
      <c r="F43">
        <v>4000</v>
      </c>
    </row>
    <row r="44" spans="2:18">
      <c r="B44" t="s">
        <v>284</v>
      </c>
      <c r="C44">
        <v>2.4</v>
      </c>
      <c r="D44" t="s">
        <v>292</v>
      </c>
    </row>
    <row r="45" spans="2:18">
      <c r="B45" t="s">
        <v>285</v>
      </c>
      <c r="C45">
        <v>3.03</v>
      </c>
      <c r="D45" t="s">
        <v>292</v>
      </c>
    </row>
    <row r="47" spans="2:18">
      <c r="B47" t="s">
        <v>293</v>
      </c>
      <c r="C47">
        <f>_xlfn.STDEV.P(C44:C45)/AVERAGE(C44:C45)</f>
        <v>0.11602209944751414</v>
      </c>
    </row>
    <row r="48" spans="2:18">
      <c r="B48" t="s">
        <v>284</v>
      </c>
      <c r="C48" t="e">
        <f>#REF! - C47*#REF!</f>
        <v>#REF!</v>
      </c>
      <c r="D48" t="s">
        <v>290</v>
      </c>
    </row>
    <row r="49" spans="2:7">
      <c r="B49" t="s">
        <v>285</v>
      </c>
      <c r="C49" t="e">
        <f>#REF! + C47*#REF!</f>
        <v>#REF!</v>
      </c>
      <c r="D49" t="s">
        <v>290</v>
      </c>
    </row>
    <row r="53" spans="2:7">
      <c r="B53" s="298" t="s">
        <v>296</v>
      </c>
      <c r="F53">
        <v>5000</v>
      </c>
    </row>
    <row r="54" spans="2:7">
      <c r="B54" t="s">
        <v>284</v>
      </c>
      <c r="C54">
        <v>1000</v>
      </c>
      <c r="D54" t="s">
        <v>290</v>
      </c>
    </row>
    <row r="55" spans="2:7">
      <c r="B55" t="s">
        <v>285</v>
      </c>
      <c r="C55">
        <v>1300</v>
      </c>
      <c r="D55" t="s">
        <v>290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8" t="s">
        <v>612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262"/>
  <sheetViews>
    <sheetView topLeftCell="A5" zoomScale="70" zoomScaleNormal="70" workbookViewId="0">
      <selection activeCell="G40" sqref="G40"/>
    </sheetView>
  </sheetViews>
  <sheetFormatPr defaultColWidth="10.90625" defaultRowHeight="14.5"/>
  <cols>
    <col min="1" max="1" width="22" bestFit="1" customWidth="1"/>
    <col min="2" max="2" width="30.08984375" bestFit="1" customWidth="1"/>
    <col min="3" max="3" width="15.54296875" customWidth="1"/>
    <col min="4" max="4" width="19.1796875" customWidth="1"/>
    <col min="5" max="5" width="22" bestFit="1" customWidth="1"/>
    <col min="6" max="6" width="16" bestFit="1" customWidth="1"/>
    <col min="7" max="7" width="10.1796875" customWidth="1"/>
    <col min="8" max="8" width="14.90625" bestFit="1" customWidth="1"/>
    <col min="9" max="9" width="15.1796875" customWidth="1"/>
    <col min="10" max="11" width="25.54296875" bestFit="1" customWidth="1"/>
    <col min="12" max="12" width="17.36328125" bestFit="1" customWidth="1"/>
    <col min="13" max="13" width="12.1796875" bestFit="1" customWidth="1"/>
    <col min="14" max="14" width="22.453125" bestFit="1" customWidth="1"/>
    <col min="15" max="15" width="15.81640625" customWidth="1"/>
    <col min="16" max="16" width="20.179687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9" t="s">
        <v>608</v>
      </c>
      <c r="O1" s="539" t="s">
        <v>244</v>
      </c>
      <c r="P1" s="540">
        <v>420</v>
      </c>
      <c r="Q1" s="541" t="s">
        <v>457</v>
      </c>
      <c r="R1" s="540" t="s">
        <v>268</v>
      </c>
      <c r="S1" s="540" t="s">
        <v>268</v>
      </c>
      <c r="T1" s="540">
        <v>0.23</v>
      </c>
    </row>
    <row r="2" spans="1:20" ht="15" thickBot="1">
      <c r="A2" s="11"/>
      <c r="B2" s="660" t="s">
        <v>229</v>
      </c>
      <c r="C2" s="661"/>
      <c r="D2" s="11"/>
      <c r="E2" s="11"/>
      <c r="F2" s="11"/>
      <c r="G2" s="11"/>
      <c r="H2" s="11"/>
      <c r="I2" s="11"/>
      <c r="J2" s="11"/>
      <c r="K2" s="11"/>
      <c r="N2" s="539" t="s">
        <v>606</v>
      </c>
      <c r="O2" s="539" t="s">
        <v>253</v>
      </c>
      <c r="P2" s="540">
        <v>435</v>
      </c>
      <c r="Q2" s="541" t="s">
        <v>354</v>
      </c>
      <c r="R2" s="540" t="s">
        <v>268</v>
      </c>
      <c r="S2" s="540">
        <v>11</v>
      </c>
      <c r="T2" s="540">
        <v>0.2</v>
      </c>
    </row>
    <row r="3" spans="1:20" ht="15" thickBot="1">
      <c r="A3" s="11"/>
      <c r="B3" s="325" t="s">
        <v>356</v>
      </c>
      <c r="C3" s="243" t="s">
        <v>344</v>
      </c>
      <c r="D3" s="11"/>
      <c r="E3" s="11"/>
      <c r="F3" s="11"/>
      <c r="G3" s="11"/>
      <c r="H3" s="11"/>
      <c r="I3" s="11"/>
      <c r="J3" s="11"/>
      <c r="K3" s="11"/>
      <c r="N3" s="539" t="s">
        <v>609</v>
      </c>
      <c r="O3" s="539" t="s">
        <v>255</v>
      </c>
      <c r="P3" s="540">
        <v>600</v>
      </c>
      <c r="Q3" s="541" t="s">
        <v>453</v>
      </c>
      <c r="R3" s="540" t="s">
        <v>268</v>
      </c>
      <c r="S3" s="540">
        <v>5</v>
      </c>
      <c r="T3" s="540">
        <v>0.33</v>
      </c>
    </row>
    <row r="4" spans="1:20">
      <c r="A4" s="11"/>
      <c r="B4" s="166" t="s">
        <v>357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39" t="s">
        <v>607</v>
      </c>
      <c r="O4" s="539" t="s">
        <v>253</v>
      </c>
      <c r="P4" s="540">
        <v>400</v>
      </c>
      <c r="Q4" s="541" t="s">
        <v>449</v>
      </c>
      <c r="R4" s="540" t="s">
        <v>268</v>
      </c>
      <c r="S4" s="540">
        <v>13</v>
      </c>
      <c r="T4" s="542">
        <f>75/55 -1</f>
        <v>0.36363636363636354</v>
      </c>
    </row>
    <row r="5" spans="1:20" ht="15" thickBot="1">
      <c r="A5" s="11"/>
      <c r="B5" s="167" t="s">
        <v>366</v>
      </c>
      <c r="C5" s="271" t="s">
        <v>262</v>
      </c>
      <c r="D5" s="11"/>
      <c r="E5" s="11"/>
      <c r="F5" s="11"/>
      <c r="G5" s="11"/>
      <c r="H5" s="11"/>
      <c r="I5" s="11"/>
      <c r="J5" s="11"/>
      <c r="K5" s="11"/>
      <c r="N5" s="539" t="s">
        <v>605</v>
      </c>
      <c r="O5" s="539" t="s">
        <v>255</v>
      </c>
      <c r="P5" s="540">
        <v>200</v>
      </c>
      <c r="Q5" s="541" t="s">
        <v>453</v>
      </c>
      <c r="R5" s="540" t="s">
        <v>268</v>
      </c>
      <c r="S5" s="540">
        <v>14</v>
      </c>
      <c r="T5" s="542">
        <f>0.1/0.7</f>
        <v>0.14285714285714288</v>
      </c>
    </row>
    <row r="6" spans="1:20" ht="15" thickBot="1">
      <c r="A6" s="11"/>
      <c r="B6" s="326" t="s">
        <v>367</v>
      </c>
      <c r="C6" s="243" t="s">
        <v>343</v>
      </c>
      <c r="D6" s="11"/>
      <c r="E6" s="11"/>
      <c r="F6" s="11"/>
      <c r="G6" s="11"/>
      <c r="H6" s="11"/>
      <c r="I6" s="11"/>
      <c r="J6" s="11"/>
      <c r="K6" s="11"/>
      <c r="M6" s="240"/>
      <c r="N6" s="539" t="s">
        <v>605</v>
      </c>
      <c r="O6" s="539" t="s">
        <v>255</v>
      </c>
      <c r="P6" s="540">
        <v>200</v>
      </c>
      <c r="Q6" s="541" t="s">
        <v>525</v>
      </c>
      <c r="R6" s="540" t="s">
        <v>268</v>
      </c>
      <c r="S6" s="540">
        <v>16</v>
      </c>
      <c r="T6" s="542">
        <f>0.1/0.7</f>
        <v>0.14285714285714288</v>
      </c>
    </row>
    <row r="7" spans="1:20">
      <c r="A7" s="11"/>
      <c r="B7" s="166" t="s">
        <v>368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3" t="s">
        <v>610</v>
      </c>
      <c r="O7" s="539" t="s">
        <v>254</v>
      </c>
      <c r="P7" s="540">
        <v>11</v>
      </c>
      <c r="Q7" s="541" t="s">
        <v>161</v>
      </c>
      <c r="R7" s="540" t="s">
        <v>268</v>
      </c>
      <c r="S7" s="540" t="s">
        <v>268</v>
      </c>
      <c r="T7" s="540">
        <v>0.5</v>
      </c>
    </row>
    <row r="8" spans="1:20" ht="15" thickBot="1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39" t="s">
        <v>611</v>
      </c>
      <c r="O8" s="539" t="s">
        <v>346</v>
      </c>
      <c r="P8" s="540">
        <v>3000</v>
      </c>
      <c r="Q8" s="541" t="s">
        <v>268</v>
      </c>
      <c r="R8" s="540" t="s">
        <v>268</v>
      </c>
      <c r="S8" s="540" t="s">
        <v>268</v>
      </c>
      <c r="T8" s="540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9" t="s">
        <v>613</v>
      </c>
      <c r="O9" s="544" t="s">
        <v>346</v>
      </c>
      <c r="P9" s="545">
        <v>9000</v>
      </c>
      <c r="Q9" s="546" t="s">
        <v>268</v>
      </c>
      <c r="R9" s="540" t="s">
        <v>268</v>
      </c>
      <c r="S9" s="540" t="s">
        <v>268</v>
      </c>
      <c r="T9" s="545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9" t="s">
        <v>614</v>
      </c>
      <c r="O10" s="539" t="s">
        <v>346</v>
      </c>
      <c r="P10" s="540">
        <v>6000</v>
      </c>
      <c r="Q10" s="541" t="s">
        <v>268</v>
      </c>
      <c r="R10" s="540" t="s">
        <v>268</v>
      </c>
      <c r="S10" s="540" t="s">
        <v>268</v>
      </c>
      <c r="T10" s="540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9" t="s">
        <v>616</v>
      </c>
      <c r="O11" s="539" t="s">
        <v>346</v>
      </c>
      <c r="P11" s="540">
        <v>7000</v>
      </c>
      <c r="Q11" s="541" t="s">
        <v>268</v>
      </c>
      <c r="R11" s="540" t="s">
        <v>268</v>
      </c>
      <c r="S11" s="540" t="s">
        <v>268</v>
      </c>
      <c r="T11" s="540">
        <v>0.33</v>
      </c>
    </row>
    <row r="12" spans="1:20" ht="15" thickBot="1">
      <c r="A12" s="11"/>
      <c r="B12" s="324" t="s">
        <v>265</v>
      </c>
      <c r="C12" s="11"/>
      <c r="D12" s="328" t="s">
        <v>330</v>
      </c>
      <c r="E12" s="311"/>
      <c r="F12" s="311"/>
      <c r="G12" s="311"/>
      <c r="H12" s="311"/>
      <c r="I12" s="311"/>
      <c r="J12" s="280"/>
      <c r="K12" s="11"/>
      <c r="N12" s="539" t="s">
        <v>628</v>
      </c>
      <c r="O12" s="539" t="s">
        <v>346</v>
      </c>
      <c r="P12" s="540">
        <v>2000</v>
      </c>
      <c r="Q12" s="541" t="s">
        <v>268</v>
      </c>
      <c r="R12" s="540" t="s">
        <v>268</v>
      </c>
      <c r="S12" s="540" t="s">
        <v>268</v>
      </c>
      <c r="T12" s="540">
        <v>0.2</v>
      </c>
    </row>
    <row r="13" spans="1:20" ht="15" thickBot="1">
      <c r="A13" s="11"/>
      <c r="B13" s="211" t="s">
        <v>261</v>
      </c>
      <c r="C13" s="11"/>
      <c r="D13" s="330" t="s">
        <v>365</v>
      </c>
      <c r="E13" s="341" t="s">
        <v>364</v>
      </c>
      <c r="F13" s="197"/>
      <c r="G13" s="197"/>
      <c r="H13" s="197"/>
      <c r="I13" s="197"/>
      <c r="J13" s="270"/>
      <c r="K13" s="11"/>
      <c r="N13" s="539" t="s">
        <v>627</v>
      </c>
      <c r="O13" s="539" t="s">
        <v>254</v>
      </c>
      <c r="P13" s="540">
        <v>11</v>
      </c>
      <c r="Q13" s="541" t="s">
        <v>297</v>
      </c>
      <c r="R13" s="540" t="s">
        <v>268</v>
      </c>
      <c r="S13" s="540" t="s">
        <v>268</v>
      </c>
      <c r="T13" s="540">
        <v>0.25</v>
      </c>
    </row>
    <row r="14" spans="1:20">
      <c r="A14" s="11"/>
      <c r="B14" s="211">
        <v>1</v>
      </c>
      <c r="C14" s="11"/>
      <c r="D14" s="211">
        <v>11</v>
      </c>
      <c r="E14" s="273" t="s">
        <v>453</v>
      </c>
      <c r="F14" s="274" t="s">
        <v>525</v>
      </c>
      <c r="G14" s="274" t="s">
        <v>14</v>
      </c>
      <c r="H14" s="274"/>
      <c r="I14" s="274"/>
      <c r="J14" s="313"/>
      <c r="K14" s="11"/>
      <c r="M14" s="240"/>
      <c r="N14" s="539" t="s">
        <v>629</v>
      </c>
      <c r="O14" s="539" t="s">
        <v>346</v>
      </c>
      <c r="P14" s="540">
        <v>9700</v>
      </c>
      <c r="Q14" s="541" t="s">
        <v>268</v>
      </c>
      <c r="R14" s="540" t="s">
        <v>268</v>
      </c>
      <c r="S14" s="540" t="s">
        <v>268</v>
      </c>
      <c r="T14" s="540">
        <v>0.4</v>
      </c>
    </row>
    <row r="15" spans="1:20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2"/>
      <c r="K15" s="11"/>
      <c r="M15" s="240"/>
      <c r="N15" s="539" t="s">
        <v>630</v>
      </c>
      <c r="O15" s="539" t="s">
        <v>252</v>
      </c>
      <c r="P15" s="540">
        <v>300</v>
      </c>
      <c r="Q15" s="541" t="s">
        <v>161</v>
      </c>
      <c r="R15" s="540">
        <v>320</v>
      </c>
      <c r="S15" s="540" t="s">
        <v>268</v>
      </c>
      <c r="T15" s="540">
        <v>0.4</v>
      </c>
    </row>
    <row r="16" spans="1:20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2"/>
      <c r="K16" s="11"/>
    </row>
    <row r="17" spans="1:25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2"/>
      <c r="K17" s="11"/>
      <c r="L17">
        <f>36640/3600</f>
        <v>10.177777777777777</v>
      </c>
    </row>
    <row r="18" spans="1:25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2"/>
      <c r="K18" s="11"/>
      <c r="L18">
        <f>L17*5/24</f>
        <v>2.1203703703703702</v>
      </c>
      <c r="M18" t="s">
        <v>632</v>
      </c>
    </row>
    <row r="19" spans="1:25">
      <c r="A19" s="11"/>
      <c r="B19" s="166"/>
      <c r="C19" s="11"/>
      <c r="D19" s="166"/>
      <c r="E19" s="297"/>
      <c r="F19" s="251"/>
      <c r="G19" s="251"/>
      <c r="H19" s="251"/>
      <c r="I19" s="251"/>
      <c r="J19" s="342"/>
      <c r="K19" s="11"/>
    </row>
    <row r="20" spans="1:25">
      <c r="A20" s="11"/>
      <c r="B20" s="166"/>
      <c r="C20" s="11"/>
      <c r="D20" s="166"/>
      <c r="E20" s="297"/>
      <c r="F20" s="251"/>
      <c r="G20" s="251"/>
      <c r="H20" s="251"/>
      <c r="I20" s="251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>
      <c r="A21" s="11"/>
      <c r="B21" s="167"/>
      <c r="C21" s="11"/>
      <c r="D21" s="167"/>
      <c r="E21" s="337"/>
      <c r="F21" s="275"/>
      <c r="G21" s="275"/>
      <c r="H21" s="275"/>
      <c r="I21" s="275"/>
      <c r="J21" s="343"/>
      <c r="K21" s="11"/>
      <c r="R21">
        <f>1-1000/1500</f>
        <v>0.33333333333333337</v>
      </c>
    </row>
    <row r="22" spans="1: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62" t="s">
        <v>352</v>
      </c>
      <c r="V22" s="662"/>
      <c r="W22" s="662"/>
      <c r="X22" s="662"/>
      <c r="Y22" s="662"/>
    </row>
    <row r="23" spans="1:25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62"/>
      <c r="V23" s="662"/>
      <c r="W23" s="662"/>
      <c r="X23" s="662"/>
      <c r="Y23" s="662"/>
    </row>
    <row r="24" spans="1:25" ht="15" thickBot="1">
      <c r="A24" s="11"/>
      <c r="B24" s="329"/>
      <c r="C24" s="329"/>
      <c r="D24" s="660" t="s">
        <v>342</v>
      </c>
      <c r="E24" s="663"/>
      <c r="F24" s="663"/>
      <c r="G24" s="661"/>
      <c r="H24" s="660" t="s">
        <v>340</v>
      </c>
      <c r="I24" s="663"/>
      <c r="J24" s="661"/>
      <c r="K24" s="327" t="s">
        <v>341</v>
      </c>
      <c r="U24" s="662"/>
      <c r="V24" s="662"/>
      <c r="W24" s="662"/>
      <c r="X24" s="662"/>
      <c r="Y24" s="662"/>
    </row>
    <row r="25" spans="1:25">
      <c r="A25" s="211" t="s">
        <v>604</v>
      </c>
      <c r="B25" s="331" t="s">
        <v>355</v>
      </c>
      <c r="C25" s="207" t="s">
        <v>358</v>
      </c>
      <c r="D25" s="207" t="s">
        <v>33</v>
      </c>
      <c r="E25" s="207" t="s">
        <v>359</v>
      </c>
      <c r="F25" s="534" t="s">
        <v>360</v>
      </c>
      <c r="G25" s="535" t="s">
        <v>241</v>
      </c>
      <c r="H25" s="536" t="s">
        <v>361</v>
      </c>
      <c r="I25" s="536" t="s">
        <v>243</v>
      </c>
      <c r="J25" s="537" t="s">
        <v>362</v>
      </c>
      <c r="K25" s="538" t="s">
        <v>363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25">
      <c r="A26" s="561" t="s">
        <v>647</v>
      </c>
      <c r="B26" s="561" t="s">
        <v>253</v>
      </c>
      <c r="C26" s="562">
        <v>400</v>
      </c>
      <c r="D26" s="563" t="s">
        <v>449</v>
      </c>
      <c r="E26" s="562" t="s">
        <v>268</v>
      </c>
      <c r="F26" s="562">
        <v>13</v>
      </c>
      <c r="G26" s="605">
        <v>0.36</v>
      </c>
      <c r="H26" s="552"/>
      <c r="I26" s="552"/>
      <c r="J26" s="552"/>
      <c r="K26" s="552" t="s">
        <v>369</v>
      </c>
      <c r="U26" s="338"/>
      <c r="V26" s="338" t="str">
        <f>IF(OR(B26 = DataBank!$Y$23, B26 = DataBank!$Y$22, B26 = DataBank!$Y$24, B26 =DataBank!$Y$25, B26 = ""),  "NAValue", "ComponentsList")</f>
        <v>ComponentsList</v>
      </c>
      <c r="W26" s="338" t="str">
        <f>IF(B26= DataBank!$Y$17,  "UnitNumbers", "NAValue")</f>
        <v>NAValue</v>
      </c>
      <c r="X26" s="338" t="str">
        <f>IF(OR(B26= DataBank!$Y$20, B26 =DataBank!$Y$19), "ReactionNumbers", "NAValue")</f>
        <v>ReactionNumbers</v>
      </c>
      <c r="Y26" s="338"/>
    </row>
    <row r="27" spans="1:25">
      <c r="A27" s="561" t="s">
        <v>648</v>
      </c>
      <c r="B27" s="561" t="s">
        <v>253</v>
      </c>
      <c r="C27" s="562">
        <v>400</v>
      </c>
      <c r="D27" s="563" t="s">
        <v>449</v>
      </c>
      <c r="E27" s="562" t="s">
        <v>268</v>
      </c>
      <c r="F27" s="562">
        <v>22</v>
      </c>
      <c r="G27" s="605">
        <v>0.36</v>
      </c>
      <c r="H27" s="552"/>
      <c r="I27" s="552"/>
      <c r="J27" s="552"/>
      <c r="K27" s="552" t="s">
        <v>369</v>
      </c>
      <c r="U27" s="338"/>
      <c r="V27" s="338" t="str">
        <f>IF(OR(B27 = DataBank!$Y$23, B27 = DataBank!$Y$22, B27 = DataBank!$Y$24, B27 =DataBank!$Y$25, B27 = ""),  "NAValue", "ComponentsList")</f>
        <v>ComponentsList</v>
      </c>
      <c r="W27" s="338" t="str">
        <f>IF(B27= DataBank!$Y$17,  "UnitNumbers", "NAValue")</f>
        <v>NAValue</v>
      </c>
      <c r="X27" s="338" t="str">
        <f>IF(OR(B27= DataBank!$Y$20, B27 =DataBank!$Y$19), "ReactionNumbers", "NAValue")</f>
        <v>ReactionNumbers</v>
      </c>
      <c r="Y27" s="338"/>
    </row>
    <row r="28" spans="1:25">
      <c r="A28" s="561" t="s">
        <v>608</v>
      </c>
      <c r="B28" s="561" t="s">
        <v>244</v>
      </c>
      <c r="C28" s="562">
        <v>420</v>
      </c>
      <c r="D28" s="563" t="s">
        <v>457</v>
      </c>
      <c r="E28" s="562" t="s">
        <v>268</v>
      </c>
      <c r="F28" s="562" t="s">
        <v>268</v>
      </c>
      <c r="G28" s="605">
        <v>0.23</v>
      </c>
      <c r="H28" s="552"/>
      <c r="I28" s="552"/>
      <c r="J28" s="552"/>
      <c r="K28" s="552" t="s">
        <v>369</v>
      </c>
      <c r="U28" s="338"/>
      <c r="V28" s="338" t="str">
        <f>IF(OR(B28 = DataBank!$Y$23, B28 = DataBank!$Y$22, B28 = DataBank!$Y$24, B28 =DataBank!$Y$25, B28 = ""),  "NAValue", "ComponentsList")</f>
        <v>ComponentsList</v>
      </c>
      <c r="W28" s="338" t="str">
        <f>IF(B28= DataBank!$Y$17,  "UnitNumbers", "NAValue")</f>
        <v>NAValue</v>
      </c>
      <c r="X28" s="338" t="str">
        <f>IF(OR(B28= DataBank!$Y$20, B28 =DataBank!$Y$19), "ReactionNumbers", "NAValue")</f>
        <v>NAValue</v>
      </c>
      <c r="Y28" s="338"/>
    </row>
    <row r="29" spans="1:25">
      <c r="A29" s="561" t="s">
        <v>606</v>
      </c>
      <c r="B29" s="561" t="s">
        <v>253</v>
      </c>
      <c r="C29" s="562">
        <v>435</v>
      </c>
      <c r="D29" s="563" t="s">
        <v>354</v>
      </c>
      <c r="E29" s="562" t="s">
        <v>268</v>
      </c>
      <c r="F29" s="562">
        <v>11</v>
      </c>
      <c r="G29" s="605">
        <v>0.2</v>
      </c>
      <c r="H29" s="552"/>
      <c r="I29" s="552"/>
      <c r="J29" s="552"/>
      <c r="K29" s="552" t="s">
        <v>369</v>
      </c>
      <c r="U29" s="338"/>
      <c r="V29" s="338" t="str">
        <f>IF(OR(B29 = DataBank!$Y$23, B29 = DataBank!$Y$22, B29 = DataBank!$Y$24, B29 =DataBank!$Y$25, B29 = ""),  "NAValue", "ComponentsList")</f>
        <v>ComponentsList</v>
      </c>
      <c r="W29" s="338" t="str">
        <f>IF(B29= DataBank!$Y$17,  "UnitNumbers", "NAValue")</f>
        <v>NAValue</v>
      </c>
      <c r="X29" s="338" t="str">
        <f>IF(OR(B29= DataBank!$Y$20, B29 =DataBank!$Y$19), "ReactionNumbers", "NAValue")</f>
        <v>ReactionNumbers</v>
      </c>
      <c r="Y29" s="338"/>
    </row>
    <row r="30" spans="1:25">
      <c r="A30" s="561" t="s">
        <v>631</v>
      </c>
      <c r="B30" s="561" t="s">
        <v>254</v>
      </c>
      <c r="C30" s="562">
        <v>11</v>
      </c>
      <c r="D30" s="563" t="s">
        <v>297</v>
      </c>
      <c r="E30" s="562" t="s">
        <v>268</v>
      </c>
      <c r="F30" s="562" t="s">
        <v>268</v>
      </c>
      <c r="G30" s="605">
        <v>0.3</v>
      </c>
      <c r="H30" s="552"/>
      <c r="I30" s="552"/>
      <c r="J30" s="552"/>
      <c r="K30" s="552" t="s">
        <v>369</v>
      </c>
      <c r="U30" s="338"/>
      <c r="V30" s="338" t="str">
        <f>IF(OR(B30 = DataBank!$Y$23, B30 = DataBank!$Y$22, B30 = DataBank!$Y$24, B30 =DataBank!$Y$25, B30 = ""),  "NAValue", "ComponentsList")</f>
        <v>ComponentsList</v>
      </c>
      <c r="W30" s="338" t="str">
        <f>IF(B30= DataBank!$Y$17,  "UnitNumbers", "NAValue")</f>
        <v>NAValue</v>
      </c>
      <c r="X30" s="338" t="str">
        <f>IF(OR(B30= DataBank!$Y$20, B30 =DataBank!$Y$19), "ReactionNumbers", "NAValue")</f>
        <v>NAValue</v>
      </c>
      <c r="Y30" s="338"/>
    </row>
    <row r="31" spans="1:25">
      <c r="A31" s="539" t="s">
        <v>649</v>
      </c>
      <c r="B31" s="561" t="s">
        <v>252</v>
      </c>
      <c r="C31" s="562">
        <v>438</v>
      </c>
      <c r="D31" s="563" t="s">
        <v>354</v>
      </c>
      <c r="E31" s="562">
        <v>440</v>
      </c>
      <c r="F31" s="562" t="s">
        <v>268</v>
      </c>
      <c r="G31" s="605">
        <v>0.17</v>
      </c>
      <c r="H31" s="552"/>
      <c r="I31" s="552"/>
      <c r="J31" s="552"/>
      <c r="K31" s="552" t="s">
        <v>369</v>
      </c>
      <c r="U31" s="338"/>
      <c r="V31" s="338" t="str">
        <f>IF(OR(B31 = DataBank!$Y$23, B31 = DataBank!$Y$22, B31 = DataBank!$Y$24, B31 =DataBank!$Y$25, B31 = ""),  "NAValue", "ComponentsList")</f>
        <v>ComponentsList</v>
      </c>
      <c r="W31" s="338" t="str">
        <f>IF(B31= DataBank!$Y$17,  "UnitNumbers", "NAValue")</f>
        <v>UnitNumbers</v>
      </c>
      <c r="X31" s="338" t="str">
        <f>IF(OR(B31= DataBank!$Y$20, B31 =DataBank!$Y$19), "ReactionNumbers", "NAValue")</f>
        <v>NAValue</v>
      </c>
      <c r="Y31" s="338"/>
    </row>
    <row r="32" spans="1:25">
      <c r="A32" s="565" t="s">
        <v>650</v>
      </c>
      <c r="B32" s="566" t="s">
        <v>387</v>
      </c>
      <c r="C32" s="562">
        <v>490</v>
      </c>
      <c r="D32" s="562" t="s">
        <v>268</v>
      </c>
      <c r="E32" s="562" t="s">
        <v>268</v>
      </c>
      <c r="F32" s="562" t="s">
        <v>268</v>
      </c>
      <c r="G32" s="606">
        <v>0.1</v>
      </c>
      <c r="H32" s="552"/>
      <c r="I32" s="552"/>
      <c r="J32" s="552"/>
      <c r="K32" s="552" t="s">
        <v>369</v>
      </c>
      <c r="U32" s="338"/>
      <c r="V32" s="338" t="str">
        <f>IF(OR(B32 = DataBank!$Y$23, B32 = DataBank!$Y$22, B32 = DataBank!$Y$24, B32 =DataBank!$Y$25, B32 = ""),  "NAValue", "ComponentsList")</f>
        <v>ComponentsList</v>
      </c>
      <c r="W32" s="338" t="str">
        <f>IF(B32= DataBank!$Y$17,  "UnitNumbers", "NAValue")</f>
        <v>NAValue</v>
      </c>
      <c r="X32" s="338" t="str">
        <f>IF(OR(B32= DataBank!$Y$20, B32 =DataBank!$Y$19), "ReactionNumbers", "NAValue")</f>
        <v>NAValue</v>
      </c>
      <c r="Y32" s="338"/>
    </row>
    <row r="33" spans="1:25" s="11" customFormat="1">
      <c r="A33" s="567" t="s">
        <v>651</v>
      </c>
      <c r="B33" s="568" t="s">
        <v>377</v>
      </c>
      <c r="C33" s="569" t="s">
        <v>268</v>
      </c>
      <c r="D33" s="570" t="s">
        <v>268</v>
      </c>
      <c r="E33" s="569" t="s">
        <v>268</v>
      </c>
      <c r="F33" s="569" t="s">
        <v>268</v>
      </c>
      <c r="G33" s="607">
        <v>0.2</v>
      </c>
      <c r="H33" s="552"/>
      <c r="I33" s="552"/>
      <c r="J33" s="552"/>
      <c r="K33" s="552" t="s">
        <v>369</v>
      </c>
      <c r="U33" s="338"/>
      <c r="V33" s="338" t="str">
        <f>IF(OR(B33 = DataBank!$Y$23, B33 = DataBank!$Y$22, B33 = DataBank!$Y$24, B33 =DataBank!$Y$25, B33 = ""),  "NAValue", "ComponentsList")</f>
        <v>ComponentsList</v>
      </c>
      <c r="W33" s="338" t="str">
        <f>IF(B33= DataBank!$Y$17,  "UnitNumbers", "NAValue")</f>
        <v>NAValue</v>
      </c>
      <c r="X33" s="338" t="str">
        <f>IF(OR(B33= DataBank!$Y$20, B33 =DataBank!$Y$19), "ReactionNumbers", "NAValue")</f>
        <v>NAValue</v>
      </c>
      <c r="Y33" s="338"/>
    </row>
    <row r="34" spans="1:25">
      <c r="A34" s="551" t="s">
        <v>652</v>
      </c>
      <c r="B34" s="551" t="s">
        <v>345</v>
      </c>
      <c r="C34" s="552">
        <v>44</v>
      </c>
      <c r="D34" s="553" t="s">
        <v>268</v>
      </c>
      <c r="E34" s="552" t="s">
        <v>268</v>
      </c>
      <c r="F34" s="552" t="s">
        <v>268</v>
      </c>
      <c r="G34" s="605">
        <v>0.2</v>
      </c>
      <c r="H34" s="552"/>
      <c r="I34" s="552"/>
      <c r="J34" s="552"/>
      <c r="K34" s="552" t="s">
        <v>369</v>
      </c>
      <c r="U34" s="338"/>
      <c r="V34" s="338" t="str">
        <f>IF(OR(B34 = DataBank!$Y$23, B34 = DataBank!$Y$22, B34 = DataBank!$Y$24, B34 =DataBank!$Y$25, B34 = ""),  "NAValue", "ComponentsList")</f>
        <v>NAValue</v>
      </c>
      <c r="W34" s="338" t="str">
        <f>IF(B34= DataBank!$Y$17,  "UnitNumbers", "NAValue")</f>
        <v>NAValue</v>
      </c>
      <c r="X34" s="338" t="str">
        <f>IF(OR(B34= DataBank!$Y$20, B34 =DataBank!$Y$19), "ReactionNumbers", "NAValue")</f>
        <v>NAValue</v>
      </c>
      <c r="Y34" s="338"/>
    </row>
    <row r="35" spans="1:25">
      <c r="A35" s="551"/>
      <c r="B35" s="551"/>
      <c r="C35" s="552"/>
      <c r="D35" s="553"/>
      <c r="E35" s="552"/>
      <c r="F35" s="552"/>
      <c r="G35" s="554"/>
      <c r="H35" s="552"/>
      <c r="I35" s="552"/>
      <c r="J35" s="552"/>
      <c r="K35" s="552"/>
      <c r="U35" s="338"/>
      <c r="V35" s="338" t="str">
        <f>IF(OR(B35 = DataBank!$Y$23, B35 = DataBank!$Y$22, B35 = DataBank!$Y$24, B35 =DataBank!$Y$25, B35 = ""),  "NAValue", "ComponentsList")</f>
        <v>NAValue</v>
      </c>
      <c r="W35" s="338" t="str">
        <f>IF(B35= DataBank!$Y$17,  "UnitNumbers", "NAValue")</f>
        <v>NAValue</v>
      </c>
      <c r="X35" s="338" t="str">
        <f>IF(OR(B35= DataBank!$Y$20, B35 =DataBank!$Y$19), "ReactionNumbers", "NAValue")</f>
        <v>NAValue</v>
      </c>
      <c r="Y35" s="338"/>
    </row>
    <row r="36" spans="1:25">
      <c r="A36" s="551"/>
      <c r="B36" s="551"/>
      <c r="C36" s="552"/>
      <c r="D36" s="553"/>
      <c r="E36" s="552"/>
      <c r="F36" s="552"/>
      <c r="G36" s="554"/>
      <c r="H36" s="552"/>
      <c r="I36" s="552"/>
      <c r="J36" s="552"/>
      <c r="K36" s="552"/>
      <c r="U36" s="338"/>
      <c r="V36" s="338" t="str">
        <f>IF(OR(B36 = DataBank!$Y$23, B36 = DataBank!$Y$22, B36 = DataBank!$Y$24, B36 =DataBank!$Y$25, B36 = ""),  "NAValue", "ComponentsList")</f>
        <v>NAValue</v>
      </c>
      <c r="W36" s="338" t="str">
        <f>IF(B36= DataBank!$Y$17,  "UnitNumbers", "NAValue")</f>
        <v>NAValue</v>
      </c>
      <c r="X36" s="338" t="str">
        <f>IF(OR(B36= DataBank!$Y$20, B36 =DataBank!$Y$19), "ReactionNumbers", "NAValue")</f>
        <v>NAValue</v>
      </c>
      <c r="Y36" s="338"/>
    </row>
    <row r="37" spans="1:25">
      <c r="A37" s="551"/>
      <c r="B37" s="551"/>
      <c r="C37" s="552"/>
      <c r="D37" s="553"/>
      <c r="E37" s="552"/>
      <c r="F37" s="552"/>
      <c r="G37" s="554"/>
      <c r="H37" s="552"/>
      <c r="I37" s="552"/>
      <c r="J37" s="552"/>
      <c r="K37" s="552"/>
      <c r="U37" s="338"/>
      <c r="V37" s="338" t="str">
        <f>IF(OR(B37 = DataBank!$Y$23, B37 = DataBank!$Y$22, B37 = DataBank!$Y$24, B37 =DataBank!$Y$25, B37 = ""),  "NAValue", "ComponentsList")</f>
        <v>NAValue</v>
      </c>
      <c r="W37" s="338" t="str">
        <f>IF(B37= DataBank!$Y$17,  "UnitNumbers", "NAValue")</f>
        <v>NAValue</v>
      </c>
      <c r="X37" s="338" t="str">
        <f>IF(OR(B37= DataBank!$Y$20, B37 =DataBank!$Y$19), "ReactionNumbers", "NAValue")</f>
        <v>NAValue</v>
      </c>
      <c r="Y37" s="338"/>
    </row>
    <row r="38" spans="1:25">
      <c r="A38" s="551"/>
      <c r="B38" s="551"/>
      <c r="C38" s="552"/>
      <c r="D38" s="553"/>
      <c r="E38" s="552"/>
      <c r="F38" s="552"/>
      <c r="G38" s="554"/>
      <c r="H38" s="552"/>
      <c r="I38" s="552"/>
      <c r="J38" s="552"/>
      <c r="K38" s="552"/>
      <c r="U38" s="338"/>
      <c r="V38" s="338" t="str">
        <f>IF(OR(B38 = DataBank!$Y$23, B38 = DataBank!$Y$22, B38 = DataBank!$Y$24, B38 =DataBank!$Y$25, B38 = ""),  "NAValue", "ComponentsList")</f>
        <v>NAValue</v>
      </c>
      <c r="W38" s="338" t="str">
        <f>IF(B38= DataBank!$Y$17,  "UnitNumbers", "NAValue")</f>
        <v>NAValue</v>
      </c>
      <c r="X38" s="338" t="str">
        <f>IF(OR(B38= DataBank!$Y$20, B38 =DataBank!$Y$19), "ReactionNumbers", "NAValue")</f>
        <v>NAValue</v>
      </c>
      <c r="Y38" s="338"/>
    </row>
    <row r="39" spans="1:25">
      <c r="A39" s="551"/>
      <c r="B39" s="551"/>
      <c r="C39" s="552"/>
      <c r="D39" s="553"/>
      <c r="E39" s="552"/>
      <c r="F39" s="552"/>
      <c r="G39" s="554"/>
      <c r="H39" s="552"/>
      <c r="I39" s="552"/>
      <c r="J39" s="552"/>
      <c r="K39" s="552"/>
      <c r="U39" s="338"/>
      <c r="V39" s="338" t="str">
        <f>IF(OR(B39 = DataBank!$Y$23, B39 = DataBank!$Y$22, B39 = DataBank!$Y$24, B39 =DataBank!$Y$25, B39 = ""),  "NAValue", "ComponentsList")</f>
        <v>NAValue</v>
      </c>
      <c r="W39" s="338" t="str">
        <f>IF(B39= DataBank!$Y$17,  "UnitNumbers", "NAValue")</f>
        <v>NAValue</v>
      </c>
      <c r="X39" s="338" t="str">
        <f>IF(OR(B39= DataBank!$Y$20, B39 =DataBank!$Y$19), "ReactionNumbers", "NAValue")</f>
        <v>NAValue</v>
      </c>
      <c r="Y39" s="338"/>
    </row>
    <row r="40" spans="1:25">
      <c r="A40" s="551"/>
      <c r="B40" s="551"/>
      <c r="C40" s="552"/>
      <c r="D40" s="553"/>
      <c r="E40" s="552"/>
      <c r="F40" s="552"/>
      <c r="G40" s="554"/>
      <c r="H40" s="552"/>
      <c r="I40" s="552"/>
      <c r="J40" s="552"/>
      <c r="K40" s="552"/>
      <c r="U40" s="338"/>
      <c r="V40" s="338" t="str">
        <f>IF(OR(B40 = DataBank!$Y$23, B40 = DataBank!$Y$22, B40 = DataBank!$Y$24, B40 =DataBank!$Y$25, B40 = ""),  "NAValue", "ComponentsList")</f>
        <v>NAValue</v>
      </c>
      <c r="W40" s="338" t="str">
        <f>IF(B40= DataBank!$Y$17,  "UnitNumbers", "NAValue")</f>
        <v>NAValue</v>
      </c>
      <c r="X40" s="338" t="str">
        <f>IF(OR(B40= DataBank!$Y$20, B40 =DataBank!$Y$19), "ReactionNumbers", "NAValue")</f>
        <v>NAValue</v>
      </c>
      <c r="Y40" s="338"/>
    </row>
    <row r="41" spans="1:25">
      <c r="A41" s="551"/>
      <c r="B41" s="551"/>
      <c r="C41" s="552"/>
      <c r="D41" s="553"/>
      <c r="E41" s="552"/>
      <c r="F41" s="552"/>
      <c r="G41" s="554"/>
      <c r="H41" s="552"/>
      <c r="I41" s="552"/>
      <c r="J41" s="552"/>
      <c r="K41" s="552"/>
      <c r="U41" s="338"/>
      <c r="V41" s="338" t="str">
        <f>IF(OR(B41 = DataBank!$Y$23, B41 = DataBank!$Y$22, B41 = DataBank!$Y$24, B41 =DataBank!$Y$25, B41 = ""),  "NAValue", "ComponentsList")</f>
        <v>NAValue</v>
      </c>
      <c r="W41" s="338" t="str">
        <f>IF(B41= DataBank!$Y$17,  "UnitNumbers", "NAValue")</f>
        <v>NAValue</v>
      </c>
      <c r="X41" s="338" t="str">
        <f>IF(OR(B41= DataBank!$Y$20, B41 =DataBank!$Y$19), "ReactionNumbers", "NAValue")</f>
        <v>NAValue</v>
      </c>
      <c r="Y41" s="338"/>
    </row>
    <row r="42" spans="1:25">
      <c r="A42" s="551"/>
      <c r="B42" s="551"/>
      <c r="C42" s="552"/>
      <c r="D42" s="553"/>
      <c r="E42" s="552"/>
      <c r="F42" s="552"/>
      <c r="G42" s="554"/>
      <c r="H42" s="552"/>
      <c r="I42" s="552"/>
      <c r="J42" s="552"/>
      <c r="K42" s="540"/>
      <c r="U42" s="338"/>
      <c r="V42" s="338" t="str">
        <f>IF(OR(B42 = DataBank!$Y$23, B42 = DataBank!$Y$22, B42 = DataBank!$Y$24, B42 =DataBank!$Y$25, B42 = ""),  "NAValue", "ComponentsList")</f>
        <v>NAValue</v>
      </c>
      <c r="W42" s="338" t="str">
        <f>IF(B42= DataBank!$Y$17,  "UnitNumbers", "NAValue")</f>
        <v>NAValue</v>
      </c>
      <c r="X42" s="338" t="str">
        <f>IF(OR(B42= DataBank!$Y$20, B42 =DataBank!$Y$19), "ReactionNumbers", "NAValue")</f>
        <v>NAValue</v>
      </c>
      <c r="Y42" s="338"/>
    </row>
    <row r="43" spans="1:25">
      <c r="A43" s="551"/>
      <c r="B43" s="551"/>
      <c r="C43" s="552"/>
      <c r="D43" s="553"/>
      <c r="E43" s="552"/>
      <c r="F43" s="552"/>
      <c r="G43" s="554"/>
      <c r="H43" s="552"/>
      <c r="I43" s="552"/>
      <c r="J43" s="552"/>
      <c r="K43" s="540"/>
      <c r="U43" s="338"/>
      <c r="V43" s="338" t="str">
        <f>IF(OR(B43 = DataBank!$Y$23, B43 = DataBank!$Y$22, B43 = DataBank!$Y$24, B43 =DataBank!$Y$25, B43 = ""),  "NAValue", "ComponentsList")</f>
        <v>NAValue</v>
      </c>
      <c r="W43" s="338" t="str">
        <f>IF(B43= DataBank!$Y$17,  "UnitNumbers", "NAValue")</f>
        <v>NAValue</v>
      </c>
      <c r="X43" s="338" t="str">
        <f>IF(OR(B43= DataBank!$Y$20, B43 =DataBank!$Y$19), "ReactionNumbers", "NAValue")</f>
        <v>NAValue</v>
      </c>
      <c r="Y43" s="338"/>
    </row>
    <row r="44" spans="1:25">
      <c r="A44" s="551"/>
      <c r="B44" s="551"/>
      <c r="C44" s="552"/>
      <c r="D44" s="553"/>
      <c r="E44" s="552"/>
      <c r="F44" s="552"/>
      <c r="G44" s="554"/>
      <c r="H44" s="552"/>
      <c r="I44" s="552"/>
      <c r="J44" s="552"/>
      <c r="K44" s="540"/>
      <c r="O44" s="547"/>
      <c r="P44" s="348"/>
      <c r="Q44" s="548"/>
      <c r="R44" s="549"/>
      <c r="S44" s="548"/>
      <c r="T44" s="548"/>
      <c r="U44" s="548"/>
      <c r="V44" s="338" t="str">
        <f>IF(OR(B44 = DataBank!$Y$23, B44 = DataBank!$Y$22, B44 = DataBank!$Y$24, B44 =DataBank!$Y$25, B44 = ""),  "NAValue", "ComponentsList")</f>
        <v>NAValue</v>
      </c>
      <c r="W44" s="338" t="str">
        <f>IF(B44= DataBank!$Y$17,  "UnitNumbers", "NAValue")</f>
        <v>NAValue</v>
      </c>
      <c r="X44" s="338" t="str">
        <f>IF(OR(B44= DataBank!$Y$20, B44 =DataBank!$Y$19), "ReactionNumbers", "NAValue")</f>
        <v>NAValue</v>
      </c>
      <c r="Y44" s="548"/>
    </row>
    <row r="45" spans="1:25">
      <c r="A45" s="551"/>
      <c r="B45" s="551"/>
      <c r="C45" s="552"/>
      <c r="D45" s="553"/>
      <c r="E45" s="552"/>
      <c r="F45" s="552"/>
      <c r="G45" s="554"/>
      <c r="H45" s="552"/>
      <c r="I45" s="552"/>
      <c r="J45" s="552"/>
      <c r="K45" s="540"/>
      <c r="U45" s="338"/>
      <c r="V45" s="338" t="str">
        <f>IF(OR(B45 = DataBank!$Y$23, B45 = DataBank!$Y$22, B45 = DataBank!$Y$24, B45 =DataBank!$Y$25, B45 = ""),  "NAValue", "ComponentsList")</f>
        <v>NAValue</v>
      </c>
      <c r="W45" s="338" t="str">
        <f>IF(B45= DataBank!$Y$17,  "UnitNumbers", "NAValue")</f>
        <v>NAValue</v>
      </c>
      <c r="X45" s="338" t="str">
        <f>IF(OR(B45= DataBank!$Y$20, B45 =DataBank!$Y$19), "ReactionNumbers", "NAValue")</f>
        <v>NAValue</v>
      </c>
      <c r="Y45" s="338"/>
    </row>
    <row r="46" spans="1:25">
      <c r="A46" s="551"/>
      <c r="B46" s="551"/>
      <c r="C46" s="552"/>
      <c r="D46" s="553"/>
      <c r="E46" s="552"/>
      <c r="F46" s="552"/>
      <c r="G46" s="554"/>
      <c r="H46" s="552"/>
      <c r="I46" s="552"/>
      <c r="J46" s="552"/>
      <c r="K46" s="540"/>
      <c r="U46" s="338"/>
      <c r="V46" s="338" t="str">
        <f>IF(OR(B46 = DataBank!$Y$23, B46 = DataBank!$Y$22, B46 = DataBank!$Y$24, B46 =DataBank!$Y$25, B46 = ""),  "NAValue", "ComponentsList")</f>
        <v>NAValue</v>
      </c>
      <c r="W46" s="338" t="str">
        <f>IF(B46= DataBank!$Y$17,  "UnitNumbers", "NAValue")</f>
        <v>NAValue</v>
      </c>
      <c r="X46" s="338" t="str">
        <f>IF(OR(B46= DataBank!$Y$20, B46 =DataBank!$Y$19), "ReactionNumbers", "NAValue")</f>
        <v>NAValue</v>
      </c>
      <c r="Y46" s="338"/>
    </row>
    <row r="47" spans="1:25" ht="18.5">
      <c r="A47" s="551"/>
      <c r="B47" s="551"/>
      <c r="C47" s="552"/>
      <c r="D47" s="553"/>
      <c r="E47" s="552"/>
      <c r="F47" s="552"/>
      <c r="G47" s="554"/>
      <c r="H47" s="552"/>
      <c r="I47" s="552"/>
      <c r="J47" s="552"/>
      <c r="K47" s="540"/>
      <c r="O47" s="48">
        <v>2</v>
      </c>
      <c r="P47" s="43" t="s">
        <v>186</v>
      </c>
      <c r="Q47" s="30" t="s">
        <v>164</v>
      </c>
      <c r="U47" s="338"/>
      <c r="V47" s="338" t="str">
        <f>IF(OR(B47 = DataBank!$Y$23, B47 = DataBank!$Y$22, B47 = DataBank!$Y$24, B47 =DataBank!$Y$25, B47 = ""),  "NAValue", "ComponentsList")</f>
        <v>NAValue</v>
      </c>
      <c r="W47" s="338" t="str">
        <f>IF(B47= DataBank!$Y$17,  "UnitNumbers", "NAValue")</f>
        <v>NAValue</v>
      </c>
      <c r="X47" s="338" t="str">
        <f>IF(OR(B47= DataBank!$Y$20, B47 =DataBank!$Y$19), "ReactionNumbers", "NAValue")</f>
        <v>NAValue</v>
      </c>
      <c r="Y47" s="338"/>
    </row>
    <row r="48" spans="1:25" ht="18.5">
      <c r="A48" s="551"/>
      <c r="B48" s="551"/>
      <c r="C48" s="552"/>
      <c r="D48" s="553"/>
      <c r="E48" s="552"/>
      <c r="F48" s="552"/>
      <c r="G48" s="554"/>
      <c r="H48" s="552"/>
      <c r="I48" s="552"/>
      <c r="J48" s="552"/>
      <c r="K48" s="540"/>
      <c r="O48" s="48">
        <v>3</v>
      </c>
      <c r="P48" s="43" t="s">
        <v>187</v>
      </c>
      <c r="Q48" s="30" t="s">
        <v>163</v>
      </c>
      <c r="U48" s="338"/>
      <c r="V48" s="338" t="str">
        <f>IF(OR(B48 = DataBank!$Y$23, B48 = DataBank!$Y$22, B48 = DataBank!$Y$24, B48 =DataBank!$Y$25, B48 = ""),  "NAValue", "ComponentsList")</f>
        <v>NAValue</v>
      </c>
      <c r="W48" s="338" t="str">
        <f>IF(B48= DataBank!$Y$17,  "UnitNumbers", "NAValue")</f>
        <v>NAValue</v>
      </c>
      <c r="X48" s="338" t="str">
        <f>IF(OR(B48= DataBank!$Y$20, B48 =DataBank!$Y$19), "ReactionNumbers", "NAValue")</f>
        <v>NAValue</v>
      </c>
      <c r="Y48" s="338"/>
    </row>
    <row r="49" spans="1:25" ht="18.5">
      <c r="A49" s="551"/>
      <c r="B49" s="551"/>
      <c r="C49" s="552"/>
      <c r="D49" s="553"/>
      <c r="E49" s="552"/>
      <c r="F49" s="552"/>
      <c r="G49" s="554"/>
      <c r="H49" s="552"/>
      <c r="I49" s="552"/>
      <c r="J49" s="552"/>
      <c r="K49" s="540"/>
      <c r="O49" s="48">
        <v>4</v>
      </c>
      <c r="P49" s="43" t="s">
        <v>188</v>
      </c>
      <c r="Q49" s="30" t="s">
        <v>295</v>
      </c>
      <c r="U49" s="338"/>
      <c r="V49" s="338" t="str">
        <f>IF(OR(B49 = DataBank!$Y$23, B49 = DataBank!$Y$22, B49 = DataBank!$Y$24, B49 =DataBank!$Y$25, B49 = ""),  "NAValue", "ComponentsList")</f>
        <v>NAValue</v>
      </c>
      <c r="W49" s="338" t="str">
        <f>IF(B49= DataBank!$Y$17,  "UnitNumbers", "NAValue")</f>
        <v>NAValue</v>
      </c>
      <c r="X49" s="338" t="str">
        <f>IF(OR(B49= DataBank!$Y$20, B49 =DataBank!$Y$19), "ReactionNumbers", "NAValue")</f>
        <v>NAValue</v>
      </c>
      <c r="Y49" s="338"/>
    </row>
    <row r="50" spans="1:25" ht="18.5">
      <c r="A50" s="551"/>
      <c r="B50" s="551"/>
      <c r="C50" s="552"/>
      <c r="D50" s="553"/>
      <c r="E50" s="552"/>
      <c r="F50" s="552"/>
      <c r="G50" s="554"/>
      <c r="H50" s="552"/>
      <c r="I50" s="552"/>
      <c r="J50" s="552"/>
      <c r="K50" s="278"/>
      <c r="O50" s="48">
        <v>5</v>
      </c>
      <c r="P50" s="43" t="s">
        <v>556</v>
      </c>
      <c r="Q50" s="30" t="s">
        <v>453</v>
      </c>
      <c r="U50" s="338"/>
      <c r="V50" s="338" t="str">
        <f>IF(OR(B50 = DataBank!$Y$23, B50 = DataBank!$Y$22, B50 = DataBank!$Y$24, B50 =DataBank!$Y$25, B50 = ""),  "NAValue", "ComponentsList")</f>
        <v>NAValue</v>
      </c>
      <c r="W50" s="338" t="str">
        <f>IF(B50= DataBank!$Y$17,  "UnitNumbers", "NAValue")</f>
        <v>NAValue</v>
      </c>
      <c r="X50" s="338" t="str">
        <f>IF(OR(B50= DataBank!$Y$20, B50 =DataBank!$Y$19), "ReactionNumbers", "NAValue")</f>
        <v>NAValue</v>
      </c>
      <c r="Y50" s="338"/>
    </row>
    <row r="51" spans="1:25" ht="18.5">
      <c r="A51" s="551"/>
      <c r="B51" s="551"/>
      <c r="C51" s="552"/>
      <c r="D51" s="553"/>
      <c r="E51" s="552"/>
      <c r="F51" s="552"/>
      <c r="G51" s="554"/>
      <c r="H51" s="552"/>
      <c r="I51" s="552"/>
      <c r="J51" s="552"/>
      <c r="K51" s="278"/>
      <c r="O51" s="48">
        <v>6</v>
      </c>
      <c r="P51" s="43" t="s">
        <v>557</v>
      </c>
      <c r="Q51" s="30" t="s">
        <v>525</v>
      </c>
      <c r="U51" s="338"/>
      <c r="V51" s="338" t="str">
        <f>IF(OR(B51 = DataBank!$Y$23, B51 = DataBank!$Y$22, B51 = DataBank!$Y$24, B51 =DataBank!$Y$25, B51 = ""),  "NAValue", "ComponentsList")</f>
        <v>NAValue</v>
      </c>
      <c r="W51" s="338" t="str">
        <f>IF(B51= DataBank!$Y$17,  "UnitNumbers", "NAValue")</f>
        <v>NAValue</v>
      </c>
      <c r="X51" s="338" t="str">
        <f>IF(OR(B51= DataBank!$Y$20, B51 =DataBank!$Y$19), "ReactionNumbers", "NAValue")</f>
        <v>NAValue</v>
      </c>
      <c r="Y51" s="338"/>
    </row>
    <row r="52" spans="1:25" ht="19" thickBot="1">
      <c r="A52" s="551"/>
      <c r="B52" s="551"/>
      <c r="C52" s="552"/>
      <c r="D52" s="553"/>
      <c r="E52" s="552"/>
      <c r="F52" s="552"/>
      <c r="G52" s="554"/>
      <c r="H52" s="552"/>
      <c r="I52" s="552"/>
      <c r="J52" s="552"/>
      <c r="K52" s="279"/>
      <c r="O52" s="48">
        <v>7</v>
      </c>
      <c r="P52" s="43" t="s">
        <v>558</v>
      </c>
      <c r="Q52" s="30" t="s">
        <v>297</v>
      </c>
      <c r="U52" s="338"/>
      <c r="V52" s="338" t="str">
        <f>IF(OR(B52 = DataBank!$Y$23, B52 = DataBank!$Y$22, B52 = DataBank!$Y$24, B52 =DataBank!$Y$25, B52 = ""),  "NAValue", "ComponentsList")</f>
        <v>NAValue</v>
      </c>
      <c r="W52" s="338" t="str">
        <f>IF(B52= DataBank!$Y$17,  "UnitNumbers", "NAValue")</f>
        <v>NAValue</v>
      </c>
      <c r="X52" s="338" t="str">
        <f>IF(OR(B52= DataBank!$Y$20, B52 =DataBank!$Y$19),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ht="18.5">
      <c r="A54" s="493">
        <v>440</v>
      </c>
      <c r="B54" s="119" t="s">
        <v>354</v>
      </c>
      <c r="C54" s="121">
        <f>27.6/43.3</f>
        <v>0.63741339491916871</v>
      </c>
      <c r="D54" s="11"/>
      <c r="E54" s="11"/>
      <c r="F54" s="11"/>
      <c r="G54" s="11"/>
      <c r="H54" s="11"/>
      <c r="I54" s="11"/>
      <c r="J54" s="11"/>
      <c r="K54" s="11"/>
    </row>
    <row r="55" spans="1:25">
      <c r="A55" s="551" t="s">
        <v>652</v>
      </c>
      <c r="B55" s="551" t="s">
        <v>345</v>
      </c>
      <c r="C55" s="552">
        <v>44</v>
      </c>
      <c r="D55" s="553" t="s">
        <v>268</v>
      </c>
      <c r="E55" s="552" t="s">
        <v>268</v>
      </c>
      <c r="F55" s="552" t="s">
        <v>268</v>
      </c>
      <c r="G55" s="554">
        <v>0.1</v>
      </c>
      <c r="H55" s="552"/>
      <c r="I55" s="552"/>
      <c r="J55" s="552"/>
      <c r="K55" s="552" t="s">
        <v>369</v>
      </c>
    </row>
    <row r="56" spans="1:25">
      <c r="A56" s="551" t="s">
        <v>608</v>
      </c>
      <c r="B56" s="551" t="s">
        <v>244</v>
      </c>
      <c r="C56" s="552">
        <v>420</v>
      </c>
      <c r="D56" s="553" t="s">
        <v>457</v>
      </c>
      <c r="E56" s="552" t="s">
        <v>268</v>
      </c>
      <c r="F56" s="552" t="s">
        <v>268</v>
      </c>
      <c r="G56" s="554">
        <v>0.23</v>
      </c>
      <c r="H56" s="11"/>
      <c r="I56" s="11"/>
      <c r="J56" s="11"/>
      <c r="K56" s="11"/>
    </row>
    <row r="57" spans="1:25">
      <c r="A57" s="551" t="s">
        <v>606</v>
      </c>
      <c r="B57" s="551" t="s">
        <v>253</v>
      </c>
      <c r="C57" s="552">
        <v>435</v>
      </c>
      <c r="D57" s="553" t="s">
        <v>354</v>
      </c>
      <c r="E57" s="552" t="s">
        <v>268</v>
      </c>
      <c r="F57" s="552">
        <v>11</v>
      </c>
      <c r="G57" s="552">
        <v>0.2</v>
      </c>
      <c r="H57" s="11"/>
      <c r="I57" s="11"/>
      <c r="J57" s="11"/>
      <c r="K57" s="11"/>
    </row>
    <row r="58" spans="1:25">
      <c r="A58" s="539" t="s">
        <v>631</v>
      </c>
      <c r="B58" s="551" t="s">
        <v>254</v>
      </c>
      <c r="C58" s="552">
        <v>10</v>
      </c>
      <c r="D58" s="553" t="s">
        <v>297</v>
      </c>
      <c r="E58" s="552" t="s">
        <v>268</v>
      </c>
      <c r="F58" s="552" t="s">
        <v>268</v>
      </c>
      <c r="G58" s="552">
        <v>0.3</v>
      </c>
      <c r="H58" s="11"/>
      <c r="I58" s="11"/>
      <c r="J58" s="11"/>
      <c r="K58" s="11"/>
    </row>
    <row r="59" spans="1:25">
      <c r="A59" s="539" t="s">
        <v>631</v>
      </c>
      <c r="B59" s="551" t="s">
        <v>254</v>
      </c>
      <c r="C59" s="552">
        <v>11</v>
      </c>
      <c r="D59" s="553" t="s">
        <v>297</v>
      </c>
      <c r="E59" s="552" t="s">
        <v>268</v>
      </c>
      <c r="F59" s="552" t="s">
        <v>268</v>
      </c>
      <c r="G59" s="552">
        <v>0.3</v>
      </c>
      <c r="H59" s="11"/>
      <c r="I59" s="11"/>
      <c r="J59" s="11"/>
      <c r="K59" s="11"/>
    </row>
    <row r="60" spans="1:25">
      <c r="A60" s="539" t="s">
        <v>607</v>
      </c>
      <c r="B60" s="551" t="s">
        <v>253</v>
      </c>
      <c r="C60" s="552">
        <v>400</v>
      </c>
      <c r="D60" s="553" t="s">
        <v>449</v>
      </c>
      <c r="E60" s="552" t="s">
        <v>268</v>
      </c>
      <c r="F60" s="552">
        <v>13</v>
      </c>
      <c r="G60" s="552">
        <v>0.4</v>
      </c>
      <c r="H60" s="11"/>
      <c r="I60" s="11"/>
      <c r="J60" s="11"/>
      <c r="K60" s="11"/>
    </row>
    <row r="61" spans="1:25">
      <c r="A61" s="539"/>
      <c r="B61" s="539"/>
      <c r="C61" s="540"/>
      <c r="D61" s="541"/>
      <c r="E61" s="540"/>
      <c r="F61" s="540"/>
      <c r="G61" s="540"/>
      <c r="H61" s="11"/>
      <c r="I61" s="11"/>
      <c r="J61" s="11"/>
      <c r="K61" s="11"/>
    </row>
    <row r="62" spans="1:25">
      <c r="A62" s="539"/>
      <c r="B62" s="539"/>
      <c r="C62" s="540"/>
      <c r="D62" s="541"/>
      <c r="E62" s="540"/>
      <c r="F62" s="540"/>
      <c r="G62" s="550"/>
      <c r="H62" s="11"/>
      <c r="I62" s="11"/>
      <c r="J62" s="11"/>
      <c r="K62" s="11"/>
    </row>
    <row r="63" spans="1:25">
      <c r="B63" s="551"/>
      <c r="C63" s="552"/>
      <c r="D63" s="553"/>
      <c r="E63" s="552"/>
      <c r="F63" s="552"/>
      <c r="G63" s="554"/>
      <c r="H63" s="11"/>
      <c r="I63" s="11"/>
      <c r="J63" s="11"/>
      <c r="K63" s="11"/>
    </row>
    <row r="64" spans="1:25">
      <c r="B64" s="551"/>
      <c r="C64" s="552"/>
      <c r="D64" s="553"/>
      <c r="E64" s="552"/>
      <c r="F64" s="552"/>
      <c r="G64" s="554"/>
      <c r="H64" s="556"/>
      <c r="I64" s="556"/>
      <c r="J64" s="556"/>
      <c r="K64" s="556"/>
    </row>
    <row r="65" spans="1:12">
      <c r="A65" s="379"/>
      <c r="B65" s="379"/>
      <c r="C65" s="556"/>
      <c r="D65" s="557"/>
      <c r="E65" s="556"/>
      <c r="F65" s="556"/>
      <c r="G65" s="558"/>
      <c r="H65" s="556"/>
      <c r="I65" s="556"/>
      <c r="J65" s="556"/>
      <c r="K65" s="556"/>
    </row>
    <row r="66" spans="1:12">
      <c r="A66" s="379"/>
      <c r="B66" s="379"/>
      <c r="C66" s="556"/>
      <c r="D66" s="557"/>
      <c r="E66" s="556"/>
      <c r="F66" s="556"/>
      <c r="G66" s="556"/>
      <c r="H66" s="556"/>
      <c r="I66" s="556" t="s">
        <v>661</v>
      </c>
      <c r="J66" s="556"/>
      <c r="K66" s="556"/>
    </row>
    <row r="67" spans="1:12">
      <c r="A67" s="594" t="s">
        <v>608</v>
      </c>
      <c r="B67" s="594" t="s">
        <v>244</v>
      </c>
      <c r="C67" s="595">
        <v>420</v>
      </c>
      <c r="D67" s="596" t="s">
        <v>457</v>
      </c>
      <c r="E67" s="595" t="s">
        <v>268</v>
      </c>
      <c r="F67" s="595" t="s">
        <v>268</v>
      </c>
      <c r="G67" s="597">
        <v>0.23</v>
      </c>
      <c r="I67" s="564">
        <v>0.5</v>
      </c>
      <c r="J67" s="556"/>
      <c r="K67" s="556"/>
    </row>
    <row r="68" spans="1:12">
      <c r="A68" s="594" t="s">
        <v>606</v>
      </c>
      <c r="B68" s="594" t="s">
        <v>253</v>
      </c>
      <c r="C68" s="595">
        <v>435</v>
      </c>
      <c r="D68" s="596" t="s">
        <v>354</v>
      </c>
      <c r="E68" s="595" t="s">
        <v>268</v>
      </c>
      <c r="F68" s="595">
        <v>11</v>
      </c>
      <c r="G68" s="595">
        <v>0.2</v>
      </c>
      <c r="I68" s="564">
        <v>0.5</v>
      </c>
      <c r="J68" s="556"/>
      <c r="K68" s="556"/>
    </row>
    <row r="69" spans="1:12">
      <c r="A69" s="594" t="s">
        <v>660</v>
      </c>
      <c r="B69" s="594" t="s">
        <v>253</v>
      </c>
      <c r="C69" s="595">
        <v>400</v>
      </c>
      <c r="D69" s="596" t="s">
        <v>449</v>
      </c>
      <c r="E69" s="595" t="s">
        <v>268</v>
      </c>
      <c r="F69" s="595">
        <v>13</v>
      </c>
      <c r="G69" s="597">
        <v>0.36</v>
      </c>
      <c r="I69" s="564">
        <v>0.5</v>
      </c>
      <c r="J69" s="197"/>
      <c r="K69" s="197"/>
    </row>
    <row r="70" spans="1:12">
      <c r="A70" s="594" t="s">
        <v>648</v>
      </c>
      <c r="B70" s="594" t="s">
        <v>253</v>
      </c>
      <c r="C70" s="595">
        <v>400</v>
      </c>
      <c r="D70" s="596" t="s">
        <v>449</v>
      </c>
      <c r="E70" s="595" t="s">
        <v>268</v>
      </c>
      <c r="F70" s="595">
        <v>22</v>
      </c>
      <c r="G70" s="597">
        <v>0.36</v>
      </c>
      <c r="I70" s="564">
        <v>0.5</v>
      </c>
    </row>
    <row r="71" spans="1:12">
      <c r="A71" s="594" t="s">
        <v>649</v>
      </c>
      <c r="B71" s="594" t="s">
        <v>252</v>
      </c>
      <c r="C71" s="595">
        <v>438</v>
      </c>
      <c r="D71" s="596" t="s">
        <v>354</v>
      </c>
      <c r="E71" s="595">
        <v>440</v>
      </c>
      <c r="F71" s="595" t="s">
        <v>268</v>
      </c>
      <c r="G71" s="597">
        <v>0.17</v>
      </c>
      <c r="I71" s="564">
        <v>0.4</v>
      </c>
    </row>
    <row r="72" spans="1:12">
      <c r="A72" s="598" t="s">
        <v>650</v>
      </c>
      <c r="B72" s="599" t="s">
        <v>387</v>
      </c>
      <c r="C72" s="595">
        <v>490</v>
      </c>
      <c r="D72" s="595" t="s">
        <v>268</v>
      </c>
      <c r="E72" s="595" t="s">
        <v>268</v>
      </c>
      <c r="F72" s="595" t="s">
        <v>268</v>
      </c>
      <c r="G72" s="595">
        <v>0.1</v>
      </c>
      <c r="I72" s="564">
        <v>0.5</v>
      </c>
    </row>
    <row r="73" spans="1:12">
      <c r="A73" s="600" t="s">
        <v>651</v>
      </c>
      <c r="B73" s="601" t="s">
        <v>377</v>
      </c>
      <c r="C73" s="602" t="s">
        <v>268</v>
      </c>
      <c r="D73" s="603" t="s">
        <v>268</v>
      </c>
      <c r="E73" s="602" t="s">
        <v>268</v>
      </c>
      <c r="F73" s="602" t="s">
        <v>268</v>
      </c>
      <c r="G73" s="604">
        <v>0.2</v>
      </c>
      <c r="I73" s="562">
        <v>0.5</v>
      </c>
    </row>
    <row r="74" spans="1:12">
      <c r="A74" s="594" t="s">
        <v>652</v>
      </c>
      <c r="B74" s="594" t="s">
        <v>345</v>
      </c>
      <c r="C74" s="595">
        <v>44</v>
      </c>
      <c r="D74" s="596" t="s">
        <v>268</v>
      </c>
      <c r="E74" s="595" t="s">
        <v>268</v>
      </c>
      <c r="F74" s="595" t="s">
        <v>268</v>
      </c>
      <c r="G74" s="597">
        <v>0.2</v>
      </c>
      <c r="I74" s="571">
        <v>0.2</v>
      </c>
    </row>
    <row r="75" spans="1:12">
      <c r="A75" s="11"/>
      <c r="B75" s="11"/>
      <c r="C75" s="197"/>
      <c r="D75" s="251"/>
      <c r="I75" s="554">
        <v>0.2</v>
      </c>
    </row>
    <row r="76" spans="1:12">
      <c r="A76" s="11"/>
      <c r="B76" s="11"/>
      <c r="C76" s="197"/>
      <c r="D76" s="251"/>
      <c r="L76">
        <f>1-60/45</f>
        <v>-0.33333333333333326</v>
      </c>
    </row>
    <row r="77" spans="1:12">
      <c r="A77" s="11"/>
      <c r="B77" s="11"/>
      <c r="C77" s="197"/>
      <c r="D77" s="251"/>
    </row>
    <row r="78" spans="1:12">
      <c r="A78" s="11"/>
      <c r="B78" s="11"/>
      <c r="C78" s="197"/>
      <c r="D78" s="251"/>
      <c r="E78" s="197"/>
      <c r="F78" s="197"/>
      <c r="G78" s="197"/>
      <c r="H78" s="197"/>
      <c r="I78" s="197"/>
      <c r="J78" s="197"/>
      <c r="K78" s="197"/>
    </row>
    <row r="79" spans="1:1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O82" t="s">
        <v>561</v>
      </c>
    </row>
    <row r="83" spans="1:1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7">
      <c r="A84" s="329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7">
      <c r="A85" s="11"/>
      <c r="B85" s="11"/>
      <c r="C85" s="197"/>
      <c r="D85" s="251"/>
      <c r="E85" s="197"/>
      <c r="F85" s="197"/>
      <c r="G85" s="197"/>
      <c r="H85" s="197"/>
      <c r="I85" s="197"/>
      <c r="J85" s="197"/>
      <c r="K85" s="197"/>
    </row>
    <row r="86" spans="1:17">
      <c r="A86" s="11"/>
      <c r="B86" s="11"/>
      <c r="C86" s="197"/>
      <c r="D86" s="251"/>
      <c r="E86" s="197"/>
      <c r="F86" s="197"/>
      <c r="G86" s="197"/>
      <c r="H86" s="197"/>
      <c r="I86" s="197"/>
      <c r="J86" s="197"/>
      <c r="K86" s="197"/>
    </row>
    <row r="87" spans="1:17">
      <c r="A87" s="11"/>
      <c r="B87" s="11"/>
      <c r="C87" s="197"/>
      <c r="D87" s="251"/>
      <c r="E87" s="197"/>
      <c r="F87" s="197"/>
      <c r="G87" s="197"/>
      <c r="H87" s="197"/>
      <c r="I87" s="197"/>
      <c r="J87" s="197"/>
      <c r="K87" s="197"/>
    </row>
    <row r="88" spans="1:17">
      <c r="A88" s="11"/>
      <c r="B88" s="11"/>
      <c r="C88" s="197"/>
      <c r="D88" s="251"/>
      <c r="E88" s="197"/>
      <c r="F88" s="197"/>
      <c r="G88" s="559"/>
      <c r="H88" s="197"/>
      <c r="I88" s="197"/>
      <c r="J88" s="197"/>
      <c r="K88" s="197"/>
    </row>
    <row r="89" spans="1:17">
      <c r="A89" s="11"/>
      <c r="B89" s="11"/>
      <c r="C89" s="197"/>
      <c r="D89" s="251"/>
      <c r="E89" s="197"/>
      <c r="F89" s="197"/>
      <c r="G89" s="301"/>
      <c r="H89" s="197"/>
      <c r="I89" s="197"/>
      <c r="J89" s="197"/>
      <c r="K89" s="197"/>
    </row>
    <row r="90" spans="1:17">
      <c r="A90" s="11"/>
      <c r="B90" s="11"/>
      <c r="C90" s="197"/>
      <c r="D90" s="251"/>
      <c r="E90" s="197"/>
      <c r="F90" s="197"/>
      <c r="G90" s="301"/>
      <c r="H90" s="197"/>
      <c r="I90" s="197"/>
      <c r="J90" s="197"/>
      <c r="K90" s="197"/>
    </row>
    <row r="91" spans="1:17">
      <c r="A91" s="11"/>
      <c r="B91" s="11"/>
      <c r="C91" s="197"/>
      <c r="D91" s="251"/>
      <c r="E91" s="197"/>
      <c r="F91" s="197"/>
      <c r="G91" s="197"/>
      <c r="H91" s="197"/>
      <c r="I91" s="197"/>
      <c r="J91" s="197"/>
      <c r="K91" s="197"/>
    </row>
    <row r="92" spans="1:17">
      <c r="A92" s="11"/>
      <c r="B92" s="11"/>
      <c r="C92" s="197"/>
      <c r="D92" s="251"/>
      <c r="E92" s="197"/>
      <c r="F92" s="197"/>
      <c r="G92" s="197"/>
      <c r="H92" s="197"/>
      <c r="I92" s="197"/>
      <c r="J92" s="197"/>
      <c r="K92" s="197"/>
    </row>
    <row r="93" spans="1:17">
      <c r="A93" s="11"/>
      <c r="B93" s="11"/>
      <c r="C93" s="197"/>
      <c r="D93" s="251"/>
      <c r="E93" s="197"/>
      <c r="F93" s="197"/>
      <c r="G93" s="197"/>
      <c r="H93" s="197"/>
      <c r="I93" s="197"/>
      <c r="J93" s="197"/>
      <c r="K93" s="197"/>
      <c r="Q93">
        <f>0.35/0.55</f>
        <v>0.63636363636363624</v>
      </c>
    </row>
    <row r="94" spans="1:17">
      <c r="A94" s="11"/>
      <c r="B94" s="11"/>
      <c r="C94" s="197"/>
      <c r="D94" s="251"/>
      <c r="E94" s="197"/>
      <c r="F94" s="197"/>
      <c r="G94" s="197"/>
      <c r="H94" s="197"/>
      <c r="I94" s="197"/>
      <c r="J94" s="197"/>
      <c r="K94" s="197"/>
    </row>
    <row r="95" spans="1:17">
      <c r="A95" s="11"/>
      <c r="B95" s="11"/>
      <c r="C95" s="197"/>
      <c r="D95" s="251"/>
      <c r="E95" s="197"/>
      <c r="F95" s="197"/>
      <c r="G95" s="197"/>
      <c r="H95" s="197"/>
      <c r="I95" s="197"/>
      <c r="J95" s="197"/>
      <c r="K95" s="197"/>
    </row>
    <row r="96" spans="1:17">
      <c r="A96" s="11"/>
      <c r="B96" s="11"/>
      <c r="C96" s="197"/>
      <c r="D96" s="251"/>
      <c r="E96" s="197"/>
      <c r="F96" s="197"/>
      <c r="G96" s="197"/>
      <c r="H96" s="197"/>
      <c r="I96" s="197"/>
      <c r="J96" s="197"/>
      <c r="K96" s="197"/>
    </row>
    <row r="97" spans="1:16">
      <c r="A97" s="11"/>
      <c r="B97" s="11"/>
      <c r="C97" s="197"/>
      <c r="D97" s="251"/>
      <c r="E97" s="197"/>
      <c r="F97" s="197"/>
      <c r="G97" s="197"/>
      <c r="H97" s="197"/>
      <c r="I97" s="197"/>
      <c r="J97" s="197"/>
      <c r="K97" s="197"/>
    </row>
    <row r="98" spans="1:16">
      <c r="A98" s="11"/>
      <c r="B98" s="11"/>
      <c r="C98" s="197"/>
      <c r="D98" s="251"/>
      <c r="E98" s="197"/>
      <c r="F98" s="197"/>
      <c r="G98" s="197"/>
      <c r="H98" s="197"/>
      <c r="I98" s="197"/>
      <c r="J98" s="197"/>
      <c r="K98" s="197"/>
    </row>
    <row r="99" spans="1:16">
      <c r="A99" s="11"/>
      <c r="B99" s="11"/>
      <c r="C99" s="197"/>
      <c r="D99" s="251"/>
      <c r="E99" s="197"/>
      <c r="F99" s="197"/>
      <c r="G99" s="197"/>
      <c r="H99" s="197"/>
      <c r="I99" s="197"/>
      <c r="J99" s="197"/>
      <c r="K99" s="197"/>
    </row>
    <row r="100" spans="1:16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P100">
        <f>1-0.46/0.59</f>
        <v>0.22033898305084743</v>
      </c>
    </row>
    <row r="101" spans="1:16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</row>
    <row r="102" spans="1:16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</row>
    <row r="103" spans="1:16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1:16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</row>
    <row r="105" spans="1:16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</row>
    <row r="106" spans="1:16">
      <c r="A106" s="197"/>
      <c r="B106" s="560"/>
      <c r="C106" s="197"/>
      <c r="D106" s="560"/>
      <c r="E106" s="11"/>
      <c r="F106" s="11"/>
      <c r="G106" s="11"/>
      <c r="H106" s="11"/>
      <c r="I106" s="11"/>
      <c r="J106" s="11"/>
      <c r="K106" s="11"/>
    </row>
    <row r="107" spans="1:16">
      <c r="A107" s="11"/>
      <c r="B107" s="11"/>
      <c r="C107" s="197"/>
      <c r="D107" s="197"/>
      <c r="E107" s="11"/>
      <c r="F107" s="11"/>
      <c r="G107" s="11"/>
      <c r="H107" s="11"/>
      <c r="I107" s="11"/>
      <c r="J107" s="11"/>
      <c r="K107" s="11"/>
    </row>
    <row r="108" spans="1:16">
      <c r="A108" s="11"/>
      <c r="B108" s="11"/>
      <c r="C108" s="197"/>
      <c r="D108" s="197"/>
      <c r="E108" s="11"/>
      <c r="F108" s="11"/>
      <c r="G108" s="11"/>
      <c r="H108" s="11"/>
      <c r="I108" s="11"/>
      <c r="J108" s="11"/>
      <c r="K108" s="11"/>
    </row>
    <row r="109" spans="1:16">
      <c r="A109" s="11"/>
      <c r="B109" s="11"/>
      <c r="C109" s="197"/>
      <c r="D109" s="197"/>
      <c r="E109" s="11"/>
      <c r="F109" s="11"/>
      <c r="G109" s="11"/>
      <c r="H109" s="11"/>
      <c r="I109" s="11"/>
      <c r="J109" s="11"/>
      <c r="K109" s="11"/>
    </row>
    <row r="110" spans="1:16">
      <c r="A110" s="11"/>
      <c r="B110" s="11"/>
      <c r="C110" s="559"/>
      <c r="D110" s="197"/>
      <c r="E110" s="11"/>
      <c r="F110" s="11"/>
      <c r="G110" s="11"/>
      <c r="H110" s="11"/>
      <c r="I110" s="11"/>
      <c r="J110" s="11"/>
      <c r="K110" s="11"/>
    </row>
    <row r="111" spans="1:16">
      <c r="A111" s="11"/>
      <c r="B111" s="11"/>
      <c r="C111" s="301"/>
      <c r="D111" s="197"/>
      <c r="E111" s="11"/>
      <c r="F111" s="11"/>
      <c r="G111" s="11"/>
      <c r="H111" s="11"/>
      <c r="I111" s="11"/>
      <c r="J111" s="11"/>
      <c r="K111" s="11"/>
    </row>
    <row r="112" spans="1:16">
      <c r="A112" s="11"/>
      <c r="B112" s="11"/>
      <c r="C112" s="301"/>
      <c r="D112" s="197"/>
      <c r="E112" s="11"/>
      <c r="F112" s="11"/>
      <c r="G112" s="11"/>
      <c r="H112" s="11"/>
      <c r="I112" s="11"/>
      <c r="J112" s="11"/>
      <c r="K112" s="11"/>
    </row>
    <row r="113" spans="1:11">
      <c r="A113" s="11"/>
      <c r="B113" s="11"/>
      <c r="C113" s="197"/>
      <c r="D113" s="197"/>
      <c r="E113" s="11"/>
      <c r="F113" s="11"/>
      <c r="G113" s="11"/>
      <c r="H113" s="11"/>
      <c r="I113" s="11"/>
      <c r="J113" s="11"/>
      <c r="K113" s="11"/>
    </row>
    <row r="114" spans="1:11">
      <c r="A114" s="11"/>
      <c r="B114" s="11"/>
      <c r="C114" s="197"/>
      <c r="D114" s="197"/>
      <c r="E114" s="11"/>
      <c r="F114" s="11"/>
      <c r="G114" s="11"/>
      <c r="H114" s="11"/>
      <c r="I114" s="11"/>
      <c r="J114" s="11"/>
      <c r="K114" s="11"/>
    </row>
    <row r="115" spans="1:11">
      <c r="A115" s="11"/>
      <c r="B115" s="11"/>
      <c r="C115" s="197"/>
      <c r="D115" s="197"/>
      <c r="E115" s="11"/>
      <c r="F115" s="11"/>
      <c r="G115" s="11"/>
      <c r="H115" s="11"/>
      <c r="I115" s="11"/>
      <c r="J115" s="11"/>
      <c r="K115" s="11"/>
    </row>
    <row r="116" spans="1:11">
      <c r="A116" s="11"/>
      <c r="B116" s="11"/>
      <c r="C116" s="197"/>
      <c r="D116" s="197"/>
      <c r="E116" s="11"/>
      <c r="F116" s="11"/>
      <c r="G116" s="11"/>
      <c r="H116" s="11"/>
      <c r="I116" s="11"/>
      <c r="J116" s="11"/>
      <c r="K116" s="11"/>
    </row>
    <row r="117" spans="1:11">
      <c r="A117" s="11"/>
      <c r="B117" s="11"/>
      <c r="C117" s="197"/>
      <c r="D117" s="197"/>
      <c r="E117" s="11"/>
      <c r="F117" s="11"/>
      <c r="G117" s="11"/>
      <c r="H117" s="11"/>
      <c r="I117" s="11"/>
      <c r="J117" s="11"/>
      <c r="K117" s="11"/>
    </row>
    <row r="118" spans="1:11">
      <c r="A118" s="11"/>
      <c r="B118" s="11"/>
      <c r="C118" s="197"/>
      <c r="D118" s="197"/>
      <c r="E118" s="11"/>
      <c r="F118" s="11"/>
      <c r="G118" s="11"/>
      <c r="H118" s="11"/>
      <c r="I118" s="11"/>
      <c r="J118" s="11"/>
      <c r="K118" s="11"/>
    </row>
    <row r="119" spans="1:11">
      <c r="A119" s="11"/>
      <c r="B119" s="11"/>
      <c r="C119" s="197"/>
      <c r="D119" s="197"/>
      <c r="E119" s="11"/>
      <c r="F119" s="11"/>
      <c r="G119" s="11"/>
      <c r="H119" s="11"/>
      <c r="I119" s="11"/>
      <c r="J119" s="11"/>
      <c r="K119" s="11"/>
    </row>
    <row r="120" spans="1:11">
      <c r="A120" s="11"/>
      <c r="B120" s="11"/>
      <c r="C120" s="197"/>
      <c r="D120" s="197"/>
      <c r="E120" s="11"/>
      <c r="F120" s="11"/>
      <c r="G120" s="11"/>
      <c r="H120" s="11"/>
      <c r="I120" s="11"/>
      <c r="J120" s="11"/>
      <c r="K120" s="11"/>
    </row>
    <row r="121" spans="1:11">
      <c r="A121" s="11"/>
      <c r="B121" s="11"/>
      <c r="C121" s="197"/>
      <c r="D121" s="197"/>
      <c r="E121" s="11"/>
      <c r="F121" s="11"/>
      <c r="G121" s="11"/>
      <c r="H121" s="11"/>
      <c r="I121" s="11"/>
      <c r="J121" s="11"/>
      <c r="K121" s="11"/>
    </row>
    <row r="122" spans="1:1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</row>
    <row r="123" spans="1:1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</row>
    <row r="124" spans="1:1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</row>
    <row r="125" spans="1:1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</row>
    <row r="126" spans="1:1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</row>
    <row r="127" spans="1:1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</row>
    <row r="128" spans="1:1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</row>
    <row r="129" spans="1:1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</row>
    <row r="130" spans="1:1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</row>
    <row r="131" spans="1:1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</row>
    <row r="132" spans="1:1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</row>
    <row r="133" spans="1:1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</row>
    <row r="134" spans="1:1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</row>
    <row r="135" spans="1:1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</row>
    <row r="136" spans="1:1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</row>
    <row r="137" spans="1:1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</row>
    <row r="138" spans="1:1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</row>
    <row r="139" spans="1:1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</row>
    <row r="140" spans="1:1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</row>
    <row r="141" spans="1:1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</row>
    <row r="142" spans="1:1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</row>
    <row r="143" spans="1:1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</row>
    <row r="144" spans="1:1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</row>
    <row r="145" spans="1:1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</row>
    <row r="146" spans="1:1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</row>
    <row r="147" spans="1:1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</row>
    <row r="148" spans="1:1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</row>
    <row r="149" spans="1:1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</row>
    <row r="150" spans="1:1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</row>
    <row r="151" spans="1:1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</row>
    <row r="152" spans="1:1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</row>
    <row r="153" spans="1:1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</row>
    <row r="154" spans="1:1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</row>
    <row r="155" spans="1:1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</row>
    <row r="156" spans="1:1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</row>
    <row r="157" spans="1:1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</row>
    <row r="158" spans="1:1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</row>
    <row r="159" spans="1:1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</row>
    <row r="160" spans="1:1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</row>
    <row r="161" spans="1:1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</row>
    <row r="162" spans="1:1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</row>
    <row r="163" spans="1:1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</row>
    <row r="164" spans="1:1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</row>
    <row r="165" spans="1:1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</row>
    <row r="166" spans="1:1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</row>
    <row r="167" spans="1:1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</row>
    <row r="168" spans="1:1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</row>
    <row r="169" spans="1:1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</row>
    <row r="170" spans="1:1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</row>
    <row r="171" spans="1:1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</row>
    <row r="172" spans="1:1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</row>
    <row r="173" spans="1:1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</row>
    <row r="174" spans="1:1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</row>
    <row r="175" spans="1:1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</row>
    <row r="176" spans="1:1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</row>
    <row r="177" spans="1:1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</row>
    <row r="178" spans="1:1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</row>
    <row r="179" spans="1:1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</row>
    <row r="180" spans="1:1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</row>
    <row r="181" spans="1:1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</row>
    <row r="182" spans="1:1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</row>
    <row r="183" spans="1:1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</row>
    <row r="184" spans="1:1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</row>
    <row r="185" spans="1:1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</row>
    <row r="186" spans="1:1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</row>
    <row r="187" spans="1:1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</row>
    <row r="188" spans="1:1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</row>
    <row r="189" spans="1:1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</row>
    <row r="190" spans="1:1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</row>
    <row r="191" spans="1:1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</row>
    <row r="192" spans="1:1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</row>
    <row r="193" spans="1:1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</row>
    <row r="194" spans="1:1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</row>
    <row r="195" spans="1:1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</row>
    <row r="196" spans="1:1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</row>
    <row r="197" spans="1:1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</row>
    <row r="198" spans="1:1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</row>
    <row r="199" spans="1:1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</row>
    <row r="200" spans="1:1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</row>
    <row r="201" spans="1:1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</row>
    <row r="202" spans="1:1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</row>
    <row r="203" spans="1:1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</row>
    <row r="204" spans="1:1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</row>
    <row r="205" spans="1:1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</row>
    <row r="206" spans="1:1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</row>
    <row r="207" spans="1:1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</row>
    <row r="208" spans="1:1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</row>
    <row r="209" spans="1:1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</row>
    <row r="210" spans="1:1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</row>
    <row r="211" spans="1:1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</row>
    <row r="212" spans="1:1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</row>
    <row r="213" spans="1:1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</row>
    <row r="214" spans="1:1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</row>
    <row r="215" spans="1:1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</row>
    <row r="216" spans="1:1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</row>
    <row r="217" spans="1:1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</row>
    <row r="218" spans="1:1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</row>
    <row r="219" spans="1:1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</row>
    <row r="220" spans="1:1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</row>
    <row r="221" spans="1:1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</row>
    <row r="222" spans="1:1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</row>
    <row r="223" spans="1:1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</row>
    <row r="224" spans="1:1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</row>
    <row r="225" spans="1:1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</row>
    <row r="226" spans="1:1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</row>
    <row r="227" spans="1:1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</row>
    <row r="228" spans="1:1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</row>
    <row r="229" spans="1:1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</row>
    <row r="230" spans="1:1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</row>
    <row r="231" spans="1:1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</row>
    <row r="232" spans="1:1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</row>
    <row r="233" spans="1:1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</row>
    <row r="234" spans="1:1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</row>
    <row r="235" spans="1:1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</row>
    <row r="236" spans="1:1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</row>
    <row r="237" spans="1:1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</row>
    <row r="238" spans="1:1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</row>
    <row r="239" spans="1:1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</row>
    <row r="240" spans="1:1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</row>
    <row r="241" spans="1:1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</row>
    <row r="242" spans="1:1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</row>
    <row r="243" spans="1:1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</row>
    <row r="244" spans="1:1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</row>
    <row r="245" spans="1:1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</row>
    <row r="246" spans="1:1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</row>
    <row r="247" spans="1:1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</row>
    <row r="248" spans="1:1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</row>
    <row r="249" spans="1:1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</row>
    <row r="250" spans="1:1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</row>
    <row r="251" spans="1:1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</row>
    <row r="252" spans="1:1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</row>
    <row r="253" spans="1:1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</row>
    <row r="254" spans="1:1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</row>
    <row r="255" spans="1:1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</row>
    <row r="256" spans="1:1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</row>
    <row r="257" spans="1:1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</row>
    <row r="258" spans="1:1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</row>
    <row r="259" spans="1:1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</row>
    <row r="260" spans="1:1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</row>
    <row r="261" spans="1:1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</row>
    <row r="262" spans="1:1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</row>
  </sheetData>
  <mergeCells count="4">
    <mergeCell ref="B2:C2"/>
    <mergeCell ref="U22:Y24"/>
    <mergeCell ref="H24:J24"/>
    <mergeCell ref="D24:G24"/>
  </mergeCells>
  <dataValidations count="14">
    <dataValidation type="list" allowBlank="1" showInputMessage="1" showErrorMessage="1" sqref="C6" xr:uid="{7B1425BB-4C74-46A3-98F6-104F7EF14D99}">
      <formula1>DynamicSwitch</formula1>
    </dataValidation>
    <dataValidation type="list" allowBlank="1" showInputMessage="1" showErrorMessage="1" sqref="D55:F57 Q1:S11 D65:F66 D85:E95 F85:F88 F90:F95 D33:F52 D75 D26:F31" xr:uid="{E4A58EBB-9C48-424D-A7DD-0D57B64CDA5B}">
      <formula1>INDIRECT(V1)</formula1>
    </dataValidation>
    <dataValidation type="list" allowBlank="1" showInputMessage="1" showErrorMessage="1" sqref="R44:T44" xr:uid="{09D857B6-4B51-4072-81C4-E3527FFDF74D}">
      <formula1>INDIRECT(V37)</formula1>
    </dataValidation>
    <dataValidation type="list" allowBlank="1" showInputMessage="1" showErrorMessage="1" sqref="D96:F99 Q12:S15 D58:F62 D76:D77" xr:uid="{88B856F9-DC9B-488D-93E3-3A2FEECA1C8C}">
      <formula1>INDIRECT(V13)</formula1>
    </dataValidation>
    <dataValidation type="list" allowBlank="1" showInputMessage="1" showErrorMessage="1" sqref="D78:F78 D63:F64" xr:uid="{DF3E2E78-E489-492D-B1C3-4717A17EB37A}">
      <formula1>INDIRECT(V65)</formula1>
    </dataValidation>
    <dataValidation type="list" allowBlank="1" showInputMessage="1" showErrorMessage="1" sqref="D77" xr:uid="{537B140A-2CF4-4087-BE84-23EDC98CB470}">
      <formula1>INDIRECT(V81)</formula1>
    </dataValidation>
    <dataValidation type="list" allowBlank="1" showInputMessage="1" showErrorMessage="1" sqref="D61:F62" xr:uid="{272539F7-4756-48B3-96CD-036BA97A6A38}">
      <formula1>INDIRECT(V50)</formula1>
    </dataValidation>
    <dataValidation type="list" allowBlank="1" showInputMessage="1" showErrorMessage="1" sqref="D63:E63" xr:uid="{6F1EFA06-C512-4332-ADEE-7F92FB830BA8}">
      <formula1>INDIRECT(V44)</formula1>
    </dataValidation>
    <dataValidation type="list" allowBlank="1" showInputMessage="1" showErrorMessage="1" sqref="D64:E64 F63:F64" xr:uid="{34B6613B-0257-481F-9B20-E1E09AA49F3B}">
      <formula1>INDIRECT(V43)</formula1>
    </dataValidation>
    <dataValidation type="list" allowBlank="1" showInputMessage="1" showErrorMessage="1" sqref="Q47:Q52" xr:uid="{A43746E9-A9F9-4706-BEBF-E5AE5EDA51EA}">
      <formula1>$F$5:$F$36</formula1>
    </dataValidation>
    <dataValidation type="list" allowBlank="1" showInputMessage="1" showErrorMessage="1" sqref="D69:F69 D71:F71 D73:F74" xr:uid="{ECB893BC-80F2-4EA0-9B5D-31FC76B2E25A}">
      <formula1>INDIRECT(Z80)</formula1>
    </dataValidation>
    <dataValidation type="list" allowBlank="1" showInputMessage="1" showErrorMessage="1" sqref="D67:F68" xr:uid="{E5AF9865-1509-4C2F-9042-32BC8A49F3E4}">
      <formula1>INDIRECT(Z62)</formula1>
    </dataValidation>
    <dataValidation type="list" allowBlank="1" showInputMessage="1" showErrorMessage="1" sqref="D69:E69" xr:uid="{9BCDFB0C-6A11-47DF-A547-531121026D73}">
      <formula1>INDIRECT(Z69)</formula1>
    </dataValidation>
    <dataValidation type="list" allowBlank="1" showInputMessage="1" showErrorMessage="1" sqref="D70:F70" xr:uid="{2A59B010-FBE1-415C-8C91-90D15A640E76}">
      <formula1>INDIRECT(Z78)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CE7194C-9EF6-4851-9BB9-55F9ACB1F35F}">
          <x14:formula1>
            <xm:f>DataBank!$M$17:$M$19</xm:f>
          </x14:formula1>
          <xm:sqref>C4</xm:sqref>
        </x14:dataValidation>
        <x14:dataValidation type="list" allowBlank="1" showInputMessage="1" showErrorMessage="1" xr:uid="{735414F2-8994-41C8-BB7A-9BCA27086BD0}">
          <x14:formula1>
            <xm:f>DataBank!$O$17:$O$18</xm:f>
          </x14:formula1>
          <xm:sqref>C5</xm:sqref>
        </x14:dataValidation>
        <x14:dataValidation type="list" allowBlank="1" showInputMessage="1" showErrorMessage="1" xr:uid="{5ADE64BA-3C7F-4A02-8A5F-F7D6C434389C}">
          <x14:formula1>
            <xm:f>DataBank!$E$17:$E$18</xm:f>
          </x14:formula1>
          <xm:sqref>C3</xm:sqref>
        </x14:dataValidation>
        <x14:dataValidation type="list" allowBlank="1" showInputMessage="1" showErrorMessage="1" xr:uid="{6B25B779-ED42-4BA1-922F-93A4D1A70209}">
          <x14:formula1>
            <xm:f>Systemblatt!$F$5:$F$37</xm:f>
          </x14:formula1>
          <xm:sqref>E14:J21 B54</xm:sqref>
        </x14:dataValidation>
        <x14:dataValidation type="list" allowBlank="1" showInputMessage="1" showErrorMessage="1" xr:uid="{865A6B48-A442-49B2-93BB-0D8F0E54AE4F}">
          <x14:formula1>
            <xm:f>Systemblatt!$F$5:$F$42</xm:f>
          </x14:formula1>
          <xm:sqref>M4</xm:sqref>
        </x14:dataValidation>
        <x14:dataValidation type="list" allowBlank="1" showInputMessage="1" showErrorMessage="1" xr:uid="{C8B388AB-9A38-4635-8005-9C5969C4ECC9}">
          <x14:formula1>
            <xm:f>DataBank!$W$17:$W$18</xm:f>
          </x14:formula1>
          <xm:sqref>Y44 K85:K99 K68 K64 D107:D121 K55 K26:K51</xm:sqref>
        </x14:dataValidation>
        <x14:dataValidation type="list" allowBlank="1" showInputMessage="1" showErrorMessage="1" xr:uid="{725CADD5-337E-4538-8757-36483839D608}">
          <x14:formula1>
            <xm:f>DataBank!$U$17:$U$19</xm:f>
          </x14:formula1>
          <xm:sqref>I85:I99 I64</xm:sqref>
        </x14:dataValidation>
        <x14:dataValidation type="list" allowBlank="1" showInputMessage="1" showErrorMessage="1" xr:uid="{737B621A-6B8D-4E97-A6ED-C8A7BA8C4E76}">
          <x14:formula1>
            <xm:f>DataBank!$Y$17:$Y$25</xm:f>
          </x14:formula1>
          <xm:sqref>B85:B99 P44 O1:O15 B55:B66 B107:B121 B26:B52</xm:sqref>
        </x14:dataValidation>
        <x14:dataValidation type="list" allowBlank="1" showInputMessage="1" showErrorMessage="1" xr:uid="{59D39B1A-61E1-4683-838A-B83C5A3EE611}">
          <x14:formula1>
            <xm:f>Systemblatt!$N$5:$N$30</xm:f>
          </x14:formula1>
          <xm:sqref>F89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zoomScale="70" zoomScaleNormal="70" workbookViewId="0">
      <selection activeCell="E8" sqref="E8"/>
    </sheetView>
  </sheetViews>
  <sheetFormatPr defaultColWidth="10.81640625" defaultRowHeight="14.5"/>
  <cols>
    <col min="3" max="3" width="12" bestFit="1" customWidth="1"/>
    <col min="4" max="4" width="26.08984375" customWidth="1"/>
    <col min="5" max="5" width="15.6328125" customWidth="1"/>
    <col min="6" max="6" width="13" bestFit="1" customWidth="1"/>
    <col min="8" max="8" width="12.6328125" bestFit="1" customWidth="1"/>
    <col min="9" max="9" width="14.36328125" bestFit="1" customWidth="1"/>
    <col min="10" max="10" width="15.1796875" bestFit="1" customWidth="1"/>
    <col min="11" max="11" width="13.6328125" bestFit="1" customWidth="1"/>
    <col min="12" max="12" width="15.36328125" customWidth="1"/>
    <col min="13" max="13" width="12.54296875" bestFit="1" customWidth="1"/>
    <col min="24" max="24" width="15.1796875" customWidth="1"/>
    <col min="28" max="28" width="13.36328125" bestFit="1" customWidth="1"/>
  </cols>
  <sheetData>
    <row r="3" spans="3:34" ht="15.5">
      <c r="L3" s="472">
        <f>I32*C171 +C165*I33</f>
        <v>1161600</v>
      </c>
    </row>
    <row r="4" spans="3:34" ht="16" thickBot="1">
      <c r="C4" s="11"/>
      <c r="D4" s="11"/>
      <c r="E4" s="11" t="s">
        <v>638</v>
      </c>
      <c r="F4" s="11"/>
      <c r="G4" s="11"/>
      <c r="H4" s="496"/>
      <c r="I4" s="505"/>
      <c r="J4" s="11"/>
      <c r="K4" s="11"/>
      <c r="L4" s="11" t="s">
        <v>588</v>
      </c>
      <c r="M4" s="11"/>
      <c r="N4" s="11"/>
      <c r="O4" s="11"/>
      <c r="P4" s="11"/>
      <c r="Q4" s="11"/>
    </row>
    <row r="5" spans="3:34" ht="24" thickBot="1">
      <c r="C5" s="206" t="s">
        <v>191</v>
      </c>
      <c r="D5" s="664" t="s">
        <v>101</v>
      </c>
      <c r="E5" s="665"/>
      <c r="F5" s="665"/>
      <c r="G5" s="665"/>
      <c r="H5" s="665"/>
      <c r="I5" s="665"/>
      <c r="J5" s="665"/>
      <c r="K5" s="665"/>
      <c r="L5" s="665"/>
      <c r="M5" s="665"/>
      <c r="N5" s="665"/>
      <c r="O5" s="666"/>
      <c r="P5" s="11"/>
      <c r="Q5" s="11"/>
    </row>
    <row r="6" spans="3:34" ht="18.5">
      <c r="C6" s="207" t="s">
        <v>169</v>
      </c>
      <c r="D6" s="140" t="s">
        <v>1</v>
      </c>
      <c r="E6" s="380" t="s">
        <v>162</v>
      </c>
      <c r="F6" s="198" t="s">
        <v>165</v>
      </c>
      <c r="G6" s="198" t="s">
        <v>107</v>
      </c>
      <c r="H6" s="198" t="s">
        <v>486</v>
      </c>
      <c r="I6" s="198" t="s">
        <v>570</v>
      </c>
      <c r="J6" s="375"/>
      <c r="K6" s="198"/>
      <c r="M6" s="141"/>
      <c r="N6" s="141"/>
      <c r="O6" s="142"/>
      <c r="P6" s="11"/>
      <c r="Q6" s="11"/>
    </row>
    <row r="7" spans="3:34" ht="18.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6"/>
      <c r="K7" s="143"/>
      <c r="M7" s="143"/>
      <c r="N7" s="143"/>
      <c r="O7" s="144"/>
      <c r="P7" s="11"/>
      <c r="Q7" s="11"/>
    </row>
    <row r="8" spans="3:34" ht="18.5">
      <c r="C8" s="209" t="s">
        <v>192</v>
      </c>
      <c r="D8" s="140" t="s">
        <v>102</v>
      </c>
      <c r="E8" s="494">
        <v>-62</v>
      </c>
      <c r="F8" s="495">
        <v>0</v>
      </c>
      <c r="G8" s="495">
        <v>0</v>
      </c>
      <c r="H8" s="496">
        <v>71.5</v>
      </c>
      <c r="I8" s="572">
        <v>34613.686534216336</v>
      </c>
      <c r="J8" s="497"/>
      <c r="K8" s="143"/>
      <c r="M8" s="143"/>
      <c r="N8" s="143"/>
      <c r="O8" s="144"/>
      <c r="P8" s="11"/>
      <c r="Q8" s="11"/>
      <c r="S8" s="350" t="s">
        <v>391</v>
      </c>
    </row>
    <row r="9" spans="3:34" ht="18.5">
      <c r="C9" s="209" t="s">
        <v>179</v>
      </c>
      <c r="D9" s="140" t="s">
        <v>194</v>
      </c>
      <c r="E9" s="153">
        <v>70</v>
      </c>
      <c r="F9" s="143"/>
      <c r="G9" s="143"/>
      <c r="H9" s="143"/>
      <c r="I9" s="143"/>
      <c r="J9" s="376"/>
      <c r="K9" s="143"/>
      <c r="M9" s="143"/>
      <c r="N9" s="143"/>
      <c r="O9" s="144"/>
      <c r="P9" s="11"/>
      <c r="Q9" s="11"/>
    </row>
    <row r="10" spans="3:34" ht="18.5">
      <c r="C10" s="209" t="s">
        <v>179</v>
      </c>
      <c r="D10" s="140" t="s">
        <v>195</v>
      </c>
      <c r="E10" s="153">
        <v>70</v>
      </c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.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.5">
      <c r="C12" s="208" t="s">
        <v>169</v>
      </c>
      <c r="D12" s="140" t="s">
        <v>193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9" thickBot="1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4" t="s">
        <v>535</v>
      </c>
      <c r="T13" s="404" t="s">
        <v>527</v>
      </c>
      <c r="U13" s="404" t="s">
        <v>528</v>
      </c>
      <c r="V13" s="404" t="s">
        <v>163</v>
      </c>
      <c r="W13" s="404" t="s">
        <v>529</v>
      </c>
      <c r="X13" s="404" t="s">
        <v>530</v>
      </c>
      <c r="Y13" s="404" t="s">
        <v>531</v>
      </c>
      <c r="Z13" s="404" t="s">
        <v>297</v>
      </c>
      <c r="AA13" s="404" t="s">
        <v>532</v>
      </c>
      <c r="AB13" s="405" t="s">
        <v>533</v>
      </c>
      <c r="AF13" t="s">
        <v>572</v>
      </c>
      <c r="AG13">
        <v>125</v>
      </c>
      <c r="AH13" t="s">
        <v>571</v>
      </c>
    </row>
    <row r="14" spans="3:34" ht="18.5">
      <c r="C14" s="211"/>
      <c r="D14" s="145" t="s">
        <v>295</v>
      </c>
      <c r="E14" s="410">
        <f>AC19</f>
        <v>2.5299999999999996E-2</v>
      </c>
      <c r="F14" s="416"/>
      <c r="G14" s="416"/>
      <c r="H14" s="416"/>
      <c r="I14" s="141"/>
      <c r="J14" s="416"/>
      <c r="K14" s="416"/>
      <c r="M14" s="141"/>
      <c r="N14" s="141"/>
      <c r="O14" s="142"/>
      <c r="P14" s="11"/>
      <c r="Q14" s="11"/>
      <c r="S14" s="404" t="s">
        <v>536</v>
      </c>
      <c r="T14" s="404" t="s">
        <v>534</v>
      </c>
      <c r="U14" s="404" t="s">
        <v>534</v>
      </c>
      <c r="V14" s="404" t="s">
        <v>534</v>
      </c>
      <c r="W14" s="404" t="s">
        <v>534</v>
      </c>
      <c r="X14" s="404" t="s">
        <v>534</v>
      </c>
      <c r="Y14" s="404" t="s">
        <v>534</v>
      </c>
      <c r="Z14" s="404" t="s">
        <v>534</v>
      </c>
      <c r="AA14" s="404" t="s">
        <v>534</v>
      </c>
      <c r="AB14" s="404" t="s">
        <v>534</v>
      </c>
      <c r="AF14" t="s">
        <v>573</v>
      </c>
      <c r="AG14">
        <v>20</v>
      </c>
      <c r="AH14" t="s">
        <v>574</v>
      </c>
    </row>
    <row r="15" spans="3:34" ht="18.5">
      <c r="C15" s="166"/>
      <c r="D15" s="146" t="s">
        <v>163</v>
      </c>
      <c r="E15" s="411">
        <f>AC20</f>
        <v>1.8999999999999996E-3</v>
      </c>
      <c r="F15" s="417"/>
      <c r="G15" s="417"/>
      <c r="H15" s="421"/>
      <c r="I15" s="143"/>
      <c r="J15" s="417"/>
      <c r="K15" s="417"/>
      <c r="M15" s="143"/>
      <c r="N15" s="143"/>
      <c r="O15" s="144"/>
      <c r="P15" s="11"/>
      <c r="Q15" s="11"/>
      <c r="S15" s="403">
        <v>141.5</v>
      </c>
      <c r="T15" s="403">
        <v>63</v>
      </c>
      <c r="U15" s="403">
        <v>126.5</v>
      </c>
      <c r="V15" s="403">
        <v>9.5</v>
      </c>
      <c r="W15" s="403">
        <v>12.5</v>
      </c>
      <c r="X15" s="403">
        <v>52.5</v>
      </c>
      <c r="Y15" s="403">
        <v>33</v>
      </c>
      <c r="Z15" s="403">
        <v>476</v>
      </c>
      <c r="AA15" s="403">
        <v>15.445</v>
      </c>
      <c r="AB15" s="403">
        <v>211.55499999999995</v>
      </c>
      <c r="AF15" t="s">
        <v>575</v>
      </c>
      <c r="AG15">
        <v>50</v>
      </c>
      <c r="AH15" t="s">
        <v>576</v>
      </c>
    </row>
    <row r="16" spans="3:34" ht="18.5">
      <c r="C16" s="166"/>
      <c r="D16" s="146" t="s">
        <v>161</v>
      </c>
      <c r="E16" s="411">
        <f t="shared" ref="E16:E23" si="1">AC21</f>
        <v>1.9699999999999999E-2</v>
      </c>
      <c r="F16" s="418"/>
      <c r="G16" s="418"/>
      <c r="H16" s="418"/>
      <c r="I16" s="197"/>
      <c r="J16" s="418"/>
      <c r="K16" s="418"/>
      <c r="M16" s="197"/>
      <c r="N16" s="197"/>
      <c r="O16" s="144"/>
      <c r="P16" s="11"/>
      <c r="Q16" s="11"/>
      <c r="T16" s="391">
        <f>T15/1000</f>
        <v>6.3E-2</v>
      </c>
      <c r="U16" s="391">
        <f t="shared" ref="U16:AB16" si="2">U15/1000</f>
        <v>0.1265</v>
      </c>
      <c r="V16" s="391">
        <f t="shared" si="2"/>
        <v>9.4999999999999998E-3</v>
      </c>
      <c r="W16" s="391">
        <f t="shared" si="2"/>
        <v>1.2500000000000001E-2</v>
      </c>
      <c r="X16" s="391">
        <f t="shared" si="2"/>
        <v>5.2499999999999998E-2</v>
      </c>
      <c r="Y16" s="391">
        <f t="shared" si="2"/>
        <v>3.3000000000000002E-2</v>
      </c>
      <c r="Z16" s="391">
        <f t="shared" si="2"/>
        <v>0.47599999999999998</v>
      </c>
      <c r="AA16" s="391">
        <f t="shared" si="2"/>
        <v>1.5445E-2</v>
      </c>
      <c r="AB16" s="391">
        <f t="shared" si="2"/>
        <v>0.21155499999999994</v>
      </c>
    </row>
    <row r="17" spans="3:34" ht="18.5">
      <c r="C17" s="166"/>
      <c r="D17" s="146" t="s">
        <v>453</v>
      </c>
      <c r="E17" s="411">
        <f t="shared" si="1"/>
        <v>1.0499999999999999E-2</v>
      </c>
      <c r="F17" s="417"/>
      <c r="G17" s="417"/>
      <c r="H17" s="417"/>
      <c r="I17" s="143"/>
      <c r="J17" s="417"/>
      <c r="K17" s="417"/>
      <c r="M17" s="143"/>
      <c r="N17" s="143"/>
      <c r="O17" s="144"/>
      <c r="P17" s="11"/>
      <c r="Q17" s="11"/>
      <c r="AG17">
        <f>AG13/AG15</f>
        <v>2.5</v>
      </c>
      <c r="AH17" t="s">
        <v>574</v>
      </c>
    </row>
    <row r="18" spans="3:34" ht="18.5">
      <c r="C18" s="166"/>
      <c r="D18" s="146" t="s">
        <v>525</v>
      </c>
      <c r="E18" s="411">
        <f t="shared" si="1"/>
        <v>6.5999999999999991E-3</v>
      </c>
      <c r="F18" s="417"/>
      <c r="G18" s="417"/>
      <c r="H18" s="421"/>
      <c r="I18" s="143"/>
      <c r="J18" s="417"/>
      <c r="K18" s="417"/>
      <c r="M18" s="143"/>
      <c r="N18" s="143"/>
      <c r="O18" s="144"/>
      <c r="P18" s="11"/>
      <c r="Q18" s="11"/>
      <c r="X18" s="240" t="s">
        <v>541</v>
      </c>
      <c r="Y18" s="240" t="s">
        <v>538</v>
      </c>
      <c r="Z18" s="240" t="s">
        <v>539</v>
      </c>
      <c r="AG18">
        <f>AG17/AG14</f>
        <v>0.125</v>
      </c>
    </row>
    <row r="19" spans="3:34" ht="18.5">
      <c r="C19" s="166"/>
      <c r="D19" s="146" t="s">
        <v>526</v>
      </c>
      <c r="E19" s="411">
        <f t="shared" si="1"/>
        <v>2.4999999999999996E-3</v>
      </c>
      <c r="F19" s="418"/>
      <c r="G19" s="418"/>
      <c r="H19" s="418"/>
      <c r="I19" s="143"/>
      <c r="J19" s="418"/>
      <c r="K19" s="418"/>
      <c r="M19" s="143"/>
      <c r="N19" s="143"/>
      <c r="O19" s="144"/>
      <c r="P19" s="11"/>
      <c r="Q19" s="11"/>
      <c r="W19" s="404" t="s">
        <v>527</v>
      </c>
      <c r="X19" s="240">
        <v>6.3E-2</v>
      </c>
      <c r="Y19" s="407">
        <v>63</v>
      </c>
      <c r="Z19" s="408">
        <f>Y19/(1000+$Y$31)</f>
        <v>1.2599999999999998E-2</v>
      </c>
      <c r="AB19" s="404" t="s">
        <v>528</v>
      </c>
      <c r="AC19" s="408">
        <f>Z20</f>
        <v>2.5299999999999996E-2</v>
      </c>
      <c r="AD19" s="240"/>
    </row>
    <row r="20" spans="3:34" ht="18.5">
      <c r="C20" s="166"/>
      <c r="D20" s="146" t="s">
        <v>297</v>
      </c>
      <c r="E20" s="411">
        <f t="shared" si="1"/>
        <v>9.5199999999999979E-2</v>
      </c>
      <c r="F20" s="417"/>
      <c r="G20" s="417"/>
      <c r="H20" s="417"/>
      <c r="I20" s="143"/>
      <c r="J20" s="417"/>
      <c r="K20" s="417"/>
      <c r="M20" s="143"/>
      <c r="N20" s="143"/>
      <c r="O20" s="144"/>
      <c r="P20" s="11"/>
      <c r="Q20" s="11"/>
      <c r="W20" s="404" t="s">
        <v>528</v>
      </c>
      <c r="X20" s="240">
        <v>0.1265</v>
      </c>
      <c r="Y20" s="407">
        <v>126.5</v>
      </c>
      <c r="Z20" s="408">
        <f t="shared" ref="Z20:Z27" si="3">Y20/(1000+$Y$31)</f>
        <v>2.5299999999999996E-2</v>
      </c>
      <c r="AB20" s="404" t="s">
        <v>163</v>
      </c>
      <c r="AC20" s="408">
        <f>Z21</f>
        <v>1.8999999999999996E-3</v>
      </c>
      <c r="AD20" s="240"/>
    </row>
    <row r="21" spans="3:34" ht="18.5">
      <c r="C21" s="166"/>
      <c r="D21" s="146" t="s">
        <v>164</v>
      </c>
      <c r="E21" s="411">
        <f t="shared" si="1"/>
        <v>3.0889999999999993E-3</v>
      </c>
      <c r="F21" s="417"/>
      <c r="G21" s="417"/>
      <c r="H21" s="417"/>
      <c r="I21" s="197"/>
      <c r="J21" s="417"/>
      <c r="K21" s="417"/>
      <c r="M21" s="143"/>
      <c r="N21" s="143"/>
      <c r="O21" s="144"/>
      <c r="P21" s="11"/>
      <c r="Q21" s="11"/>
      <c r="T21" s="403">
        <f>SUM(T15:AB15)</f>
        <v>1000</v>
      </c>
      <c r="W21" s="404" t="s">
        <v>163</v>
      </c>
      <c r="X21" s="240">
        <v>9.4999999999999998E-3</v>
      </c>
      <c r="Y21" s="407">
        <v>9.5</v>
      </c>
      <c r="Z21" s="408">
        <f t="shared" si="3"/>
        <v>1.8999999999999996E-3</v>
      </c>
      <c r="AB21" s="404" t="s">
        <v>161</v>
      </c>
      <c r="AC21" s="240">
        <f>(1.02 + 2.92)/(2*100)</f>
        <v>1.9699999999999999E-2</v>
      </c>
      <c r="AD21" s="240"/>
    </row>
    <row r="22" spans="3:34" ht="18.5">
      <c r="C22" s="166"/>
      <c r="D22" s="146" t="s">
        <v>527</v>
      </c>
      <c r="E22" s="411">
        <f t="shared" si="1"/>
        <v>3.5210999999999978E-2</v>
      </c>
      <c r="F22" s="418"/>
      <c r="G22" s="418"/>
      <c r="H22" s="418"/>
      <c r="I22" s="143"/>
      <c r="J22" s="418"/>
      <c r="K22" s="418"/>
      <c r="M22" s="143"/>
      <c r="N22" s="143"/>
      <c r="O22" s="144"/>
      <c r="P22" s="11"/>
      <c r="Q22" s="11"/>
      <c r="T22" s="403">
        <f>SUM(T16:AB16)</f>
        <v>1</v>
      </c>
      <c r="W22" s="404" t="s">
        <v>529</v>
      </c>
      <c r="X22" s="240">
        <v>1.2500000000000001E-2</v>
      </c>
      <c r="Y22" s="407">
        <v>12.5</v>
      </c>
      <c r="Z22" s="408">
        <f t="shared" si="3"/>
        <v>2.4999999999999996E-3</v>
      </c>
      <c r="AB22" s="409" t="s">
        <v>453</v>
      </c>
      <c r="AC22" s="408">
        <f>Z23</f>
        <v>1.0499999999999999E-2</v>
      </c>
      <c r="AD22" s="240"/>
    </row>
    <row r="23" spans="3:34" ht="18.5">
      <c r="C23" s="166"/>
      <c r="D23" s="146" t="s">
        <v>14</v>
      </c>
      <c r="E23" s="411">
        <f t="shared" si="1"/>
        <v>0.8</v>
      </c>
      <c r="F23" s="417">
        <v>1</v>
      </c>
      <c r="G23" s="417"/>
      <c r="H23" s="422">
        <f>1-H26-H29</f>
        <v>0.97405063291139238</v>
      </c>
      <c r="I23" s="143"/>
      <c r="J23" s="417"/>
      <c r="K23" s="417"/>
      <c r="M23" s="143"/>
      <c r="N23" s="143"/>
      <c r="O23" s="144"/>
      <c r="P23" s="11"/>
      <c r="Q23" s="11"/>
      <c r="W23" s="404" t="s">
        <v>530</v>
      </c>
      <c r="X23" s="240">
        <v>5.2499999999999998E-2</v>
      </c>
      <c r="Y23" s="407">
        <v>52.5</v>
      </c>
      <c r="Z23" s="408">
        <f t="shared" si="3"/>
        <v>1.0499999999999999E-2</v>
      </c>
      <c r="AB23" s="409" t="s">
        <v>525</v>
      </c>
      <c r="AC23" s="408">
        <f>Z24</f>
        <v>6.5999999999999991E-3</v>
      </c>
      <c r="AD23" s="240"/>
    </row>
    <row r="24" spans="3:34" ht="18.5">
      <c r="C24" s="166"/>
      <c r="D24" s="146" t="s">
        <v>4</v>
      </c>
      <c r="E24" s="412"/>
      <c r="F24" s="417"/>
      <c r="G24" s="417">
        <v>0.22</v>
      </c>
      <c r="H24" s="417"/>
      <c r="I24" s="143"/>
      <c r="J24" s="417"/>
      <c r="K24" s="417"/>
      <c r="M24" s="143"/>
      <c r="N24" s="143"/>
      <c r="O24" s="144"/>
      <c r="P24" s="11"/>
      <c r="V24" s="11" t="s">
        <v>22</v>
      </c>
      <c r="W24" s="404" t="s">
        <v>531</v>
      </c>
      <c r="X24" s="240">
        <v>3.3000000000000002E-2</v>
      </c>
      <c r="Y24" s="407">
        <v>33</v>
      </c>
      <c r="Z24" s="408">
        <f t="shared" si="3"/>
        <v>6.5999999999999991E-3</v>
      </c>
      <c r="AB24" s="409" t="s">
        <v>526</v>
      </c>
      <c r="AC24" s="408">
        <f>Z22</f>
        <v>2.4999999999999996E-3</v>
      </c>
      <c r="AD24" s="240"/>
    </row>
    <row r="25" spans="3:34" ht="18.5">
      <c r="C25" s="166"/>
      <c r="D25" s="146" t="s">
        <v>17</v>
      </c>
      <c r="E25" s="412"/>
      <c r="F25" s="419"/>
      <c r="G25" s="417">
        <v>0.78</v>
      </c>
      <c r="H25" s="423"/>
      <c r="I25" s="143"/>
      <c r="J25" s="417"/>
      <c r="K25" s="417"/>
      <c r="M25" s="143"/>
      <c r="N25" s="143"/>
      <c r="O25" s="144"/>
      <c r="P25" s="11"/>
      <c r="Q25" s="11"/>
      <c r="W25" s="404" t="s">
        <v>297</v>
      </c>
      <c r="X25" s="240">
        <v>0.47599999999999998</v>
      </c>
      <c r="Y25" s="407">
        <v>476</v>
      </c>
      <c r="Z25" s="408">
        <f t="shared" si="3"/>
        <v>9.5199999999999979E-2</v>
      </c>
      <c r="AB25" s="409" t="s">
        <v>297</v>
      </c>
      <c r="AC25" s="408">
        <f>Z25</f>
        <v>9.5199999999999979E-2</v>
      </c>
      <c r="AD25" s="240"/>
    </row>
    <row r="26" spans="3:34" ht="18.5">
      <c r="C26" s="166"/>
      <c r="D26" s="146" t="s">
        <v>486</v>
      </c>
      <c r="E26" s="413"/>
      <c r="F26" s="417"/>
      <c r="G26" s="417"/>
      <c r="H26" s="423">
        <v>0.02</v>
      </c>
      <c r="I26" s="143"/>
      <c r="J26" s="417"/>
      <c r="K26" s="417"/>
      <c r="M26" s="143"/>
      <c r="N26" s="143"/>
      <c r="O26" s="270"/>
      <c r="P26" s="11"/>
      <c r="Q26" s="11"/>
      <c r="W26" s="404" t="s">
        <v>532</v>
      </c>
      <c r="X26" s="240">
        <v>1.5445E-2</v>
      </c>
      <c r="Y26" s="407">
        <v>15.445</v>
      </c>
      <c r="Z26" s="408">
        <f t="shared" si="3"/>
        <v>3.0889999999999993E-3</v>
      </c>
      <c r="AB26" s="409" t="s">
        <v>164</v>
      </c>
      <c r="AC26" s="408">
        <f>Z26</f>
        <v>3.0889999999999993E-3</v>
      </c>
      <c r="AD26" s="240"/>
    </row>
    <row r="27" spans="3:34" ht="18.5">
      <c r="C27" s="166"/>
      <c r="D27" s="146" t="s">
        <v>423</v>
      </c>
      <c r="E27" s="413"/>
      <c r="F27" s="417"/>
      <c r="G27" s="417"/>
      <c r="H27" s="417"/>
      <c r="I27" s="143"/>
      <c r="J27" s="417"/>
      <c r="K27" s="417"/>
      <c r="M27" s="197"/>
      <c r="N27" s="197"/>
      <c r="O27" s="270"/>
      <c r="P27" s="11"/>
      <c r="Q27" s="11"/>
      <c r="W27" s="405" t="s">
        <v>533</v>
      </c>
      <c r="X27" s="240">
        <v>0.21155499999999994</v>
      </c>
      <c r="Y27" s="407">
        <v>211.55499999999995</v>
      </c>
      <c r="Z27" s="408">
        <f t="shared" si="3"/>
        <v>4.2310999999999981E-2</v>
      </c>
      <c r="AB27" s="409" t="s">
        <v>294</v>
      </c>
      <c r="AC27" s="408">
        <f>Z19+Z27-AC21</f>
        <v>3.5210999999999978E-2</v>
      </c>
      <c r="AD27" s="240"/>
    </row>
    <row r="28" spans="3:34" ht="18.5">
      <c r="C28" s="166"/>
      <c r="D28" s="146" t="s">
        <v>431</v>
      </c>
      <c r="E28" s="413"/>
      <c r="F28" s="417"/>
      <c r="G28" s="417"/>
      <c r="H28" s="417"/>
      <c r="I28" s="197"/>
      <c r="J28" s="417"/>
      <c r="K28" s="417"/>
      <c r="M28" s="197"/>
      <c r="N28" s="197"/>
      <c r="O28" s="270"/>
      <c r="P28" s="11"/>
      <c r="Q28" s="11"/>
      <c r="Z28" s="408"/>
      <c r="AB28" s="409" t="s">
        <v>14</v>
      </c>
      <c r="AC28" s="240">
        <f>Z31</f>
        <v>0.8</v>
      </c>
      <c r="AD28" s="240"/>
    </row>
    <row r="29" spans="3:34" ht="18.5">
      <c r="C29" s="166"/>
      <c r="D29" s="146" t="s">
        <v>497</v>
      </c>
      <c r="E29" s="414"/>
      <c r="F29" s="418"/>
      <c r="G29" s="418"/>
      <c r="H29" s="422">
        <f>4.7/790</f>
        <v>5.9493670886075949E-3</v>
      </c>
      <c r="I29" s="197"/>
      <c r="J29" s="418"/>
      <c r="K29" s="418"/>
      <c r="M29" s="197"/>
      <c r="N29" s="197"/>
      <c r="O29" s="270"/>
      <c r="P29" s="11"/>
      <c r="Q29" s="11"/>
      <c r="W29" s="404" t="s">
        <v>537</v>
      </c>
      <c r="X29" s="531">
        <f>0.8</f>
        <v>0.8</v>
      </c>
      <c r="Z29" s="406"/>
    </row>
    <row r="30" spans="3:34" ht="18.5">
      <c r="C30" s="166"/>
      <c r="D30" s="146" t="s">
        <v>15</v>
      </c>
      <c r="E30" s="414"/>
      <c r="F30" s="418"/>
      <c r="G30" s="418"/>
      <c r="H30" s="418"/>
      <c r="I30" s="197"/>
      <c r="J30" s="418"/>
      <c r="K30" s="418"/>
      <c r="M30" s="197"/>
      <c r="N30" s="197"/>
      <c r="O30" s="270"/>
      <c r="P30" s="11"/>
      <c r="Q30" s="11"/>
      <c r="AB30" s="408" t="s">
        <v>543</v>
      </c>
      <c r="AC30" s="391">
        <f>SUM(AC19:AC28)</f>
        <v>1</v>
      </c>
    </row>
    <row r="31" spans="3:34" ht="18.5">
      <c r="C31" s="166"/>
      <c r="D31" s="146" t="s">
        <v>185</v>
      </c>
      <c r="E31" s="414"/>
      <c r="F31" s="418"/>
      <c r="G31" s="418"/>
      <c r="H31" s="418"/>
      <c r="I31" s="197"/>
      <c r="J31" s="418"/>
      <c r="K31" s="418"/>
      <c r="M31" s="197"/>
      <c r="N31" s="197"/>
      <c r="O31" s="270"/>
      <c r="P31" s="11"/>
      <c r="Q31" s="11"/>
      <c r="X31" s="240" t="s">
        <v>540</v>
      </c>
      <c r="Y31" s="403">
        <f>X29*1000/(1-X29)</f>
        <v>4000.0000000000009</v>
      </c>
      <c r="Z31">
        <f>Y31/(Y31+1000)</f>
        <v>0.8</v>
      </c>
    </row>
    <row r="32" spans="3:34" ht="18.5">
      <c r="C32" s="166"/>
      <c r="D32" s="146" t="s">
        <v>586</v>
      </c>
      <c r="E32" s="414"/>
      <c r="F32" s="418"/>
      <c r="G32" s="418"/>
      <c r="H32" s="418"/>
      <c r="I32" s="197">
        <v>0.1</v>
      </c>
      <c r="J32" s="418"/>
      <c r="K32" s="418"/>
      <c r="M32" s="197"/>
      <c r="N32" s="197"/>
      <c r="O32" s="270"/>
      <c r="P32" s="11"/>
      <c r="Q32" s="11"/>
      <c r="X32" s="240" t="s">
        <v>542</v>
      </c>
    </row>
    <row r="33" spans="2:26" ht="18.5">
      <c r="C33" s="166"/>
      <c r="D33" s="146" t="s">
        <v>587</v>
      </c>
      <c r="E33" s="414"/>
      <c r="F33" s="418"/>
      <c r="G33" s="418"/>
      <c r="H33" s="418"/>
      <c r="I33" s="197">
        <f>1-I32</f>
        <v>0.9</v>
      </c>
      <c r="J33" s="418"/>
      <c r="K33" s="418"/>
      <c r="M33" s="197"/>
      <c r="N33" s="197"/>
      <c r="O33" s="270"/>
      <c r="P33" s="11"/>
      <c r="Q33" s="11"/>
    </row>
    <row r="34" spans="2:26">
      <c r="C34" s="166"/>
      <c r="D34" s="166"/>
      <c r="E34" s="414"/>
      <c r="F34" s="418"/>
      <c r="G34" s="418"/>
      <c r="H34" s="418"/>
      <c r="I34" s="197"/>
      <c r="J34" s="418"/>
      <c r="K34" s="418"/>
      <c r="M34" s="197"/>
      <c r="N34" s="197"/>
      <c r="O34" s="270"/>
      <c r="P34" s="11"/>
      <c r="Q34" s="11"/>
      <c r="Z34" s="391">
        <f>SUM(Z19:Z31)</f>
        <v>1</v>
      </c>
    </row>
    <row r="35" spans="2:26">
      <c r="C35" s="166"/>
      <c r="D35" s="166"/>
      <c r="E35" s="414"/>
      <c r="F35" s="418"/>
      <c r="G35" s="418"/>
      <c r="H35" s="418"/>
      <c r="I35" s="197"/>
      <c r="J35" s="418"/>
      <c r="K35" s="418"/>
      <c r="M35" s="197"/>
      <c r="N35" s="197"/>
      <c r="O35" s="270"/>
      <c r="P35" s="11"/>
      <c r="Q35" s="11"/>
    </row>
    <row r="36" spans="2:26" ht="15" thickBot="1">
      <c r="C36" s="167"/>
      <c r="D36" s="167"/>
      <c r="E36" s="415"/>
      <c r="F36" s="420"/>
      <c r="G36" s="420"/>
      <c r="H36" s="420"/>
      <c r="I36" s="155"/>
      <c r="J36" s="420"/>
      <c r="K36" s="420"/>
      <c r="M36" s="155"/>
      <c r="N36" s="155"/>
      <c r="O36" s="271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450</v>
      </c>
      <c r="E41" s="302" t="s">
        <v>451</v>
      </c>
      <c r="M41" s="302" t="s">
        <v>452</v>
      </c>
      <c r="O41" t="s">
        <v>434</v>
      </c>
    </row>
    <row r="43" spans="2:26">
      <c r="C43" s="302"/>
    </row>
    <row r="44" spans="2:26">
      <c r="N44" s="11"/>
    </row>
    <row r="64" spans="8:8">
      <c r="H64">
        <f>1.5/(100-84)</f>
        <v>9.375E-2</v>
      </c>
    </row>
    <row r="67" spans="3:18">
      <c r="C67" t="s">
        <v>424</v>
      </c>
      <c r="D67" s="298" t="s">
        <v>425</v>
      </c>
    </row>
    <row r="68" spans="3:18">
      <c r="Q68">
        <v>43.3</v>
      </c>
      <c r="R68" t="s">
        <v>487</v>
      </c>
    </row>
    <row r="69" spans="3:18">
      <c r="Q69">
        <v>13</v>
      </c>
      <c r="R69" t="s">
        <v>488</v>
      </c>
    </row>
    <row r="70" spans="3:18">
      <c r="Q70">
        <f>Q68+Q69</f>
        <v>56.3</v>
      </c>
      <c r="R70" t="s">
        <v>489</v>
      </c>
    </row>
    <row r="72" spans="3:18">
      <c r="Q72">
        <f>Q68/Q70</f>
        <v>0.76909413854351683</v>
      </c>
      <c r="R72" t="s">
        <v>490</v>
      </c>
    </row>
    <row r="93" spans="3:7">
      <c r="C93" s="298" t="s">
        <v>432</v>
      </c>
      <c r="G93" t="s">
        <v>433</v>
      </c>
    </row>
    <row r="123" spans="3:14" ht="15" thickBot="1"/>
    <row r="124" spans="3:14">
      <c r="C124" t="s">
        <v>491</v>
      </c>
      <c r="D124" s="298" t="s">
        <v>496</v>
      </c>
      <c r="J124" s="585" t="s">
        <v>640</v>
      </c>
      <c r="K124" s="586"/>
      <c r="L124" s="586"/>
      <c r="M124" s="586"/>
      <c r="N124" s="587"/>
    </row>
    <row r="125" spans="3:14">
      <c r="C125">
        <v>41</v>
      </c>
      <c r="D125" t="s">
        <v>492</v>
      </c>
      <c r="J125" s="583">
        <v>281422</v>
      </c>
      <c r="K125" s="584" t="s">
        <v>641</v>
      </c>
      <c r="L125" s="584" t="s">
        <v>644</v>
      </c>
      <c r="M125" s="588">
        <f>J128*11.8</f>
        <v>3933.3333333333335</v>
      </c>
      <c r="N125" s="589" t="s">
        <v>645</v>
      </c>
    </row>
    <row r="126" spans="3:14">
      <c r="C126" s="299">
        <f>C125/35.273962</f>
        <v>1.1623304464635984</v>
      </c>
      <c r="D126" t="s">
        <v>639</v>
      </c>
      <c r="J126" s="583">
        <v>8000</v>
      </c>
      <c r="K126" s="584" t="s">
        <v>273</v>
      </c>
      <c r="L126" s="584"/>
      <c r="M126" s="584">
        <f>J125/M125</f>
        <v>71.547966101694911</v>
      </c>
      <c r="N126" s="589" t="s">
        <v>646</v>
      </c>
    </row>
    <row r="127" spans="3:14">
      <c r="C127">
        <f>1.5*0.96</f>
        <v>1.44</v>
      </c>
      <c r="D127" t="s">
        <v>493</v>
      </c>
      <c r="J127" s="583">
        <v>24</v>
      </c>
      <c r="K127" s="584" t="s">
        <v>642</v>
      </c>
      <c r="L127" s="584"/>
      <c r="M127" s="584"/>
      <c r="N127" s="589"/>
    </row>
    <row r="128" spans="3:14" ht="15" thickBot="1">
      <c r="C128" s="391">
        <f>C127/C126</f>
        <v>1.2388903726829266</v>
      </c>
      <c r="D128" t="s">
        <v>494</v>
      </c>
      <c r="J128" s="590">
        <f>J126/J127</f>
        <v>333.33333333333331</v>
      </c>
      <c r="K128" s="591" t="s">
        <v>643</v>
      </c>
      <c r="L128" s="591"/>
      <c r="M128" s="591"/>
      <c r="N128" s="592"/>
    </row>
    <row r="129" spans="3:4">
      <c r="C129" s="392">
        <f>C128*1000</f>
        <v>1238.8903726829265</v>
      </c>
      <c r="D129" t="s">
        <v>495</v>
      </c>
    </row>
    <row r="148" spans="3:4">
      <c r="C148" s="298" t="s">
        <v>577</v>
      </c>
    </row>
    <row r="158" spans="3:4" ht="15" thickBot="1"/>
    <row r="159" spans="3:4" ht="15" thickBot="1">
      <c r="C159" s="242" t="s">
        <v>582</v>
      </c>
      <c r="D159" s="466"/>
    </row>
    <row r="160" spans="3:4">
      <c r="C160" s="467">
        <v>50</v>
      </c>
      <c r="D160" s="468" t="s">
        <v>578</v>
      </c>
    </row>
    <row r="161" spans="3:11">
      <c r="C161" s="467">
        <v>1.2</v>
      </c>
      <c r="D161" s="468" t="s">
        <v>317</v>
      </c>
    </row>
    <row r="162" spans="3:11">
      <c r="C162" s="467">
        <f>C161*C160</f>
        <v>60</v>
      </c>
      <c r="D162" s="468" t="s">
        <v>579</v>
      </c>
    </row>
    <row r="163" spans="3:11">
      <c r="C163" s="467">
        <v>160</v>
      </c>
      <c r="D163" s="468" t="s">
        <v>580</v>
      </c>
    </row>
    <row r="164" spans="3:11" ht="15" thickBot="1">
      <c r="C164" s="469">
        <f>121 / 100</f>
        <v>1.21</v>
      </c>
      <c r="D164" s="468" t="s">
        <v>581</v>
      </c>
      <c r="E164" s="298"/>
      <c r="F164">
        <f>60/1000</f>
        <v>0.06</v>
      </c>
      <c r="G164" t="s">
        <v>581</v>
      </c>
    </row>
    <row r="165" spans="3:11" ht="15" thickBot="1">
      <c r="C165" s="471">
        <f>C164*1000000</f>
        <v>1210000</v>
      </c>
      <c r="D165" s="470" t="s">
        <v>290</v>
      </c>
      <c r="F165">
        <f>F164*1000</f>
        <v>60</v>
      </c>
      <c r="G165" t="s">
        <v>192</v>
      </c>
      <c r="I165" s="573"/>
      <c r="J165" s="574"/>
      <c r="K165" s="575"/>
    </row>
    <row r="166" spans="3:11" ht="15" thickBot="1">
      <c r="I166" s="576" t="s">
        <v>653</v>
      </c>
      <c r="J166" s="531"/>
      <c r="K166" s="577"/>
    </row>
    <row r="167" spans="3:11" ht="15" thickBot="1">
      <c r="C167" s="242" t="s">
        <v>583</v>
      </c>
      <c r="D167" s="466"/>
      <c r="I167" s="578" t="s">
        <v>654</v>
      </c>
      <c r="J167" s="531"/>
      <c r="K167" s="577"/>
    </row>
    <row r="168" spans="3:11">
      <c r="C168" s="467">
        <v>500</v>
      </c>
      <c r="D168" s="468" t="s">
        <v>584</v>
      </c>
      <c r="I168" s="576"/>
      <c r="J168" s="531"/>
      <c r="K168" s="577"/>
    </row>
    <row r="169" spans="3:11">
      <c r="C169" s="467">
        <v>363</v>
      </c>
      <c r="D169" s="468" t="s">
        <v>585</v>
      </c>
      <c r="I169" s="576">
        <v>16</v>
      </c>
      <c r="J169" s="531" t="s">
        <v>655</v>
      </c>
      <c r="K169" s="577"/>
    </row>
    <row r="170" spans="3:11">
      <c r="C170" s="467">
        <f>C169/C168</f>
        <v>0.72599999999999998</v>
      </c>
      <c r="D170" s="468" t="s">
        <v>581</v>
      </c>
      <c r="I170" s="576">
        <f xml:space="preserve"> I169*0.98</f>
        <v>15.68</v>
      </c>
      <c r="J170" s="531" t="s">
        <v>656</v>
      </c>
      <c r="K170" s="577"/>
    </row>
    <row r="171" spans="3:11" ht="15" thickBot="1">
      <c r="C171" s="476">
        <f>C170*1000000</f>
        <v>726000</v>
      </c>
      <c r="D171" s="470" t="s">
        <v>290</v>
      </c>
      <c r="I171" s="579">
        <f>I170/0.453</f>
        <v>34.613686534216335</v>
      </c>
      <c r="J171" s="531" t="s">
        <v>657</v>
      </c>
      <c r="K171" s="577"/>
    </row>
    <row r="172" spans="3:11" ht="15" thickBot="1">
      <c r="I172" s="579">
        <f>I171*1000</f>
        <v>34613.686534216336</v>
      </c>
      <c r="J172" s="531" t="s">
        <v>290</v>
      </c>
      <c r="K172" s="577"/>
    </row>
    <row r="173" spans="3:11" ht="15" thickBot="1">
      <c r="C173" s="242" t="s">
        <v>104</v>
      </c>
      <c r="D173" s="473"/>
      <c r="E173" s="466"/>
      <c r="I173" s="576"/>
      <c r="J173" s="531"/>
      <c r="K173" s="577"/>
    </row>
    <row r="174" spans="3:11">
      <c r="C174" s="467" t="s">
        <v>591</v>
      </c>
      <c r="E174" s="468"/>
      <c r="I174" s="576"/>
      <c r="J174" s="531"/>
      <c r="K174" s="577"/>
    </row>
    <row r="175" spans="3:11">
      <c r="C175" s="467" t="s">
        <v>592</v>
      </c>
      <c r="E175" s="468"/>
      <c r="I175" s="576"/>
      <c r="J175" s="531"/>
      <c r="K175" s="577"/>
    </row>
    <row r="176" spans="3:11">
      <c r="C176" s="467" t="s">
        <v>593</v>
      </c>
      <c r="E176" s="468"/>
      <c r="I176" s="583" t="s">
        <v>658</v>
      </c>
      <c r="J176" s="584"/>
      <c r="K176" s="577"/>
    </row>
    <row r="177" spans="3:11" ht="15" thickBot="1">
      <c r="C177" s="312"/>
      <c r="D177" s="474"/>
      <c r="E177" s="470"/>
      <c r="I177" s="576"/>
      <c r="J177" s="531"/>
      <c r="K177" s="577"/>
    </row>
    <row r="178" spans="3:11" ht="15" thickBot="1">
      <c r="C178" s="475">
        <f>20/700</f>
        <v>2.8571428571428571E-2</v>
      </c>
      <c r="D178" s="473" t="s">
        <v>589</v>
      </c>
      <c r="E178" s="466"/>
      <c r="I178" s="580"/>
      <c r="J178" s="581"/>
      <c r="K178" s="582"/>
    </row>
    <row r="179" spans="3:11">
      <c r="C179" s="467">
        <f xml:space="preserve"> 2 /1000</f>
        <v>2E-3</v>
      </c>
      <c r="D179" t="s">
        <v>590</v>
      </c>
      <c r="E179" s="468"/>
    </row>
    <row r="180" spans="3:11" ht="15" thickBot="1">
      <c r="C180">
        <f>C179*0.3</f>
        <v>5.9999999999999995E-4</v>
      </c>
      <c r="D180" t="s">
        <v>595</v>
      </c>
      <c r="E180" s="470"/>
    </row>
    <row r="181" spans="3:11" ht="15" thickBot="1">
      <c r="C181" s="476">
        <f>C179/C178</f>
        <v>7.0000000000000007E-2</v>
      </c>
      <c r="D181" s="474" t="s">
        <v>594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  <hyperlink ref="I167" r:id="rId5" display="https://www.northernbrewer.com/products/amylase-enzyme-1-lb" xr:uid="{A19DEF9A-F9EF-4ECD-9D63-0F7F98382811}"/>
  </hyperlinks>
  <pageMargins left="0.7" right="0.7" top="0.78740157499999996" bottom="0.78740157499999996" header="0.3" footer="0.3"/>
  <pageSetup paperSize="9" orientation="portrait" r:id="rId6"/>
  <drawing r:id="rId7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81640625" defaultRowHeight="14.5"/>
  <cols>
    <col min="4" max="4" width="17.81640625" bestFit="1" customWidth="1"/>
    <col min="5" max="5" width="17" bestFit="1" customWidth="1"/>
    <col min="6" max="6" width="13" bestFit="1" customWidth="1"/>
    <col min="8" max="8" width="12.36328125" bestFit="1" customWidth="1"/>
    <col min="9" max="9" width="14.1796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667" t="s">
        <v>110</v>
      </c>
      <c r="E5" s="668"/>
      <c r="F5" s="668"/>
      <c r="G5" s="668"/>
      <c r="H5" s="668"/>
      <c r="I5" s="668"/>
      <c r="J5" s="668"/>
      <c r="K5" s="668"/>
      <c r="L5" s="668"/>
      <c r="M5" s="668"/>
      <c r="N5" s="668"/>
      <c r="O5" s="669"/>
      <c r="P5" s="11"/>
      <c r="Q5" s="11"/>
    </row>
    <row r="6" spans="3:17" ht="18.5">
      <c r="C6" s="11"/>
      <c r="D6" s="205" t="s">
        <v>1</v>
      </c>
      <c r="E6" s="198" t="s">
        <v>522</v>
      </c>
      <c r="F6" s="198" t="s">
        <v>324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.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.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.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.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.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.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.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.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.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.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.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.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.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.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.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9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J11" sqref="J11"/>
    </sheetView>
  </sheetViews>
  <sheetFormatPr defaultRowHeight="14.5"/>
  <cols>
    <col min="2" max="2" width="24.54296875" bestFit="1" customWidth="1"/>
    <col min="3" max="3" width="36.36328125" customWidth="1"/>
    <col min="4" max="4" width="24.1796875" bestFit="1" customWidth="1"/>
    <col min="5" max="5" width="15.6328125" bestFit="1" customWidth="1"/>
    <col min="6" max="6" width="13.453125" bestFit="1" customWidth="1"/>
    <col min="7" max="7" width="21.08984375" bestFit="1" customWidth="1"/>
    <col min="8" max="8" width="16.81640625" bestFit="1" customWidth="1"/>
    <col min="9" max="9" width="17" bestFit="1" customWidth="1"/>
    <col min="10" max="10" width="22.81640625" bestFit="1" customWidth="1"/>
    <col min="11" max="11" width="19.1796875" bestFit="1" customWidth="1"/>
    <col min="12" max="12" width="29.36328125" bestFit="1" customWidth="1"/>
    <col min="13" max="13" width="16.1796875" bestFit="1" customWidth="1"/>
    <col min="14" max="14" width="14.08984375" bestFit="1" customWidth="1"/>
    <col min="15" max="15" width="14.81640625" bestFit="1" customWidth="1"/>
    <col min="16" max="16" width="21.54296875" bestFit="1" customWidth="1"/>
    <col min="17" max="17" width="15.6328125" bestFit="1" customWidth="1"/>
    <col min="18" max="18" width="15.81640625" bestFit="1" customWidth="1"/>
    <col min="19" max="19" width="20.81640625" bestFit="1" customWidth="1"/>
    <col min="20" max="20" width="25" bestFit="1" customWidth="1"/>
    <col min="21" max="21" width="29.54296875" bestFit="1" customWidth="1"/>
  </cols>
  <sheetData>
    <row r="2" spans="2:31" ht="15" thickBot="1"/>
    <row r="3" spans="2:31" ht="21.5" thickBot="1">
      <c r="C3" s="643" t="s">
        <v>374</v>
      </c>
      <c r="D3" s="644"/>
      <c r="E3" s="644"/>
      <c r="F3" s="644"/>
      <c r="G3" s="645"/>
      <c r="H3" s="11"/>
      <c r="I3" s="11"/>
      <c r="J3" s="11"/>
      <c r="L3" s="670" t="s">
        <v>373</v>
      </c>
      <c r="M3" s="671"/>
      <c r="N3" s="671"/>
      <c r="O3" s="671"/>
      <c r="P3" s="672"/>
      <c r="U3" s="389"/>
    </row>
    <row r="4" spans="2:31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5" spans="2:31">
      <c r="J5" s="403">
        <f>I10-H10</f>
        <v>1500</v>
      </c>
      <c r="T5" t="e">
        <f>#REF!/2</f>
        <v>#REF!</v>
      </c>
      <c r="V5" t="e">
        <f>#REF!*2</f>
        <v>#REF!</v>
      </c>
    </row>
    <row r="6" spans="2:31">
      <c r="J6">
        <f>J5/J10</f>
        <v>75</v>
      </c>
      <c r="AB6" s="340"/>
      <c r="AC6" s="340" t="s">
        <v>352</v>
      </c>
      <c r="AD6" s="340"/>
      <c r="AE6" s="340"/>
    </row>
    <row r="7" spans="2:31" ht="15" thickBot="1">
      <c r="K7" s="295"/>
      <c r="AA7" s="340"/>
      <c r="AB7" s="340"/>
      <c r="AC7" s="340"/>
      <c r="AD7" s="340"/>
      <c r="AE7" s="340"/>
    </row>
    <row r="8" spans="2:31" ht="15" thickBot="1">
      <c r="C8" s="329"/>
      <c r="D8" s="660" t="s">
        <v>342</v>
      </c>
      <c r="E8" s="663"/>
      <c r="F8" s="663"/>
      <c r="G8" s="663"/>
      <c r="H8" s="660" t="s">
        <v>371</v>
      </c>
      <c r="I8" s="663"/>
      <c r="J8" s="661"/>
      <c r="K8" s="344"/>
      <c r="L8" s="329"/>
      <c r="M8" s="660" t="s">
        <v>342</v>
      </c>
      <c r="N8" s="663"/>
      <c r="O8" s="663"/>
      <c r="P8" s="663"/>
      <c r="Q8" s="660" t="s">
        <v>371</v>
      </c>
      <c r="R8" s="663"/>
      <c r="S8" s="661"/>
      <c r="AA8" s="340"/>
      <c r="AB8" s="340"/>
      <c r="AC8" s="340"/>
      <c r="AD8" s="340"/>
      <c r="AE8" s="340"/>
    </row>
    <row r="9" spans="2:31" ht="19" thickBot="1">
      <c r="C9" s="324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4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502" t="s">
        <v>610</v>
      </c>
      <c r="C10" s="166" t="s">
        <v>346</v>
      </c>
      <c r="D10" s="278">
        <v>6000</v>
      </c>
      <c r="E10" s="297" t="s">
        <v>268</v>
      </c>
      <c r="F10" s="278" t="s">
        <v>268</v>
      </c>
      <c r="G10" s="278" t="s">
        <v>268</v>
      </c>
      <c r="H10" s="555">
        <v>4500</v>
      </c>
      <c r="I10" s="555">
        <v>6000</v>
      </c>
      <c r="J10" s="278">
        <v>20</v>
      </c>
      <c r="K10" s="11" t="s">
        <v>633</v>
      </c>
      <c r="L10" s="539" t="s">
        <v>253</v>
      </c>
      <c r="M10" s="545">
        <v>510</v>
      </c>
      <c r="N10" s="545" t="s">
        <v>523</v>
      </c>
      <c r="O10" s="545" t="s">
        <v>268</v>
      </c>
      <c r="P10" s="545">
        <v>11</v>
      </c>
      <c r="Q10" s="545">
        <v>0.25</v>
      </c>
      <c r="R10" s="276">
        <v>0.5</v>
      </c>
      <c r="S10" s="276">
        <v>10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39" t="s">
        <v>254</v>
      </c>
      <c r="M11" s="540">
        <v>11</v>
      </c>
      <c r="N11" s="541" t="s">
        <v>297</v>
      </c>
      <c r="O11" s="540" t="s">
        <v>268</v>
      </c>
      <c r="P11" s="540" t="s">
        <v>268</v>
      </c>
      <c r="Q11" s="540">
        <v>7.0000000000000007E-2</v>
      </c>
      <c r="R11" s="243">
        <v>0.12</v>
      </c>
      <c r="S11" s="243">
        <v>10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346</v>
      </c>
      <c r="M13" s="276">
        <v>9700</v>
      </c>
      <c r="N13" s="273" t="s">
        <v>268</v>
      </c>
      <c r="O13" s="276" t="s">
        <v>268</v>
      </c>
      <c r="P13" s="276" t="s">
        <v>268</v>
      </c>
      <c r="Q13" s="269">
        <v>1200</v>
      </c>
      <c r="R13" s="276">
        <v>1800</v>
      </c>
      <c r="S13" s="276">
        <v>5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377</v>
      </c>
      <c r="M14" s="243" t="s">
        <v>268</v>
      </c>
      <c r="N14" s="347" t="s">
        <v>268</v>
      </c>
      <c r="O14" s="243" t="s">
        <v>268</v>
      </c>
      <c r="P14" s="243" t="s">
        <v>268</v>
      </c>
      <c r="Q14" s="247">
        <v>87</v>
      </c>
      <c r="R14" s="243">
        <v>200</v>
      </c>
      <c r="S14" s="243">
        <v>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8"/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502"/>
      <c r="C16" s="166"/>
      <c r="D16" s="278"/>
      <c r="E16" s="297"/>
      <c r="F16" s="278"/>
      <c r="G16" s="278"/>
      <c r="H16" s="533"/>
      <c r="I16" s="533"/>
      <c r="J16" s="278"/>
      <c r="K16" s="240"/>
      <c r="L16" s="290" t="s">
        <v>252</v>
      </c>
      <c r="M16" s="540">
        <v>300</v>
      </c>
      <c r="N16" s="541" t="s">
        <v>161</v>
      </c>
      <c r="O16" s="540">
        <v>320</v>
      </c>
      <c r="P16" s="540" t="s">
        <v>268</v>
      </c>
      <c r="Q16" s="540">
        <v>0.9</v>
      </c>
      <c r="R16" s="545">
        <v>0.2</v>
      </c>
      <c r="S16" s="540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346</v>
      </c>
      <c r="M17" s="545">
        <v>3000</v>
      </c>
      <c r="N17" s="541" t="s">
        <v>268</v>
      </c>
      <c r="O17" s="540" t="s">
        <v>268</v>
      </c>
      <c r="P17" s="540" t="s">
        <v>268</v>
      </c>
      <c r="Q17" s="545">
        <v>3000</v>
      </c>
      <c r="R17" s="545">
        <v>8000</v>
      </c>
      <c r="S17" s="540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8"/>
      <c r="G18" s="278"/>
      <c r="H18" s="270"/>
      <c r="I18" s="278"/>
      <c r="J18" s="278"/>
      <c r="K18" s="240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607</v>
      </c>
      <c r="L20" s="166" t="s">
        <v>253</v>
      </c>
      <c r="M20" s="278">
        <v>400</v>
      </c>
      <c r="N20" s="297" t="s">
        <v>449</v>
      </c>
      <c r="O20" s="278" t="s">
        <v>268</v>
      </c>
      <c r="P20" s="278">
        <v>13</v>
      </c>
      <c r="Q20" s="270">
        <v>0.3</v>
      </c>
      <c r="R20" s="278">
        <v>0.8</v>
      </c>
      <c r="S20" s="278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605</v>
      </c>
      <c r="L21" s="166" t="s">
        <v>255</v>
      </c>
      <c r="M21" s="278">
        <v>200</v>
      </c>
      <c r="N21" s="297" t="s">
        <v>453</v>
      </c>
      <c r="O21" s="278" t="s">
        <v>268</v>
      </c>
      <c r="P21" s="278">
        <v>14</v>
      </c>
      <c r="Q21" s="270">
        <v>0.2</v>
      </c>
      <c r="R21" s="278">
        <v>0.8</v>
      </c>
      <c r="S21" s="278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8"/>
      <c r="E22" s="297"/>
      <c r="F22" s="278"/>
      <c r="G22" s="278"/>
      <c r="H22" s="270"/>
      <c r="I22" s="278"/>
      <c r="J22" s="278"/>
      <c r="K22" s="240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8"/>
      <c r="E23" s="297"/>
      <c r="F23" s="278"/>
      <c r="G23" s="278"/>
      <c r="H23" s="270"/>
      <c r="I23" s="278"/>
      <c r="J23" s="278"/>
      <c r="K23" s="240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8"/>
      <c r="E24" s="297"/>
      <c r="F24" s="278"/>
      <c r="G24" s="278"/>
      <c r="H24" s="270"/>
      <c r="I24" s="278"/>
      <c r="J24" s="278"/>
      <c r="K24" s="240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8"/>
      <c r="E25" s="297"/>
      <c r="F25" s="278"/>
      <c r="G25" s="278"/>
      <c r="H25" s="270"/>
      <c r="I25" s="278"/>
      <c r="J25" s="278"/>
      <c r="K25" s="240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8"/>
      <c r="E26" s="297"/>
      <c r="F26" s="278"/>
      <c r="G26" s="278"/>
      <c r="H26" s="270"/>
      <c r="I26" s="278"/>
      <c r="J26" s="278"/>
      <c r="K26" s="240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252</v>
      </c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254</v>
      </c>
      <c r="N28" t="s">
        <v>634</v>
      </c>
      <c r="O28">
        <v>9.5199999999999979E-2</v>
      </c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255</v>
      </c>
      <c r="N29" t="s">
        <v>635</v>
      </c>
      <c r="O29">
        <v>0.2</v>
      </c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253</v>
      </c>
      <c r="N30" t="s">
        <v>636</v>
      </c>
      <c r="O30">
        <f>O28 + (O28*O29)</f>
        <v>0.11423999999999998</v>
      </c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244</v>
      </c>
      <c r="N31" t="s">
        <v>637</v>
      </c>
      <c r="O31">
        <f>O28 -(O28*O29)</f>
        <v>7.6159999999999978E-2</v>
      </c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345</v>
      </c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8"/>
      <c r="E33" s="297"/>
      <c r="F33" s="278"/>
      <c r="G33" s="278"/>
      <c r="H33" s="270"/>
      <c r="I33" s="278"/>
      <c r="J33" s="278"/>
      <c r="K33" s="240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8"/>
      <c r="E34" s="297"/>
      <c r="F34" s="278"/>
      <c r="G34" s="278"/>
      <c r="H34" s="270"/>
      <c r="I34" s="278"/>
      <c r="J34" s="278"/>
      <c r="K34" s="240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8"/>
      <c r="E35" s="297"/>
      <c r="F35" s="278"/>
      <c r="G35" s="278"/>
      <c r="H35" s="270"/>
      <c r="I35" s="278"/>
      <c r="J35" s="278"/>
      <c r="K35" s="240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9"/>
      <c r="E36" s="337"/>
      <c r="F36" s="279"/>
      <c r="G36" s="279"/>
      <c r="H36" s="271"/>
      <c r="I36" s="271"/>
      <c r="J36" s="279"/>
      <c r="K36" s="240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11" t="s">
        <v>608</v>
      </c>
      <c r="M44" s="211" t="s">
        <v>244</v>
      </c>
      <c r="N44" s="276">
        <v>420</v>
      </c>
      <c r="O44" s="273" t="s">
        <v>457</v>
      </c>
      <c r="P44" s="278" t="s">
        <v>268</v>
      </c>
      <c r="Q44" s="276" t="s">
        <v>268</v>
      </c>
      <c r="R44" s="269">
        <v>0.3</v>
      </c>
      <c r="S44" s="278">
        <v>0.7</v>
      </c>
      <c r="T44" s="278">
        <v>3</v>
      </c>
    </row>
    <row r="45" spans="3:31">
      <c r="L45" s="166" t="s">
        <v>606</v>
      </c>
      <c r="M45" s="166" t="s">
        <v>253</v>
      </c>
      <c r="N45" s="278">
        <v>435</v>
      </c>
      <c r="O45" s="297" t="s">
        <v>354</v>
      </c>
      <c r="P45" s="278" t="s">
        <v>268</v>
      </c>
      <c r="Q45" s="278">
        <v>11</v>
      </c>
      <c r="R45" s="270">
        <v>0.2</v>
      </c>
      <c r="S45" s="278">
        <v>0.6</v>
      </c>
      <c r="T45" s="278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609</v>
      </c>
      <c r="M46" s="166" t="s">
        <v>255</v>
      </c>
      <c r="N46" s="278">
        <v>600</v>
      </c>
      <c r="O46" s="297" t="s">
        <v>453</v>
      </c>
      <c r="P46" s="278" t="s">
        <v>268</v>
      </c>
      <c r="Q46" s="278">
        <v>5</v>
      </c>
      <c r="R46" s="270">
        <v>0.1</v>
      </c>
      <c r="S46" s="278">
        <v>0.3</v>
      </c>
      <c r="T46" s="278">
        <v>3</v>
      </c>
    </row>
    <row r="47" spans="3:31">
      <c r="L47" s="166" t="s">
        <v>607</v>
      </c>
      <c r="M47" s="166" t="s">
        <v>253</v>
      </c>
      <c r="N47" s="278">
        <v>400</v>
      </c>
      <c r="O47" s="297" t="s">
        <v>449</v>
      </c>
      <c r="P47" s="278" t="s">
        <v>268</v>
      </c>
      <c r="Q47" s="278">
        <v>13</v>
      </c>
      <c r="R47" s="270">
        <v>0.3</v>
      </c>
      <c r="S47" s="278">
        <v>0.8</v>
      </c>
      <c r="T47" s="278">
        <v>3</v>
      </c>
    </row>
    <row r="48" spans="3:31">
      <c r="L48" s="166" t="s">
        <v>605</v>
      </c>
      <c r="M48" s="166" t="s">
        <v>255</v>
      </c>
      <c r="N48" s="278">
        <v>200</v>
      </c>
      <c r="O48" s="297" t="s">
        <v>453</v>
      </c>
      <c r="P48" s="278" t="s">
        <v>268</v>
      </c>
      <c r="Q48" s="278">
        <v>14</v>
      </c>
      <c r="R48" s="270">
        <v>0.2</v>
      </c>
      <c r="S48" s="278">
        <v>0.8</v>
      </c>
      <c r="T48" s="278">
        <v>3</v>
      </c>
    </row>
    <row r="49" spans="3:20">
      <c r="L49" s="166" t="s">
        <v>605</v>
      </c>
      <c r="M49" s="166" t="s">
        <v>255</v>
      </c>
      <c r="N49" s="278">
        <v>200</v>
      </c>
      <c r="O49" s="297" t="s">
        <v>525</v>
      </c>
      <c r="P49" s="278" t="s">
        <v>268</v>
      </c>
      <c r="Q49" s="278">
        <v>16</v>
      </c>
      <c r="R49" s="270">
        <v>0.2</v>
      </c>
      <c r="S49" s="278">
        <v>0.8</v>
      </c>
      <c r="T49" s="278">
        <v>3</v>
      </c>
    </row>
    <row r="50" spans="3:20">
      <c r="L50" s="502" t="s">
        <v>610</v>
      </c>
      <c r="M50" s="166" t="s">
        <v>254</v>
      </c>
      <c r="N50" s="278">
        <v>11</v>
      </c>
      <c r="O50" s="297" t="s">
        <v>161</v>
      </c>
      <c r="P50" s="278" t="s">
        <v>268</v>
      </c>
      <c r="Q50" s="278" t="s">
        <v>268</v>
      </c>
      <c r="R50" s="533">
        <f>0.0197 - 0.0197 /3</f>
        <v>1.3133333333333334E-2</v>
      </c>
      <c r="S50" s="533">
        <f>0.0197 + 0.0197 /3</f>
        <v>2.6266666666666664E-2</v>
      </c>
      <c r="T50" s="278">
        <v>3</v>
      </c>
    </row>
    <row r="51" spans="3:20">
      <c r="L51" s="166" t="s">
        <v>611</v>
      </c>
      <c r="M51" s="166" t="s">
        <v>346</v>
      </c>
      <c r="N51" s="278">
        <v>3000</v>
      </c>
      <c r="O51" s="297" t="s">
        <v>268</v>
      </c>
      <c r="P51" s="278" t="s">
        <v>268</v>
      </c>
      <c r="Q51" s="278" t="s">
        <v>268</v>
      </c>
      <c r="R51" s="270">
        <v>0.8</v>
      </c>
      <c r="S51" s="278">
        <v>0.95</v>
      </c>
      <c r="T51" s="278">
        <v>3</v>
      </c>
    </row>
    <row r="52" spans="3:20">
      <c r="L52" s="166" t="s">
        <v>613</v>
      </c>
      <c r="M52" s="334" t="s">
        <v>346</v>
      </c>
      <c r="N52" s="335">
        <v>9000</v>
      </c>
      <c r="O52" s="336" t="s">
        <v>268</v>
      </c>
      <c r="P52" s="278" t="s">
        <v>268</v>
      </c>
      <c r="Q52" s="278" t="s">
        <v>268</v>
      </c>
      <c r="R52" s="270">
        <v>1000</v>
      </c>
      <c r="S52" s="278">
        <v>2500</v>
      </c>
      <c r="T52" s="278">
        <v>4</v>
      </c>
    </row>
    <row r="53" spans="3:20">
      <c r="L53" s="166" t="s">
        <v>614</v>
      </c>
      <c r="M53" s="166" t="s">
        <v>346</v>
      </c>
      <c r="N53" s="278">
        <v>6000</v>
      </c>
      <c r="O53" s="297" t="s">
        <v>268</v>
      </c>
      <c r="P53" s="278" t="s">
        <v>268</v>
      </c>
      <c r="Q53" s="278" t="s">
        <v>268</v>
      </c>
      <c r="R53" s="270">
        <v>1500</v>
      </c>
      <c r="S53" s="278">
        <v>6000</v>
      </c>
      <c r="T53" s="278">
        <v>4</v>
      </c>
    </row>
    <row r="54" spans="3:20">
      <c r="L54" s="166" t="s">
        <v>616</v>
      </c>
      <c r="M54" s="166" t="s">
        <v>346</v>
      </c>
      <c r="N54" s="278">
        <v>7000</v>
      </c>
      <c r="O54" s="297" t="s">
        <v>268</v>
      </c>
      <c r="P54" s="278" t="s">
        <v>268</v>
      </c>
      <c r="Q54" s="278" t="s">
        <v>268</v>
      </c>
      <c r="R54" s="270">
        <v>50</v>
      </c>
      <c r="S54" s="278">
        <v>150</v>
      </c>
      <c r="T54" s="278">
        <v>3</v>
      </c>
    </row>
    <row r="55" spans="3:20">
      <c r="L55" s="166" t="s">
        <v>626</v>
      </c>
      <c r="M55" s="166" t="s">
        <v>346</v>
      </c>
      <c r="N55" s="278">
        <v>9700</v>
      </c>
      <c r="O55" s="297" t="s">
        <v>268</v>
      </c>
      <c r="P55" s="278" t="s">
        <v>268</v>
      </c>
      <c r="Q55" s="278" t="s">
        <v>268</v>
      </c>
      <c r="R55" s="270">
        <v>500</v>
      </c>
      <c r="S55" s="278">
        <v>2000</v>
      </c>
      <c r="T55" s="278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81640625" defaultRowHeight="14.5"/>
  <cols>
    <col min="1" max="1" width="6" style="3" customWidth="1"/>
    <col min="2" max="2" width="2.1796875" style="3" customWidth="1"/>
    <col min="3" max="3" width="6.81640625" style="3" customWidth="1"/>
    <col min="4" max="4" width="32.1796875" style="3" customWidth="1"/>
    <col min="5" max="5" width="18.1796875" style="3" customWidth="1"/>
    <col min="6" max="6" width="15.1796875" style="3" customWidth="1"/>
    <col min="7" max="7" width="6.1796875" style="3" customWidth="1"/>
    <col min="8" max="8" width="21.453125" style="3" customWidth="1"/>
    <col min="9" max="11" width="15.1796875" style="3" customWidth="1"/>
    <col min="12" max="12" width="4.1796875" style="3" customWidth="1"/>
    <col min="13" max="13" width="29.453125" style="3" customWidth="1"/>
    <col min="14" max="14" width="21.1796875" style="3" customWidth="1"/>
    <col min="15" max="15" width="32.81640625" style="3" customWidth="1"/>
    <col min="16" max="16" width="27.81640625" style="3" customWidth="1"/>
    <col min="17" max="17" width="15.1796875" style="3" customWidth="1"/>
    <col min="18" max="18" width="17.81640625" style="3" bestFit="1" customWidth="1"/>
    <col min="19" max="19" width="22.81640625" style="3" customWidth="1"/>
    <col min="20" max="20" width="26.1796875" style="3" customWidth="1"/>
    <col min="21" max="22" width="10.81640625" style="3"/>
    <col min="23" max="23" width="14.81640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179687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2.453125" style="3" bestFit="1" customWidth="1"/>
    <col min="37" max="16384" width="10.816406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629"/>
      <c r="E6" s="629"/>
      <c r="F6" s="5"/>
      <c r="G6" s="5"/>
      <c r="H6" s="629"/>
      <c r="I6" s="629"/>
      <c r="J6" s="15"/>
      <c r="K6" s="15"/>
      <c r="L6" s="5"/>
      <c r="M6" s="629"/>
      <c r="N6" s="629"/>
      <c r="O6" s="629"/>
      <c r="P6" s="629"/>
      <c r="Q6" s="5"/>
      <c r="R6" s="5"/>
      <c r="S6" s="630"/>
      <c r="T6" s="630"/>
      <c r="U6" s="630"/>
      <c r="V6" s="630"/>
      <c r="W6" s="630"/>
      <c r="X6" s="630"/>
      <c r="Y6" s="630"/>
      <c r="Z6" s="630"/>
      <c r="AA6" s="630"/>
      <c r="AB6" s="630"/>
      <c r="AC6" s="630"/>
      <c r="AD6" s="630"/>
      <c r="AE6" s="630"/>
      <c r="AF6" s="630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611" t="s">
        <v>49</v>
      </c>
      <c r="E8" s="612"/>
      <c r="F8" s="613"/>
      <c r="G8" s="5"/>
      <c r="H8" s="614" t="s">
        <v>50</v>
      </c>
      <c r="I8" s="615"/>
      <c r="J8" s="616"/>
      <c r="K8" s="16"/>
      <c r="L8" s="5"/>
      <c r="M8" s="617" t="s">
        <v>69</v>
      </c>
      <c r="N8" s="618"/>
      <c r="O8" s="618"/>
      <c r="P8" s="618"/>
      <c r="Q8" s="619"/>
      <c r="R8" s="5"/>
      <c r="S8" s="623" t="s">
        <v>75</v>
      </c>
      <c r="T8" s="624"/>
      <c r="U8" s="625"/>
      <c r="V8" s="12"/>
      <c r="W8" s="623" t="s">
        <v>105</v>
      </c>
      <c r="X8" s="624"/>
      <c r="Y8" s="624"/>
      <c r="Z8" s="625"/>
      <c r="AA8" s="11"/>
      <c r="AB8" s="623" t="s">
        <v>82</v>
      </c>
      <c r="AC8" s="624"/>
      <c r="AD8" s="624"/>
      <c r="AE8" s="624"/>
      <c r="AF8" s="625"/>
      <c r="AG8" s="11"/>
      <c r="AH8" s="623" t="s">
        <v>7</v>
      </c>
      <c r="AI8" s="624"/>
      <c r="AJ8" s="625"/>
      <c r="AK8" s="82"/>
      <c r="AL8" s="5"/>
      <c r="AM8" s="5"/>
      <c r="AN8" s="5"/>
      <c r="AO8" s="5"/>
    </row>
    <row r="9" spans="1:41" ht="21.5" thickBot="1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.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183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9" thickBot="1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.5">
      <c r="A12" s="5"/>
      <c r="B12" s="5"/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.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.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9" thickBot="1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9" thickBot="1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.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.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.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.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.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.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.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.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.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9" thickBot="1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9" thickBot="1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.5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5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5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Uncertainty_test_idea</vt:lpstr>
      <vt:lpstr>Uncertainty_old</vt:lpstr>
      <vt:lpstr>CHP (700)</vt:lpstr>
      <vt:lpstr>Composting (800)</vt:lpstr>
      <vt:lpstr>DataBank</vt:lpstr>
      <vt:lpstr>Systemblatt</vt:lpstr>
      <vt:lpstr>Pools</vt:lpstr>
      <vt:lpstr>Uncertainty</vt:lpstr>
      <vt:lpstr>Sources</vt:lpstr>
      <vt:lpstr>Distributor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2025-01-06T14:32:15Z</dcterms:modified>
</cp:coreProperties>
</file>