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7169254D-7982-4944-9CAA-3A2540177CBD}" xr6:coauthVersionLast="47" xr6:coauthVersionMax="47" xr10:uidLastSave="{00000000-0000-0000-0000-000000000000}"/>
  <bookViews>
    <workbookView xWindow="-19310" yWindow="-110" windowWidth="19420" windowHeight="10300" tabRatio="816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4" r:id="rId12"/>
    <sheet name="Uncertainty_old" sheetId="138" state="hidden" r:id="rId13"/>
    <sheet name="Sensitivity" sheetId="146" r:id="rId14"/>
    <sheet name="Grind_and_starch_decantation" sheetId="124" r:id="rId15"/>
    <sheet name="Drying" sheetId="140" r:id="rId16"/>
    <sheet name="Starch_processing" sheetId="141" r:id="rId17"/>
    <sheet name="PHA_yield_reactor" sheetId="145" r:id="rId18"/>
    <sheet name="Lactic Acid fermentation " sheetId="142" r:id="rId19"/>
    <sheet name="Polymerisation" sheetId="143" r:id="rId20"/>
    <sheet name="Microwave assisted extraction" sheetId="125" r:id="rId21"/>
    <sheet name="help_unit" sheetId="129" r:id="rId22"/>
    <sheet name="ultra sound assisted extraction" sheetId="133" r:id="rId23"/>
    <sheet name="Solvent recovery" sheetId="132" r:id="rId24"/>
    <sheet name="Solvent Recovery 2" sheetId="134" r:id="rId25"/>
    <sheet name="Yeast Fermentation" sheetId="127" r:id="rId26"/>
    <sheet name="Anaerobic Digestor" sheetId="126" r:id="rId27"/>
    <sheet name="elek Generator" sheetId="128" r:id="rId28"/>
    <sheet name="steam generator" sheetId="131" r:id="rId29"/>
  </sheets>
  <definedNames>
    <definedName name="ComponentsList">Systemblatt!$F$5:$F$38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Systemblatt!$N$5:$N$20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8" i="146" l="1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V27" i="144" l="1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4" i="144"/>
  <c r="V45" i="144"/>
  <c r="V46" i="144"/>
  <c r="V47" i="144"/>
  <c r="V48" i="144"/>
  <c r="V49" i="144"/>
  <c r="V50" i="144"/>
  <c r="V51" i="144"/>
  <c r="V52" i="144"/>
  <c r="V26" i="144"/>
  <c r="C6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4" i="144"/>
  <c r="X45" i="144"/>
  <c r="X46" i="144"/>
  <c r="X47" i="144"/>
  <c r="X48" i="144"/>
  <c r="X49" i="144"/>
  <c r="X50" i="144"/>
  <c r="X51" i="144"/>
  <c r="X52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4" i="144"/>
  <c r="W45" i="144"/>
  <c r="W46" i="144"/>
  <c r="W47" i="144"/>
  <c r="W48" i="144"/>
  <c r="W49" i="144"/>
  <c r="W50" i="144"/>
  <c r="W51" i="144"/>
  <c r="W52" i="144"/>
  <c r="E27" i="145"/>
  <c r="J12" i="145"/>
  <c r="X27" i="144"/>
  <c r="X28" i="144"/>
  <c r="X26" i="144"/>
  <c r="W27" i="144"/>
  <c r="W28" i="144"/>
  <c r="W26" i="144"/>
  <c r="D72" i="138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<sst xmlns="http://schemas.openxmlformats.org/spreadsheetml/2006/main" count="3156" uniqueCount="518">
  <si>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</si>
  <si>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</si>
  <si>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</si>
  <si>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</si>
  <si>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</si>
  <si>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</si>
  <si>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</si>
  <si>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</si>
  <si>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</si>
  <si>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</si>
  <si>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</si>
  <si>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</si>
  <si>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</si>
  <si>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</si>
  <si>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</si>
  <si>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</si>
  <si>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</si>
  <si>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</si>
  <si>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</si>
  <si>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</si>
  <si>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</si>
  <si>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</si>
  <si>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</si>
  <si>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</si>
  <si>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</si>
  <si>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</si>
  <si>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</si>
  <si>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</si>
  <si>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</si>
  <si>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</si>
  <si>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</si>
  <si>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</si>
  <si>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</si>
  <si>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</si>
  <si>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</si>
  <si>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</si>
  <si>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</si>
  <si>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</si>
  <si>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</si>
  <si>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</si>
  <si>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</si>
  <si>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</si>
  <si>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</si>
  <si>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</si>
  <si>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</si>
  <si>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</si>
  <si>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</si>
  <si>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</si>
  <si>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</si>
  <si>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</si>
  <si>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</si>
  <si>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</si>
  <si>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</si>
  <si>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</si>
  <si>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</si>
  <si>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</si>
  <si>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</si>
  <si>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</si>
  <si>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</si>
  <si>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</si>
  <si>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</si>
  <si>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</si>
  <si>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</si>
  <si>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</si>
  <si>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</si>
  <si>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</si>
  <si>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</si>
  <si>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</si>
  <si>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</si>
  <si>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</si>
  <si>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</si>
  <si>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</si>
  <si>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</si>
  <si>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</si>
  <si>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</si>
  <si>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</si>
  <si>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</si>
  <si>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</si>
  <si>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</si>
  <si>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</si>
  <si>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</si>
  <si>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</si>
  <si>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</si>
  <si>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</si>
  <si>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</si>
  <si>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</si>
  <si>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</si>
  <si>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</si>
  <si>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</si>
  <si>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</si>
  <si>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</si>
  <si>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</si>
  <si>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</si>
  <si>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</si>
  <si>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</si>
  <si>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</si>
  <si>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</si>
  <si>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</si>
  <si>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</si>
  <si>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</si>
  <si>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</si>
  <si>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</si>
  <si>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</si>
  <si>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</si>
  <si>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</si>
  <si>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</si>
  <si>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</si>
  <si>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</si>
  <si>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</si>
  <si>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</si>
  <si>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</si>
  <si>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</si>
  <si>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</si>
  <si>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</si>
  <si>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</si>
  <si>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</si>
  <si>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</si>
  <si>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</si>
  <si>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</si>
  <si>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</si>
  <si>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</si>
  <si>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</si>
  <si>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</si>
  <si>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</si>
  <si>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</si>
  <si>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</si>
  <si>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</si>
  <si>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</si>
  <si>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</si>
  <si>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</si>
  <si>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</si>
  <si>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</si>
  <si>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</si>
  <si>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</si>
  <si>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</si>
  <si>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</si>
  <si>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</si>
  <si>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</si>
  <si>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</si>
  <si>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</si>
  <si>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</si>
  <si>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</si>
  <si>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</si>
  <si>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</si>
  <si>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</si>
  <si>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</si>
  <si>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</si>
  <si>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</si>
  <si>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</si>
  <si>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</si>
  <si>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</si>
  <si>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</si>
  <si>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</si>
  <si>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</si>
  <si>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</si>
  <si>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</si>
  <si>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</si>
  <si>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</si>
  <si>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</si>
  <si>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</si>
  <si>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</si>
  <si>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</si>
  <si>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</si>
  <si>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</si>
  <si>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</si>
  <si>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</si>
  <si>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</si>
  <si>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</si>
  <si>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</si>
  <si>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</si>
  <si>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</si>
  <si>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</si>
  <si>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</si>
  <si>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</si>
  <si>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</si>
  <si>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</si>
  <si>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</si>
  <si>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</si>
  <si>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</si>
  <si>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</si>
  <si>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</si>
  <si>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</si>
  <si>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</si>
  <si>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</si>
  <si>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</si>
  <si>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</si>
  <si>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</si>
  <si>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</si>
  <si>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</si>
  <si>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</si>
  <si>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</si>
  <si>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</si>
  <si>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</si>
  <si>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</si>
  <si>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</si>
  <si>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</si>
  <si>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</si>
  <si>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</si>
  <si>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</si>
  <si>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</si>
  <si>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</si>
  <si>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</si>
  <si>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</si>
  <si>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</si>
  <si>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</si>
  <si>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</si>
  <si>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</si>
  <si>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</si>
  <si>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</si>
  <si>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</si>
  <si>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</si>
  <si>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</si>
  <si>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</si>
  <si>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</si>
  <si>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</si>
  <si>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</si>
  <si>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</si>
  <si>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</si>
  <si>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</si>
  <si>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</si>
  <si>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</si>
  <si>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</si>
  <si>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</si>
  <si>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</si>
  <si>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</si>
  <si>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</si>
  <si>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</si>
  <si>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</si>
  <si>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</si>
  <si>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</si>
  <si>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</si>
  <si>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</si>
  <si>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</si>
  <si>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</si>
  <si>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</si>
  <si>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</si>
  <si>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</si>
  <si>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</si>
  <si>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</si>
  <si>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</si>
  <si>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</si>
  <si>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</si>
  <si>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</si>
  <si>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</si>
  <si>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</si>
  <si>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</si>
  <si>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</si>
  <si>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</si>
  <si>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</si>
  <si>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</si>
  <si>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</si>
  <si>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</si>
  <si>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</si>
  <si>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</si>
  <si>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</si>
  <si>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</si>
  <si>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</si>
  <si>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</si>
  <si>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</si>
  <si>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</si>
  <si>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</si>
  <si>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</si>
  <si>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</si>
  <si>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</si>
  <si>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</si>
  <si>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</si>
  <si>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</si>
  <si>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</si>
  <si>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</si>
  <si>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</si>
  <si>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</si>
  <si>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</si>
  <si>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</si>
  <si>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</si>
  <si>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</si>
  <si>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</si>
  <si>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</si>
  <si>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</si>
  <si>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</si>
  <si>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</si>
  <si>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</si>
  <si>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</si>
  <si>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</si>
  <si>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</si>
  <si>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</si>
  <si>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</si>
  <si>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</si>
  <si>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</si>
  <si>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</si>
  <si>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</si>
  <si>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</si>
  <si>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</si>
  <si>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</si>
  <si>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</si>
  <si>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</si>
  <si>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</si>
  <si>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</si>
  <si>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</si>
  <si>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</si>
  <si>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</si>
  <si>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</si>
  <si>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</si>
  <si>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</si>
  <si>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</si>
  <si>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</si>
  <si>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</si>
  <si>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</si>
  <si>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</si>
  <si>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</si>
  <si>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</si>
  <si>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</si>
  <si>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</si>
  <si>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</si>
  <si>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</si>
  <si>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</si>
  <si>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</si>
  <si>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</si>
  <si>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</si>
  <si>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</si>
  <si>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</si>
  <si>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</si>
  <si>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</si>
  <si>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</si>
  <si>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</si>
  <si>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</si>
  <si>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</si>
  <si>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</si>
  <si>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</si>
  <si>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</si>
  <si>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</si>
  <si>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</si>
  <si>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</si>
  <si>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</si>
  <si>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</si>
  <si>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</si>
  <si>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</si>
  <si>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</si>
  <si>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</si>
  <si>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</si>
  <si>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</si>
  <si>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</si>
  <si>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</si>
  <si>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</si>
  <si>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</si>
  <si>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</si>
  <si>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</si>
  <si>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</si>
  <si>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</si>
  <si>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</si>
  <si>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</si>
  <si>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</si>
  <si>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</si>
  <si>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</si>
  <si>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</si>
  <si>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</si>
  <si>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</si>
  <si>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</si>
  <si>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</si>
  <si>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</si>
  <si>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</si>
  <si>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</si>
  <si>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</si>
  <si>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</si>
  <si>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</si>
  <si>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</si>
  <si>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</si>
  <si>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</si>
  <si>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</si>
  <si>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</si>
  <si>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</si>
  <si>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</si>
  <si>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</si>
  <si>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</si>
  <si>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</si>
  <si>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</si>
  <si>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</si>
  <si>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</si>
  <si>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</si>
  <si>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</si>
  <si>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</si>
  <si>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</si>
  <si>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</si>
  <si>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</si>
  <si>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</si>
  <si>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</si>
  <si>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</si>
  <si>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</si>
  <si>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</si>
  <si>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</si>
  <si>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</si>
  <si>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</si>
  <si>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</si>
  <si>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</si>
  <si>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</si>
  <si>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</si>
  <si>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</si>
  <si>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</si>
  <si>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</si>
  <si>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</si>
  <si>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</si>
  <si>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</si>
  <si>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</si>
  <si>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</si>
  <si>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</si>
  <si>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</si>
  <si>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</si>
  <si>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</si>
  <si>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</si>
  <si>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</si>
  <si>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</si>
  <si>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</si>
  <si>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</si>
  <si>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</si>
  <si>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</si>
  <si>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</si>
  <si>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</si>
  <si>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</si>
  <si>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</si>
  <si>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</si>
  <si>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</si>
  <si>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</si>
  <si>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</si>
  <si>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</si>
  <si>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</si>
  <si>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</si>
  <si>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</si>
  <si>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</si>
  <si>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</si>
  <si>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</si>
  <si>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</si>
  <si>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</si>
  <si>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</si>
  <si>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</si>
  <si>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</si>
  <si>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</si>
  <si>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</si>
  <si>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</si>
  <si>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</si>
  <si>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</si>
  <si>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</si>
  <si>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</si>
  <si>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</si>
  <si>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</si>
  <si>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</si>
  <si>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</si>
  <si>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</si>
  <si>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</si>
  <si>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</si>
  <si>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</si>
  <si>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</si>
  <si>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</si>
  <si>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</si>
  <si>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</si>
  <si>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</si>
  <si>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</si>
  <si>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</si>
  <si>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</si>
  <si>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</si>
  <si>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</si>
  <si>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</si>
  <si>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</si>
  <si>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</si>
  <si>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</si>
  <si>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</si>
  <si>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</si>
  <si>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</si>
  <si>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</si>
  <si>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</si>
  <si>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</si>
  <si>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</si>
  <si>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</si>
  <si>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</si>
  <si>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</si>
  <si>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</si>
  <si>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</si>
  <si>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</si>
  <si>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PHB1 yield reactor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</si>
  <si>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</si>
  <si>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</si>
  <si>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</si>
  <si>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</si>
  <si>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</si>
  <si>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</si>
  <si>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</si>
  <si>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</si>
  <si>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</si>
  <si>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</si>
  <si>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</si>
  <si>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</si>
  <si>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</si>
  <si>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</si>
  <si>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</si>
  <si>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</si>
  <si>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test_case_study</t>
  </si>
  <si>
    <t>Nutrient broth</t>
  </si>
  <si>
    <t>Discritisation</t>
  </si>
  <si>
    <t>Low_value</t>
  </si>
  <si>
    <t>High_value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</si>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</sst>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</fonts>
  <fills count="2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74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0" fillId="19" borderId="5" xfId="0" applyFill="1" applyBorder="1"/>
    <xf numFmtId="0" fontId="0" fillId="0" borderId="18" xfId="0" applyBorder="1"/>
    <xf numFmtId="0" fontId="23" fillId="17" borderId="5" xfId="0" applyFont="1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18" fillId="5" borderId="5" xfId="0" applyFont="1" applyFill="1" applyBorder="1"/>
    <xf numFmtId="0" fontId="31" fillId="5" borderId="0" xfId="0" applyFont="1" applyFill="1"/>
    <xf numFmtId="0" fontId="18" fillId="19" borderId="18" xfId="0" applyFont="1" applyFill="1" applyBorder="1"/>
    <xf numFmtId="0" fontId="18" fillId="20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32" fillId="19" borderId="5" xfId="0" applyFont="1" applyFill="1" applyBorder="1" applyAlignment="1">
      <alignment horizontal="center"/>
    </xf>
    <xf numFmtId="0" fontId="33" fillId="5" borderId="0" xfId="1" applyFont="1" applyFill="1" applyProtection="1">
      <protection locked="0"/>
    </xf>
    <xf numFmtId="0" fontId="0" fillId="0" borderId="0" xfId="0" applyAlignment="1">
      <alignment horizontal="center" vertical="center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34" fillId="5" borderId="0" xfId="0" applyFont="1" applyFill="1"/>
    <xf numFmtId="0" fontId="35" fillId="5" borderId="20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5" fillId="5" borderId="11" xfId="0" applyFont="1" applyFill="1" applyBorder="1" applyAlignment="1" applyProtection="1">
      <alignment horizontal="left"/>
      <protection locked="0"/>
    </xf>
    <xf numFmtId="0" fontId="18" fillId="20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31" fillId="0" borderId="0" xfId="0" applyFont="1"/>
    <xf numFmtId="0" fontId="0" fillId="5" borderId="6" xfId="0" applyFill="1" applyBorder="1" applyAlignment="1">
      <alignment horizontal="center" vertical="center"/>
    </xf>
    <xf numFmtId="0" fontId="36" fillId="0" borderId="0" xfId="0" applyFont="1"/>
    <xf numFmtId="0" fontId="37" fillId="0" borderId="0" xfId="0" applyFont="1"/>
    <xf numFmtId="0" fontId="38" fillId="0" borderId="0" xfId="0" applyFont="1" applyAlignment="1">
      <alignment vertic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9" fillId="16" borderId="6" xfId="0" applyFont="1" applyFill="1" applyBorder="1" applyAlignment="1">
      <alignment horizontal="center"/>
    </xf>
    <xf numFmtId="0" fontId="9" fillId="16" borderId="16" xfId="0" applyFont="1" applyFill="1" applyBorder="1" applyAlignment="1">
      <alignment horizontal="center"/>
    </xf>
    <xf numFmtId="0" fontId="9" fillId="16" borderId="7" xfId="0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30</xdr:row>
      <xdr:rowOff>135891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15</xdr:col>
      <xdr:colOff>524335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546556</xdr:colOff>
      <xdr:row>35</xdr:row>
      <xdr:rowOff>55426</xdr:rowOff>
    </xdr:from>
    <xdr:to>
      <xdr:col>2</xdr:col>
      <xdr:colOff>175534</xdr:colOff>
      <xdr:row>59</xdr:row>
      <xdr:rowOff>37647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/>
      </xdr:nvSpPr>
      <xdr:spPr>
        <a:xfrm>
          <a:off x="546556" y="6523355"/>
          <a:ext cx="2495549" cy="43455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810261</xdr:colOff>
      <xdr:row>12</xdr:row>
      <xdr:rowOff>63077</xdr:rowOff>
    </xdr:from>
    <xdr:to>
      <xdr:col>12</xdr:col>
      <xdr:colOff>723900</xdr:colOff>
      <xdr:row>36</xdr:row>
      <xdr:rowOff>58905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13053061" y="2425277"/>
          <a:ext cx="2694939" cy="42757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413586</xdr:colOff>
      <xdr:row>28</xdr:row>
      <xdr:rowOff>137862</xdr:rowOff>
    </xdr:from>
    <xdr:to>
      <xdr:col>35</xdr:col>
      <xdr:colOff>1328654</xdr:colOff>
      <xdr:row>45</xdr:row>
      <xdr:rowOff>18882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42035329" y="6291513"/>
          <a:ext cx="2820068" cy="33651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doi.org/10.1007/s13399-021-01860-9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21.bin"/><Relationship Id="rId4" Type="http://schemas.openxmlformats.org/officeDocument/2006/relationships/hyperlink" Target="https://www.sciencedirect.com/science/article/pii/0376738894000611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topLeftCell="A3" zoomScale="38" zoomScaleNormal="38" workbookViewId="0">
      <selection activeCell="R19" sqref="R19"/>
    </sheetView>
  </sheetViews>
  <sheetFormatPr defaultColWidth="10.81640625" defaultRowHeight="15.5"/>
  <cols>
    <col min="1" max="1" width="19.453125" style="2" customWidth="1"/>
    <col min="2" max="2" width="41.1796875" style="2" customWidth="1"/>
    <col min="3" max="3" width="26" style="2" bestFit="1" customWidth="1"/>
    <col min="4" max="4" width="13.81640625" style="2" customWidth="1"/>
    <col min="5" max="6" width="21.1796875" style="2" customWidth="1"/>
    <col min="7" max="7" width="17.81640625" style="2" customWidth="1"/>
    <col min="8" max="8" width="22.81640625" style="2" bestFit="1" customWidth="1"/>
    <col min="9" max="9" width="21.81640625" style="2" bestFit="1" customWidth="1"/>
    <col min="10" max="10" width="21" style="2" bestFit="1" customWidth="1"/>
    <col min="11" max="11" width="19.179687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5.81640625" style="2" bestFit="1" customWidth="1"/>
    <col min="20" max="20" width="25.08984375" style="2" bestFit="1" customWidth="1"/>
    <col min="21" max="21" width="19.1796875" style="2" customWidth="1"/>
    <col min="22" max="22" width="23.1796875" style="2" bestFit="1" customWidth="1"/>
    <col min="23" max="23" width="21.9062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410" t="s">
        <v>29</v>
      </c>
      <c r="C3" s="411"/>
      <c r="D3" s="412"/>
      <c r="F3" s="320" t="s">
        <v>32</v>
      </c>
      <c r="G3" s="321"/>
      <c r="H3" s="321"/>
      <c r="I3" s="321"/>
      <c r="J3" s="321"/>
      <c r="K3" s="322"/>
      <c r="L3" s="14"/>
      <c r="M3" s="14"/>
      <c r="N3" s="416" t="s">
        <v>35</v>
      </c>
      <c r="O3" s="417"/>
      <c r="P3" s="418"/>
      <c r="Q3" s="14"/>
      <c r="R3" s="14"/>
      <c r="S3" s="419" t="s">
        <v>39</v>
      </c>
      <c r="T3" s="420"/>
      <c r="U3" s="420"/>
      <c r="V3" s="421"/>
      <c r="W3" s="14"/>
      <c r="X3" s="14"/>
      <c r="Y3" s="14"/>
      <c r="Z3" s="36"/>
      <c r="AA3" s="14"/>
      <c r="AB3" s="14"/>
      <c r="AC3" s="14"/>
    </row>
    <row r="4" spans="1:29" ht="107.15" customHeight="1" thickBot="1">
      <c r="A4" s="37"/>
      <c r="B4" s="185" t="s">
        <v>30</v>
      </c>
      <c r="C4" s="186" t="s">
        <v>0</v>
      </c>
      <c r="D4" s="230" t="s">
        <v>169</v>
      </c>
      <c r="E4" s="14"/>
      <c r="F4" s="181" t="s">
        <v>33</v>
      </c>
      <c r="G4" s="182" t="s">
        <v>178</v>
      </c>
      <c r="H4" s="182" t="s">
        <v>176</v>
      </c>
      <c r="I4" s="182" t="s">
        <v>177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5">
      <c r="A5" s="59"/>
      <c r="B5" s="26" t="s">
        <v>27</v>
      </c>
      <c r="C5" s="28" t="s">
        <v>493</v>
      </c>
      <c r="D5" s="231" t="s">
        <v>170</v>
      </c>
      <c r="E5" s="14"/>
      <c r="F5" s="24" t="s">
        <v>311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187</v>
      </c>
      <c r="Q5" s="28" t="s">
        <v>165</v>
      </c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5">
      <c r="A6" s="37"/>
      <c r="B6" s="24" t="s">
        <v>28</v>
      </c>
      <c r="C6" s="30" t="s">
        <v>161</v>
      </c>
      <c r="D6" s="232" t="s">
        <v>170</v>
      </c>
      <c r="E6" s="14"/>
      <c r="F6" s="24" t="s">
        <v>164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190</v>
      </c>
      <c r="Q6" s="30" t="s">
        <v>165</v>
      </c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" thickBot="1">
      <c r="A7" s="37"/>
      <c r="B7" s="187" t="s">
        <v>126</v>
      </c>
      <c r="C7" s="188" t="s">
        <v>124</v>
      </c>
      <c r="D7" s="232" t="s">
        <v>170</v>
      </c>
      <c r="E7" s="14"/>
      <c r="F7" s="24" t="s">
        <v>165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191</v>
      </c>
      <c r="Q7" s="30" t="s">
        <v>164</v>
      </c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5">
      <c r="A8" s="37"/>
      <c r="B8" s="228" t="s">
        <v>211</v>
      </c>
      <c r="C8" s="229" t="s">
        <v>210</v>
      </c>
      <c r="D8" s="232" t="s">
        <v>170</v>
      </c>
      <c r="E8" s="14"/>
      <c r="F8" s="24" t="s">
        <v>162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192</v>
      </c>
      <c r="Q8" s="30" t="s">
        <v>311</v>
      </c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5">
      <c r="A9" s="37"/>
      <c r="B9" s="21" t="s">
        <v>283</v>
      </c>
      <c r="C9" s="30"/>
      <c r="D9" s="232" t="s">
        <v>170</v>
      </c>
      <c r="E9" s="14"/>
      <c r="F9" s="24" t="s">
        <v>167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193</v>
      </c>
      <c r="Q9" s="30" t="s">
        <v>167</v>
      </c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" thickBot="1">
      <c r="A10" s="37"/>
      <c r="B10" s="27" t="s">
        <v>284</v>
      </c>
      <c r="C10" s="29"/>
      <c r="D10" s="232" t="s">
        <v>171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335</v>
      </c>
      <c r="Q10" s="30" t="s">
        <v>313</v>
      </c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5">
      <c r="A11" s="37"/>
      <c r="B11" s="20" t="s">
        <v>160</v>
      </c>
      <c r="C11" s="28">
        <v>8000</v>
      </c>
      <c r="D11" s="232" t="s">
        <v>286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336</v>
      </c>
      <c r="Q11" s="30" t="s">
        <v>165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412</v>
      </c>
      <c r="Q12" s="30" t="s">
        <v>313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>
      <c r="A13" s="37"/>
      <c r="B13" s="21" t="s">
        <v>127</v>
      </c>
      <c r="C13" s="30">
        <v>0.05</v>
      </c>
      <c r="D13" s="233"/>
      <c r="E13" s="14"/>
      <c r="F13" s="24" t="s">
        <v>168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5">
      <c r="A14" s="37"/>
      <c r="B14" s="23" t="s">
        <v>128</v>
      </c>
      <c r="C14" s="30" t="s">
        <v>116</v>
      </c>
      <c r="D14" s="233"/>
      <c r="E14" s="14"/>
      <c r="F14" s="24" t="s">
        <v>188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" thickBot="1">
      <c r="A15" s="37"/>
      <c r="B15" s="27" t="s">
        <v>159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5">
      <c r="A16" s="37"/>
      <c r="B16" s="26" t="s">
        <v>93</v>
      </c>
      <c r="C16" s="28" t="s">
        <v>94</v>
      </c>
      <c r="D16" s="233"/>
      <c r="E16" s="14"/>
      <c r="F16" s="24" t="s">
        <v>218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5">
      <c r="A17" s="60"/>
      <c r="B17" s="140" t="s">
        <v>95</v>
      </c>
      <c r="C17" s="141">
        <v>2.5</v>
      </c>
      <c r="D17" s="233"/>
      <c r="E17" s="14"/>
      <c r="F17" s="24" t="s">
        <v>269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" thickBot="1">
      <c r="A18" s="37"/>
      <c r="B18" s="24" t="s">
        <v>96</v>
      </c>
      <c r="C18" s="30">
        <v>450</v>
      </c>
      <c r="D18" s="233"/>
      <c r="E18" s="14"/>
      <c r="F18" s="24" t="s">
        <v>310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425"/>
      <c r="X18" s="425"/>
      <c r="Y18" s="425"/>
      <c r="Z18" s="426"/>
      <c r="AA18" s="14"/>
      <c r="AB18" s="14"/>
      <c r="AC18" s="14"/>
    </row>
    <row r="19" spans="1:29" ht="18.5">
      <c r="A19" s="37"/>
      <c r="B19" s="24" t="s">
        <v>55</v>
      </c>
      <c r="C19" s="30">
        <v>15</v>
      </c>
      <c r="D19" s="232" t="s">
        <v>173</v>
      </c>
      <c r="E19" s="14"/>
      <c r="F19" s="24" t="s">
        <v>313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423"/>
      <c r="Z19" s="424"/>
      <c r="AA19" s="14"/>
      <c r="AB19" s="14"/>
      <c r="AC19" s="14"/>
    </row>
    <row r="20" spans="1:29" ht="18.5">
      <c r="A20" s="37"/>
      <c r="B20" s="24" t="s">
        <v>97</v>
      </c>
      <c r="C20" s="30">
        <v>20</v>
      </c>
      <c r="D20" s="232" t="s">
        <v>175</v>
      </c>
      <c r="E20" s="14"/>
      <c r="F20" s="24" t="s">
        <v>334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423"/>
      <c r="Z20" s="424"/>
      <c r="AA20" s="14"/>
      <c r="AB20" s="14"/>
      <c r="AC20" s="14"/>
    </row>
    <row r="21" spans="1:29" ht="19" thickBot="1">
      <c r="A21" s="37"/>
      <c r="B21" s="25" t="s">
        <v>98</v>
      </c>
      <c r="C21" s="29">
        <v>35</v>
      </c>
      <c r="D21" s="234" t="s">
        <v>175</v>
      </c>
      <c r="E21" s="14"/>
      <c r="F21" s="24" t="s">
        <v>475</v>
      </c>
      <c r="G21" s="43"/>
      <c r="H21" s="43">
        <v>1</v>
      </c>
      <c r="I21" s="43">
        <v>200</v>
      </c>
      <c r="J21" s="43">
        <v>0</v>
      </c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423"/>
      <c r="Z21" s="424"/>
      <c r="AA21" s="14"/>
      <c r="AB21" s="14"/>
      <c r="AC21" s="14"/>
    </row>
    <row r="22" spans="1:29" ht="18.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423"/>
      <c r="Z22" s="424"/>
      <c r="AA22" s="14"/>
      <c r="AB22" s="14"/>
      <c r="AC22" s="14"/>
    </row>
    <row r="23" spans="1:29" ht="18.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422"/>
      <c r="U23" s="422"/>
      <c r="V23" s="8"/>
      <c r="W23" s="8"/>
      <c r="X23" s="8"/>
      <c r="Y23" s="8"/>
      <c r="Z23" s="22"/>
      <c r="AA23" s="14"/>
      <c r="AB23" s="14"/>
      <c r="AC23" s="14"/>
    </row>
    <row r="24" spans="1:29" ht="18.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413" t="s">
        <v>129</v>
      </c>
      <c r="O30" s="414"/>
      <c r="P30" s="415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130</v>
      </c>
      <c r="O31" s="192" t="s">
        <v>131</v>
      </c>
      <c r="P31" s="192" t="s">
        <v>132</v>
      </c>
      <c r="Q31" s="14"/>
      <c r="R31" s="14"/>
      <c r="S31" s="413" t="s">
        <v>136</v>
      </c>
      <c r="T31" s="414"/>
      <c r="U31" s="414"/>
      <c r="V31" s="414"/>
      <c r="W31" s="415"/>
      <c r="X31" s="14"/>
      <c r="Y31" s="14"/>
      <c r="Z31" s="36"/>
      <c r="AA31" s="14"/>
      <c r="AB31" s="14"/>
      <c r="AC31" s="14"/>
    </row>
    <row r="32" spans="1:29" ht="21.5" thickBot="1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137</v>
      </c>
      <c r="T32" s="194" t="s">
        <v>138</v>
      </c>
      <c r="U32" s="194" t="s">
        <v>139</v>
      </c>
      <c r="V32" s="194" t="s">
        <v>140</v>
      </c>
      <c r="W32" s="195" t="s">
        <v>141</v>
      </c>
      <c r="X32" s="14"/>
      <c r="Y32" s="14"/>
      <c r="Z32" s="36"/>
      <c r="AA32" s="14"/>
      <c r="AB32" s="14"/>
      <c r="AC32" s="14"/>
    </row>
    <row r="33" spans="1:29" ht="18.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144</v>
      </c>
      <c r="O33" s="19">
        <v>0.27</v>
      </c>
      <c r="P33" s="50">
        <v>0.58599999999999997</v>
      </c>
      <c r="Q33" s="14"/>
      <c r="R33" s="14"/>
      <c r="S33" s="26" t="s">
        <v>158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" thickBot="1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133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" thickBot="1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5">
      <c r="A40" s="37"/>
      <c r="B40" s="14"/>
      <c r="C40" s="14"/>
      <c r="D40" s="14"/>
      <c r="E40" s="14"/>
      <c r="F40" s="387" t="s">
        <v>281</v>
      </c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" thickBot="1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319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13:P18 Q5:Q12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zoomScale="80" zoomScaleNormal="80" workbookViewId="0">
      <selection activeCell="J9" sqref="J9"/>
    </sheetView>
  </sheetViews>
  <sheetFormatPr defaultColWidth="10.81640625" defaultRowHeight="14.5"/>
  <cols>
    <col min="7" max="8" width="24.1796875" bestFit="1" customWidth="1"/>
    <col min="10" max="10" width="16.81640625" bestFit="1" customWidth="1"/>
    <col min="25" max="25" width="26.1796875" bestFit="1" customWidth="1"/>
    <col min="27" max="27" width="31.08984375" bestFit="1" customWidth="1"/>
  </cols>
  <sheetData>
    <row r="1" spans="1:27" ht="15.5">
      <c r="A1" t="s">
        <v>26</v>
      </c>
      <c r="B1" t="s">
        <v>181</v>
      </c>
      <c r="F1" s="1" t="s">
        <v>16</v>
      </c>
      <c r="P1" t="s">
        <v>319</v>
      </c>
    </row>
    <row r="2" spans="1:27" ht="15.5">
      <c r="A2" t="s">
        <v>25</v>
      </c>
      <c r="B2" t="s">
        <v>181</v>
      </c>
      <c r="C2" t="s">
        <v>25</v>
      </c>
      <c r="F2" s="180" t="s">
        <v>116</v>
      </c>
      <c r="P2" t="s">
        <v>319</v>
      </c>
    </row>
    <row r="3" spans="1:27" ht="15.5">
      <c r="A3" t="s">
        <v>12</v>
      </c>
      <c r="B3" t="s">
        <v>180</v>
      </c>
      <c r="C3" t="s">
        <v>12</v>
      </c>
      <c r="F3" s="227" t="s">
        <v>207</v>
      </c>
    </row>
    <row r="4" spans="1:27" ht="15.5">
      <c r="A4" t="s">
        <v>13</v>
      </c>
      <c r="B4" t="s">
        <v>180</v>
      </c>
      <c r="C4" t="s">
        <v>13</v>
      </c>
      <c r="F4" s="227" t="s">
        <v>208</v>
      </c>
    </row>
    <row r="5" spans="1:27" ht="15.5">
      <c r="A5" t="s">
        <v>20</v>
      </c>
      <c r="C5" t="s">
        <v>20</v>
      </c>
      <c r="F5" s="227" t="s">
        <v>209</v>
      </c>
    </row>
    <row r="6" spans="1:27">
      <c r="A6" t="s">
        <v>24</v>
      </c>
      <c r="C6" t="s">
        <v>24</v>
      </c>
    </row>
    <row r="7" spans="1:27">
      <c r="A7" t="s">
        <v>109</v>
      </c>
    </row>
    <row r="8" spans="1:27">
      <c r="A8" t="s">
        <v>110</v>
      </c>
    </row>
    <row r="9" spans="1:27">
      <c r="A9" t="s">
        <v>119</v>
      </c>
    </row>
    <row r="10" spans="1:27">
      <c r="A10" t="s">
        <v>120</v>
      </c>
    </row>
    <row r="13" spans="1:27">
      <c r="Y13" t="s">
        <v>281</v>
      </c>
    </row>
    <row r="14" spans="1:27">
      <c r="A14" t="s">
        <v>212</v>
      </c>
    </row>
    <row r="15" spans="1:27">
      <c r="A15" t="s">
        <v>210</v>
      </c>
    </row>
    <row r="16" spans="1:27">
      <c r="G16" s="323" t="s">
        <v>123</v>
      </c>
      <c r="H16" s="323" t="s">
        <v>145</v>
      </c>
      <c r="I16" s="323" t="s">
        <v>146</v>
      </c>
      <c r="J16" s="323" t="s">
        <v>148</v>
      </c>
      <c r="K16" s="323" t="s">
        <v>149</v>
      </c>
      <c r="L16" s="323"/>
      <c r="M16" s="323" t="s">
        <v>238</v>
      </c>
      <c r="N16" s="323"/>
      <c r="O16" s="323" t="s">
        <v>245</v>
      </c>
      <c r="P16" s="323"/>
      <c r="Q16" s="323"/>
      <c r="R16" s="323" t="s">
        <v>247</v>
      </c>
      <c r="S16" s="323"/>
      <c r="T16" s="323"/>
      <c r="U16" s="323" t="s">
        <v>246</v>
      </c>
      <c r="V16" s="323"/>
      <c r="W16" s="323" t="s">
        <v>458</v>
      </c>
      <c r="X16" s="323"/>
      <c r="Y16" s="323" t="s">
        <v>460</v>
      </c>
      <c r="AA16" s="323" t="s">
        <v>134</v>
      </c>
    </row>
    <row r="17" spans="5:27">
      <c r="E17" t="s">
        <v>464</v>
      </c>
      <c r="G17" t="s">
        <v>124</v>
      </c>
      <c r="H17" t="s">
        <v>161</v>
      </c>
      <c r="I17" t="s">
        <v>94</v>
      </c>
      <c r="J17" t="s">
        <v>11</v>
      </c>
      <c r="K17" t="s">
        <v>150</v>
      </c>
      <c r="M17" s="258">
        <v>2</v>
      </c>
      <c r="O17" t="s">
        <v>280</v>
      </c>
      <c r="R17" t="s">
        <v>234</v>
      </c>
      <c r="U17" t="s">
        <v>261</v>
      </c>
      <c r="W17" t="s">
        <v>491</v>
      </c>
      <c r="Y17" t="s">
        <v>265</v>
      </c>
      <c r="AA17" s="331" t="s">
        <v>265</v>
      </c>
    </row>
    <row r="18" spans="5:27">
      <c r="E18" t="s">
        <v>465</v>
      </c>
      <c r="G18" t="s">
        <v>143</v>
      </c>
      <c r="H18" t="s">
        <v>88</v>
      </c>
      <c r="I18" t="s">
        <v>147</v>
      </c>
      <c r="J18" t="s">
        <v>8</v>
      </c>
      <c r="K18" t="s">
        <v>87</v>
      </c>
      <c r="M18" s="258">
        <v>3</v>
      </c>
      <c r="O18" t="s">
        <v>275</v>
      </c>
      <c r="R18" t="s">
        <v>239</v>
      </c>
      <c r="U18" t="s">
        <v>263</v>
      </c>
      <c r="W18" t="s">
        <v>492</v>
      </c>
      <c r="Y18" t="s">
        <v>267</v>
      </c>
      <c r="AA18" s="331" t="s">
        <v>267</v>
      </c>
    </row>
    <row r="19" spans="5:27">
      <c r="G19" t="s">
        <v>142</v>
      </c>
      <c r="H19" t="s">
        <v>144</v>
      </c>
      <c r="M19" s="258" t="s">
        <v>275</v>
      </c>
      <c r="R19" t="s">
        <v>240</v>
      </c>
      <c r="U19" t="s">
        <v>262</v>
      </c>
      <c r="Y19" t="s">
        <v>268</v>
      </c>
      <c r="AA19" s="331" t="s">
        <v>268</v>
      </c>
    </row>
    <row r="20" spans="5:27">
      <c r="G20" t="s">
        <v>125</v>
      </c>
      <c r="H20" t="s">
        <v>133</v>
      </c>
      <c r="R20" t="s">
        <v>241</v>
      </c>
      <c r="Y20" t="s">
        <v>266</v>
      </c>
      <c r="AA20" s="331" t="s">
        <v>266</v>
      </c>
    </row>
    <row r="21" spans="5:27">
      <c r="G21" t="s">
        <v>219</v>
      </c>
      <c r="H21" t="s">
        <v>282</v>
      </c>
      <c r="Y21" t="s">
        <v>257</v>
      </c>
      <c r="AA21" s="331" t="s">
        <v>257</v>
      </c>
    </row>
    <row r="22" spans="5:27">
      <c r="G22" t="s">
        <v>285</v>
      </c>
      <c r="Y22" t="s">
        <v>466</v>
      </c>
      <c r="AA22" s="331" t="s">
        <v>466</v>
      </c>
    </row>
    <row r="23" spans="5:27">
      <c r="Y23" t="s">
        <v>467</v>
      </c>
      <c r="AA23" s="331" t="s">
        <v>467</v>
      </c>
    </row>
    <row r="24" spans="5:27">
      <c r="Y24" t="s">
        <v>122</v>
      </c>
      <c r="AA24" s="407" t="s">
        <v>503</v>
      </c>
    </row>
    <row r="25" spans="5:27">
      <c r="Y25" t="s">
        <v>135</v>
      </c>
      <c r="AA25" s="407" t="s">
        <v>504</v>
      </c>
    </row>
    <row r="26" spans="5:27">
      <c r="AA26" s="408" t="s">
        <v>509</v>
      </c>
    </row>
    <row r="27" spans="5:27">
      <c r="AA27" s="408" t="s">
        <v>512</v>
      </c>
    </row>
    <row r="28" spans="5:27">
      <c r="AA28" s="408" t="s">
        <v>510</v>
      </c>
    </row>
    <row r="29" spans="5:27">
      <c r="AA29" s="408" t="s">
        <v>511</v>
      </c>
    </row>
    <row r="30" spans="5:27">
      <c r="AA30" s="407" t="s">
        <v>513</v>
      </c>
    </row>
    <row r="31" spans="5:27">
      <c r="AA31" s="407" t="s">
        <v>514</v>
      </c>
    </row>
    <row r="32" spans="5:27">
      <c r="AA32" s="407" t="s">
        <v>505</v>
      </c>
    </row>
    <row r="33" spans="2:27">
      <c r="AA33" s="407" t="s">
        <v>515</v>
      </c>
    </row>
    <row r="34" spans="2:27">
      <c r="AA34" s="407" t="s">
        <v>506</v>
      </c>
    </row>
    <row r="35" spans="2:27">
      <c r="B35" t="s">
        <v>213</v>
      </c>
      <c r="AA35" s="407" t="s">
        <v>507</v>
      </c>
    </row>
    <row r="36" spans="2:27">
      <c r="AA36" s="407" t="s">
        <v>508</v>
      </c>
    </row>
    <row r="40" spans="2:27">
      <c r="C40" t="s">
        <v>471</v>
      </c>
      <c r="E40" t="s">
        <v>472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441"/>
      <c r="E47" s="441"/>
      <c r="F47" s="441"/>
      <c r="G47" s="441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/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75"/>
      <c r="L11" s="75"/>
      <c r="M11" s="249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M39" sqref="M39:M4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1796875" style="3" customWidth="1"/>
    <col min="5" max="5" width="18.1796875" style="3" customWidth="1"/>
    <col min="6" max="6" width="15.1796875" style="3" customWidth="1"/>
    <col min="7" max="7" width="6.1796875" style="3" customWidth="1"/>
    <col min="8" max="8" width="21.453125" style="3" customWidth="1"/>
    <col min="9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2.453125" style="3" bestFit="1" customWidth="1"/>
    <col min="37" max="16384" width="10.816406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>
      <c r="A6" s="5"/>
      <c r="B6" s="5"/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27" t="s">
        <v>76</v>
      </c>
      <c r="T8" s="428"/>
      <c r="U8" s="429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27" t="s">
        <v>7</v>
      </c>
      <c r="AI8" s="428"/>
      <c r="AJ8" s="429"/>
      <c r="AK8" s="83"/>
      <c r="AL8" s="5"/>
      <c r="AM8" s="5"/>
      <c r="AN8" s="5"/>
      <c r="AO8" s="5"/>
    </row>
    <row r="9" spans="1:41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" thickBot="1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1" width="10.81640625" style="3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19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18.453125" style="3" bestFit="1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5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210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I17" sqref="I17"/>
    </sheetView>
  </sheetViews>
  <sheetFormatPr defaultColWidth="10.81640625" defaultRowHeight="14.5"/>
  <cols>
    <col min="3" max="3" width="16.453125" bestFit="1" customWidth="1"/>
    <col min="4" max="4" width="13.1796875" bestFit="1" customWidth="1"/>
    <col min="5" max="5" width="14.54296875" bestFit="1" customWidth="1"/>
    <col min="6" max="6" width="13.81640625" bestFit="1" customWidth="1"/>
    <col min="7" max="9" width="14.1796875" bestFit="1" customWidth="1"/>
    <col min="10" max="10" width="13.1796875" bestFit="1" customWidth="1"/>
  </cols>
  <sheetData>
    <row r="1" spans="2:18">
      <c r="L1" s="11"/>
    </row>
    <row r="2" spans="2:18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>
      <c r="B5" s="324" t="s">
        <v>287</v>
      </c>
      <c r="C5" s="450" t="s">
        <v>99</v>
      </c>
      <c r="D5" s="451"/>
      <c r="E5" s="451"/>
      <c r="F5" s="451"/>
      <c r="G5" s="451"/>
      <c r="H5" s="451"/>
      <c r="I5" s="451"/>
      <c r="J5" s="451"/>
      <c r="K5" s="451"/>
      <c r="L5" s="451"/>
      <c r="M5" s="451"/>
      <c r="N5" s="451"/>
      <c r="O5" s="451"/>
      <c r="P5" s="451"/>
      <c r="Q5" s="452"/>
      <c r="R5" t="s">
        <v>22</v>
      </c>
    </row>
    <row r="6" spans="2:18" ht="18.5">
      <c r="B6" s="295"/>
      <c r="C6" s="169" t="s">
        <v>1</v>
      </c>
      <c r="D6" s="165" t="s">
        <v>189</v>
      </c>
      <c r="E6" s="165" t="s">
        <v>184</v>
      </c>
      <c r="F6" s="165" t="s">
        <v>162</v>
      </c>
      <c r="G6" s="165" t="s">
        <v>216</v>
      </c>
      <c r="H6" s="165" t="s">
        <v>307</v>
      </c>
      <c r="I6" s="165" t="s">
        <v>313</v>
      </c>
      <c r="J6" s="165" t="s">
        <v>474</v>
      </c>
      <c r="K6" s="165"/>
      <c r="L6" s="165"/>
      <c r="M6" s="165"/>
      <c r="N6" s="165"/>
      <c r="O6" s="165"/>
      <c r="P6" s="165"/>
      <c r="Q6" s="327"/>
    </row>
    <row r="7" spans="2:18" ht="18.5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>
        <v>6000</v>
      </c>
      <c r="K7" s="116"/>
      <c r="L7" s="116"/>
      <c r="M7" s="116"/>
      <c r="N7" s="116"/>
      <c r="O7" s="116"/>
      <c r="P7" s="116"/>
      <c r="Q7" s="117"/>
    </row>
    <row r="8" spans="2:18" ht="18.5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 t="s">
        <v>10</v>
      </c>
      <c r="K8" s="116"/>
      <c r="L8" s="116"/>
      <c r="M8" s="116"/>
      <c r="N8" s="116"/>
      <c r="O8" s="116"/>
      <c r="P8" s="116"/>
      <c r="Q8" s="117"/>
    </row>
    <row r="9" spans="2:18" ht="18.5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5">
      <c r="B10" s="297"/>
      <c r="C10" s="166" t="s">
        <v>197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>
        <v>3000</v>
      </c>
      <c r="K10" s="116"/>
      <c r="L10" s="116"/>
      <c r="M10" s="116"/>
      <c r="N10" s="116"/>
      <c r="O10" s="116"/>
      <c r="P10" s="116"/>
      <c r="Q10" s="117"/>
    </row>
    <row r="11" spans="2:18" ht="18.5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 t="s">
        <v>11</v>
      </c>
      <c r="K11" s="116"/>
      <c r="L11" s="116"/>
      <c r="M11" s="116"/>
      <c r="N11" s="116"/>
      <c r="O11" s="116"/>
      <c r="P11" s="116"/>
      <c r="Q11" s="117"/>
    </row>
    <row r="12" spans="2:18" ht="18.5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-4</v>
      </c>
      <c r="H12" s="116">
        <v>0</v>
      </c>
      <c r="I12" s="116">
        <v>0</v>
      </c>
      <c r="J12" s="116">
        <v>0</v>
      </c>
      <c r="K12" s="116"/>
      <c r="L12" s="116"/>
      <c r="M12" s="116"/>
      <c r="N12" s="116"/>
      <c r="O12" s="116"/>
      <c r="P12" s="116"/>
      <c r="Q12" s="117"/>
    </row>
    <row r="13" spans="2:18" ht="18.5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5">
      <c r="B14" s="297" t="s">
        <v>180</v>
      </c>
      <c r="C14" s="128" t="s">
        <v>288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" thickBot="1">
      <c r="B15" s="298" t="s">
        <v>180</v>
      </c>
      <c r="C15" s="171" t="s">
        <v>289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>
      <c r="I16" s="11"/>
      <c r="J16" s="11"/>
      <c r="K16" s="11"/>
      <c r="L16" s="11"/>
    </row>
    <row r="19" spans="2:11">
      <c r="B19" t="s">
        <v>291</v>
      </c>
    </row>
    <row r="20" spans="2:11">
      <c r="B20" s="326" t="s">
        <v>294</v>
      </c>
      <c r="F20">
        <v>3000</v>
      </c>
    </row>
    <row r="21" spans="2:11">
      <c r="B21" t="s">
        <v>292</v>
      </c>
      <c r="C21">
        <v>76</v>
      </c>
      <c r="D21" t="s">
        <v>295</v>
      </c>
    </row>
    <row r="22" spans="2:11">
      <c r="B22" t="s">
        <v>293</v>
      </c>
      <c r="C22">
        <v>182</v>
      </c>
      <c r="D22" t="s">
        <v>295</v>
      </c>
    </row>
    <row r="23" spans="2:11">
      <c r="B23" t="s">
        <v>449</v>
      </c>
      <c r="C23">
        <f xml:space="preserve"> (C21+C22)/2 * 1000</f>
        <v>129000</v>
      </c>
    </row>
    <row r="24" spans="2:11">
      <c r="B24" t="s">
        <v>302</v>
      </c>
      <c r="C24">
        <f>_xlfn.STDEV.P(C21:C22)/AVERAGE(C21:C22)</f>
        <v>0.41085271317829458</v>
      </c>
    </row>
    <row r="25" spans="2:11">
      <c r="C25">
        <f>F10 - F10*C24</f>
        <v>44775.193798449611</v>
      </c>
      <c r="F25">
        <f>500/1000000</f>
        <v>5.0000000000000001E-4</v>
      </c>
    </row>
    <row r="26" spans="2:11">
      <c r="C26">
        <f>F10 + F10*C24</f>
        <v>107224.80620155038</v>
      </c>
      <c r="K26" t="s">
        <v>22</v>
      </c>
    </row>
    <row r="29" spans="2:11">
      <c r="B29" s="326" t="s">
        <v>296</v>
      </c>
      <c r="F29">
        <v>2000</v>
      </c>
    </row>
    <row r="30" spans="2:11">
      <c r="B30" t="s">
        <v>297</v>
      </c>
      <c r="C30">
        <v>1.04</v>
      </c>
      <c r="D30" t="s">
        <v>299</v>
      </c>
    </row>
    <row r="31" spans="2:11">
      <c r="B31" t="s">
        <v>298</v>
      </c>
      <c r="C31">
        <v>0.9</v>
      </c>
      <c r="D31" t="s">
        <v>299</v>
      </c>
    </row>
    <row r="33" spans="2:6">
      <c r="B33" t="s">
        <v>300</v>
      </c>
      <c r="C33">
        <v>0.78900000000000003</v>
      </c>
      <c r="D33" t="s">
        <v>301</v>
      </c>
    </row>
    <row r="35" spans="2:6">
      <c r="B35" t="s">
        <v>297</v>
      </c>
      <c r="C35">
        <f>C30*C33 *1000</f>
        <v>820.56000000000006</v>
      </c>
      <c r="D35" t="s">
        <v>303</v>
      </c>
    </row>
    <row r="36" spans="2:6">
      <c r="B36" t="s">
        <v>298</v>
      </c>
      <c r="C36">
        <f>C31*C33*1000</f>
        <v>710.1</v>
      </c>
      <c r="D36" t="s">
        <v>303</v>
      </c>
    </row>
    <row r="37" spans="2:6" ht="18.5">
      <c r="B37" t="s">
        <v>449</v>
      </c>
      <c r="C37" s="116">
        <f>(C35+C36)/2</f>
        <v>765.33</v>
      </c>
      <c r="D37" t="s">
        <v>303</v>
      </c>
      <c r="E37" s="365"/>
    </row>
    <row r="38" spans="2:6">
      <c r="B38" t="s">
        <v>302</v>
      </c>
      <c r="C38" s="328">
        <f>_xlfn.STDEV.P(C35:C36)/AVERAGE(C35:C36)</f>
        <v>7.2164948453608269E-2</v>
      </c>
      <c r="E38" t="s">
        <v>450</v>
      </c>
    </row>
    <row r="39" spans="2:6">
      <c r="C39">
        <f>C37 + C37*C38</f>
        <v>820.56000000000006</v>
      </c>
    </row>
    <row r="40" spans="2:6">
      <c r="C40">
        <f>C37 - C37*C38</f>
        <v>710.1</v>
      </c>
    </row>
    <row r="43" spans="2:6">
      <c r="B43" s="326" t="s">
        <v>304</v>
      </c>
      <c r="F43">
        <v>4000</v>
      </c>
    </row>
    <row r="44" spans="2:6">
      <c r="B44" t="s">
        <v>297</v>
      </c>
      <c r="C44">
        <v>2.4</v>
      </c>
      <c r="D44" t="s">
        <v>305</v>
      </c>
    </row>
    <row r="45" spans="2:6">
      <c r="B45" t="s">
        <v>298</v>
      </c>
      <c r="C45">
        <v>3.03</v>
      </c>
      <c r="D45" t="s">
        <v>305</v>
      </c>
    </row>
    <row r="47" spans="2:6">
      <c r="B47" t="s">
        <v>306</v>
      </c>
      <c r="C47">
        <f>_xlfn.STDEV.P(C44:C45)/AVERAGE(C44:C45)</f>
        <v>0.11602209944751414</v>
      </c>
    </row>
    <row r="48" spans="2:6">
      <c r="B48" t="s">
        <v>297</v>
      </c>
      <c r="C48">
        <f>H10 - C47*H10</f>
        <v>2399.9999999999991</v>
      </c>
      <c r="D48" t="s">
        <v>303</v>
      </c>
    </row>
    <row r="49" spans="2:6">
      <c r="B49" t="s">
        <v>298</v>
      </c>
      <c r="C49">
        <f>H10 + C47*H10</f>
        <v>3030.0000000000009</v>
      </c>
      <c r="D49" t="s">
        <v>303</v>
      </c>
    </row>
    <row r="53" spans="2:6">
      <c r="B53" s="326" t="s">
        <v>312</v>
      </c>
      <c r="F53">
        <v>5000</v>
      </c>
    </row>
    <row r="54" spans="2:6">
      <c r="B54" t="s">
        <v>297</v>
      </c>
      <c r="C54">
        <v>1000</v>
      </c>
      <c r="D54" t="s">
        <v>303</v>
      </c>
    </row>
    <row r="55" spans="2:6">
      <c r="B55" t="s">
        <v>298</v>
      </c>
      <c r="C55">
        <v>1300</v>
      </c>
      <c r="D55" t="s">
        <v>303</v>
      </c>
    </row>
    <row r="57" spans="2:6">
      <c r="C57">
        <f>_xlfn.STDEV.P(C54:C55) / 1150</f>
        <v>0.13043478260869565</v>
      </c>
    </row>
    <row r="58" spans="2:6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J4" zoomScale="83" zoomScaleNormal="83" workbookViewId="0">
      <selection activeCell="S8" sqref="S8"/>
    </sheetView>
  </sheetViews>
  <sheetFormatPr defaultColWidth="10.81640625" defaultRowHeight="14.5"/>
  <cols>
    <col min="4" max="4" width="21.1796875" bestFit="1" customWidth="1"/>
    <col min="5" max="6" width="13" bestFit="1" customWidth="1"/>
    <col min="9" max="9" width="14.36328125" bestFit="1" customWidth="1"/>
  </cols>
  <sheetData>
    <row r="4" spans="3:19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9" ht="24" thickBot="1">
      <c r="C5" s="217" t="s">
        <v>198</v>
      </c>
      <c r="D5" s="453" t="s">
        <v>102</v>
      </c>
      <c r="E5" s="454"/>
      <c r="F5" s="454"/>
      <c r="G5" s="454"/>
      <c r="H5" s="454"/>
      <c r="I5" s="454"/>
      <c r="J5" s="454"/>
      <c r="K5" s="454"/>
      <c r="L5" s="454"/>
      <c r="M5" s="454"/>
      <c r="N5" s="454"/>
      <c r="O5" s="455"/>
      <c r="P5" s="11"/>
      <c r="Q5" s="11"/>
    </row>
    <row r="6" spans="3:19" ht="18.5">
      <c r="C6" s="218" t="s">
        <v>170</v>
      </c>
      <c r="D6" s="143" t="s">
        <v>1</v>
      </c>
      <c r="E6" s="206" t="s">
        <v>163</v>
      </c>
      <c r="F6" s="207" t="s">
        <v>166</v>
      </c>
      <c r="G6" s="207" t="s">
        <v>108</v>
      </c>
      <c r="H6" s="207" t="s">
        <v>217</v>
      </c>
      <c r="I6" s="207" t="s">
        <v>494</v>
      </c>
      <c r="J6" s="144"/>
      <c r="K6" s="144"/>
      <c r="L6" s="144"/>
      <c r="M6" s="144"/>
      <c r="N6" s="144"/>
      <c r="O6" s="145"/>
      <c r="P6" s="11"/>
      <c r="Q6" s="11"/>
    </row>
    <row r="7" spans="3:19" ht="18.5">
      <c r="C7" s="219" t="s">
        <v>170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9" ht="18.5">
      <c r="C8" s="220" t="s">
        <v>199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  <c r="S8" s="409" t="s">
        <v>517</v>
      </c>
    </row>
    <row r="9" spans="3:19" ht="18.5">
      <c r="C9" s="220" t="s">
        <v>180</v>
      </c>
      <c r="D9" s="143" t="s">
        <v>201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9" ht="18.5">
      <c r="C10" s="220" t="s">
        <v>180</v>
      </c>
      <c r="D10" s="143" t="s">
        <v>202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9" ht="18.5">
      <c r="C11" s="219" t="s">
        <v>170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9" ht="18.5">
      <c r="C12" s="219" t="s">
        <v>170</v>
      </c>
      <c r="D12" s="143" t="s">
        <v>200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9" ht="19" thickBot="1">
      <c r="C13" s="221" t="s">
        <v>170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9" ht="18.5">
      <c r="C14" s="222"/>
      <c r="D14" s="148" t="s">
        <v>311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9" ht="18.5">
      <c r="C15" s="172"/>
      <c r="D15" s="149" t="s">
        <v>164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9" ht="18.5">
      <c r="C16" s="172"/>
      <c r="D16" s="149" t="s">
        <v>165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5">
      <c r="C17" s="172"/>
      <c r="D17" s="149" t="s">
        <v>162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5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5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5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5">
      <c r="C21" s="172"/>
      <c r="D21" s="149" t="s">
        <v>218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5">
      <c r="C22" s="172"/>
      <c r="D22" s="149" t="s">
        <v>310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5">
      <c r="C23" s="172"/>
      <c r="D23" s="149" t="s">
        <v>313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5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5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>
      <c r="C42" t="s">
        <v>308</v>
      </c>
    </row>
    <row r="43" spans="2:17">
      <c r="C43" t="s">
        <v>309</v>
      </c>
    </row>
    <row r="44" spans="2:17">
      <c r="C44" s="331" t="s">
        <v>314</v>
      </c>
    </row>
    <row r="45" spans="2:17">
      <c r="C45">
        <f>E17*100</f>
        <v>1.97</v>
      </c>
      <c r="N45" s="11" t="s">
        <v>22</v>
      </c>
    </row>
    <row r="46" spans="2:17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64" t="s">
        <v>228</v>
      </c>
      <c r="D6" s="267" t="s">
        <v>232</v>
      </c>
      <c r="E6" s="204"/>
      <c r="F6" s="272" t="s">
        <v>229</v>
      </c>
      <c r="G6" s="272" t="s">
        <v>233</v>
      </c>
      <c r="H6" s="272" t="s">
        <v>231</v>
      </c>
      <c r="I6" s="204"/>
      <c r="J6" s="262" t="s">
        <v>229</v>
      </c>
      <c r="K6" s="262" t="s">
        <v>233</v>
      </c>
      <c r="L6" s="262" t="s">
        <v>231</v>
      </c>
      <c r="M6" s="258"/>
      <c r="N6" s="262" t="s">
        <v>229</v>
      </c>
      <c r="O6" s="266" t="s">
        <v>230</v>
      </c>
      <c r="P6" s="262" t="s">
        <v>231</v>
      </c>
      <c r="Q6" s="204"/>
      <c r="R6" s="11"/>
      <c r="S6" s="11"/>
      <c r="T6" s="11"/>
    </row>
    <row r="7" spans="3:20">
      <c r="C7" s="276" t="s">
        <v>220</v>
      </c>
      <c r="D7" s="277">
        <f>1/8</f>
        <v>0.125</v>
      </c>
      <c r="E7" s="204"/>
      <c r="F7" s="278">
        <v>11</v>
      </c>
      <c r="G7" s="273">
        <v>0.15</v>
      </c>
      <c r="H7" s="279" t="s">
        <v>165</v>
      </c>
      <c r="I7" s="204"/>
      <c r="J7" s="276">
        <v>11</v>
      </c>
      <c r="K7" s="287"/>
      <c r="L7" s="291" t="s">
        <v>162</v>
      </c>
      <c r="M7" s="204"/>
      <c r="N7" s="204"/>
      <c r="O7" s="204"/>
      <c r="P7" s="204"/>
      <c r="Q7" s="204"/>
      <c r="R7" s="11"/>
      <c r="S7" s="11"/>
      <c r="T7" s="11"/>
    </row>
    <row r="8" spans="3:20">
      <c r="C8" s="178" t="s">
        <v>221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165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>
      <c r="C9" s="178" t="s">
        <v>222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165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>
      <c r="C10" s="178" t="s">
        <v>223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165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>
      <c r="C11" s="178" t="s">
        <v>224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165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>
      <c r="C12" s="178" t="s">
        <v>225</v>
      </c>
      <c r="D12" s="280">
        <f>1/8</f>
        <v>0.125</v>
      </c>
      <c r="E12" s="204"/>
      <c r="F12" s="281">
        <v>11</v>
      </c>
      <c r="G12" s="274">
        <v>0.15</v>
      </c>
      <c r="H12" s="282" t="s">
        <v>165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>
      <c r="C13" s="178" t="s">
        <v>226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165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>
      <c r="C14" s="283" t="s">
        <v>227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165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456" t="s">
        <v>234</v>
      </c>
      <c r="D22" s="457"/>
      <c r="E22" s="457"/>
      <c r="F22" s="45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68" t="s">
        <v>235</v>
      </c>
      <c r="D23" s="269" t="s">
        <v>236</v>
      </c>
      <c r="E23" s="268" t="s">
        <v>237</v>
      </c>
      <c r="F23" s="261" t="s">
        <v>232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92">
        <v>11</v>
      </c>
      <c r="D24" s="293" t="s">
        <v>165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9"/>
      <c r="D25" s="270" t="s">
        <v>162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81640625" defaultRowHeight="14.5"/>
  <cols>
    <col min="4" max="4" width="17.81640625" bestFit="1" customWidth="1"/>
    <col min="5" max="5" width="17" bestFit="1" customWidth="1"/>
    <col min="6" max="6" width="13" bestFit="1" customWidth="1"/>
    <col min="9" max="9" width="8.8164062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459" t="s">
        <v>111</v>
      </c>
      <c r="E5" s="460"/>
      <c r="F5" s="460"/>
      <c r="G5" s="460"/>
      <c r="H5" s="460"/>
      <c r="I5" s="460"/>
      <c r="J5" s="460"/>
      <c r="K5" s="460"/>
      <c r="L5" s="460"/>
      <c r="M5" s="460"/>
      <c r="N5" s="460"/>
      <c r="O5" s="461"/>
      <c r="P5" s="11"/>
      <c r="Q5" s="11"/>
    </row>
    <row r="6" spans="3:17" ht="18.5">
      <c r="C6" s="11"/>
      <c r="D6" s="216" t="s">
        <v>1</v>
      </c>
      <c r="E6" s="207" t="s">
        <v>205</v>
      </c>
      <c r="F6" s="207" t="s">
        <v>442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5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5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5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5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5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5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5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5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5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5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5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" thickBot="1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63"/>
  <sheetViews>
    <sheetView topLeftCell="A3" zoomScale="70" zoomScaleNormal="70" workbookViewId="0">
      <selection activeCell="K26" sqref="K26"/>
    </sheetView>
  </sheetViews>
  <sheetFormatPr defaultColWidth="10.90625" defaultRowHeight="14.5"/>
  <cols>
    <col min="2" max="2" width="30.08984375" bestFit="1" customWidth="1"/>
    <col min="3" max="3" width="15.54296875" customWidth="1"/>
    <col min="4" max="4" width="17.81640625" customWidth="1"/>
    <col min="5" max="5" width="12.81640625" customWidth="1"/>
    <col min="6" max="6" width="16" bestFit="1" customWidth="1"/>
    <col min="8" max="8" width="14" bestFit="1" customWidth="1"/>
    <col min="9" max="9" width="18.453125" customWidth="1"/>
    <col min="10" max="11" width="25.54296875" bestFit="1" customWidth="1"/>
    <col min="12" max="12" width="17.36328125" bestFit="1" customWidth="1"/>
    <col min="13" max="13" width="12.1796875" bestFit="1" customWidth="1"/>
    <col min="14" max="14" width="22.453125" bestFit="1" customWidth="1"/>
    <col min="15" max="15" width="15.81640625" customWidth="1"/>
  </cols>
  <sheetData>
    <row r="1" spans="1:17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7" ht="15" thickBot="1">
      <c r="A2" s="11"/>
      <c r="B2" s="462" t="s">
        <v>242</v>
      </c>
      <c r="C2" s="463"/>
      <c r="D2" s="11"/>
      <c r="E2" s="11"/>
      <c r="F2" s="11"/>
      <c r="G2" s="11"/>
      <c r="H2" s="11"/>
      <c r="I2" s="11"/>
      <c r="J2" s="11"/>
      <c r="K2" s="11"/>
    </row>
    <row r="3" spans="1:17" ht="15" thickBot="1">
      <c r="A3" s="11"/>
      <c r="B3" s="378" t="s">
        <v>478</v>
      </c>
      <c r="C3" s="262" t="s">
        <v>465</v>
      </c>
      <c r="D3" s="11"/>
      <c r="E3" s="11"/>
      <c r="F3" s="11"/>
      <c r="G3" s="11"/>
      <c r="H3" s="11"/>
      <c r="I3" s="11"/>
      <c r="J3" s="11"/>
      <c r="K3" s="11"/>
    </row>
    <row r="4" spans="1:17">
      <c r="A4" s="11"/>
      <c r="B4" s="172" t="s">
        <v>479</v>
      </c>
      <c r="C4" s="289">
        <v>3</v>
      </c>
      <c r="D4" s="11"/>
      <c r="E4" s="11"/>
      <c r="F4" s="11"/>
      <c r="G4" s="11"/>
      <c r="H4" s="11"/>
      <c r="I4" s="11"/>
      <c r="J4" s="11"/>
      <c r="K4" s="11"/>
    </row>
    <row r="5" spans="1:17" ht="15" thickBot="1">
      <c r="A5" s="11"/>
      <c r="B5" s="173" t="s">
        <v>488</v>
      </c>
      <c r="C5" s="290" t="s">
        <v>275</v>
      </c>
      <c r="D5" s="11"/>
      <c r="E5" s="11"/>
      <c r="F5" s="11"/>
      <c r="G5" s="11"/>
      <c r="H5" s="11"/>
      <c r="I5" s="11"/>
      <c r="J5" s="11"/>
      <c r="K5" s="11"/>
    </row>
    <row r="6" spans="1:17" ht="15" thickBot="1">
      <c r="A6" s="11"/>
      <c r="B6" s="379" t="s">
        <v>489</v>
      </c>
      <c r="C6" s="262" t="str">
        <f xml:space="preserve"> IF(C3 ="True", "False","True")</f>
        <v>True</v>
      </c>
      <c r="D6" s="11"/>
      <c r="E6" s="11"/>
      <c r="F6" s="11"/>
      <c r="G6" s="11"/>
      <c r="H6" s="11"/>
      <c r="I6" s="11"/>
      <c r="J6" s="11"/>
      <c r="K6" s="11"/>
      <c r="M6" s="258"/>
    </row>
    <row r="7" spans="1:17">
      <c r="A7" s="11"/>
      <c r="B7" s="172" t="s">
        <v>490</v>
      </c>
      <c r="C7" s="289">
        <v>20</v>
      </c>
      <c r="D7" s="11"/>
      <c r="E7" s="11"/>
      <c r="F7" s="11"/>
      <c r="G7" s="11"/>
      <c r="H7" s="11"/>
      <c r="I7" s="11"/>
      <c r="J7" s="11"/>
      <c r="K7" s="11"/>
    </row>
    <row r="8" spans="1:17" ht="15" thickBot="1">
      <c r="A8" s="11"/>
      <c r="B8" s="173"/>
      <c r="C8" s="290"/>
      <c r="D8" s="11"/>
      <c r="E8" s="11"/>
      <c r="F8" s="11"/>
      <c r="G8" s="11"/>
      <c r="H8" s="11"/>
      <c r="I8" s="11"/>
      <c r="J8" s="11"/>
      <c r="K8" s="11"/>
    </row>
    <row r="9" spans="1:17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</row>
    <row r="10" spans="1:17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7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7" ht="15" thickBot="1">
      <c r="A12" s="11"/>
      <c r="B12" s="376" t="s">
        <v>278</v>
      </c>
      <c r="C12" s="11"/>
      <c r="D12" s="381" t="s">
        <v>451</v>
      </c>
      <c r="E12" s="362"/>
      <c r="F12" s="362"/>
      <c r="G12" s="362"/>
      <c r="H12" s="362"/>
      <c r="I12" s="362"/>
      <c r="J12" s="299"/>
      <c r="K12" s="11"/>
    </row>
    <row r="13" spans="1:17" ht="15" thickBot="1">
      <c r="A13" s="11"/>
      <c r="B13" s="222" t="s">
        <v>274</v>
      </c>
      <c r="C13" s="11"/>
      <c r="D13" s="383" t="s">
        <v>487</v>
      </c>
      <c r="E13" s="399" t="s">
        <v>486</v>
      </c>
      <c r="F13" s="204"/>
      <c r="G13" s="204"/>
      <c r="H13" s="204"/>
      <c r="I13" s="204"/>
      <c r="J13" s="289"/>
      <c r="K13" s="11"/>
    </row>
    <row r="14" spans="1:17">
      <c r="A14" s="11"/>
      <c r="B14" s="222">
        <v>1</v>
      </c>
      <c r="C14" s="11"/>
      <c r="D14" s="222">
        <v>11</v>
      </c>
      <c r="E14" s="292" t="s">
        <v>14</v>
      </c>
      <c r="F14" s="293" t="s">
        <v>164</v>
      </c>
      <c r="G14" s="293"/>
      <c r="H14" s="293"/>
      <c r="I14" s="293"/>
      <c r="J14" s="364"/>
      <c r="K14" s="11"/>
      <c r="M14" s="258"/>
      <c r="N14" s="388"/>
      <c r="O14" s="258"/>
      <c r="P14" s="258"/>
      <c r="Q14" s="258"/>
    </row>
    <row r="15" spans="1:17">
      <c r="A15" s="11"/>
      <c r="B15" s="172">
        <v>0.5</v>
      </c>
      <c r="C15" s="11"/>
      <c r="D15" s="172">
        <v>33</v>
      </c>
      <c r="E15" s="325" t="s">
        <v>4</v>
      </c>
      <c r="F15" s="270"/>
      <c r="G15" s="270"/>
      <c r="H15" s="270"/>
      <c r="I15" s="270"/>
      <c r="J15" s="400"/>
      <c r="K15" s="11"/>
      <c r="M15" s="258"/>
      <c r="N15" s="388"/>
      <c r="O15" s="258"/>
      <c r="P15" s="258"/>
      <c r="Q15" s="258"/>
    </row>
    <row r="16" spans="1:17">
      <c r="A16" s="11"/>
      <c r="B16" s="172">
        <v>0</v>
      </c>
      <c r="C16" s="11"/>
      <c r="D16" s="172"/>
      <c r="E16" s="325"/>
      <c r="F16" s="270"/>
      <c r="G16" s="270"/>
      <c r="H16" s="270"/>
      <c r="I16" s="270"/>
      <c r="J16" s="400"/>
      <c r="K16" s="11"/>
    </row>
    <row r="17" spans="1:25">
      <c r="A17" s="11"/>
      <c r="B17" s="172">
        <v>-0.5</v>
      </c>
      <c r="C17" s="11"/>
      <c r="D17" s="172"/>
      <c r="E17" s="325"/>
      <c r="F17" s="270"/>
      <c r="G17" s="270"/>
      <c r="H17" s="270"/>
      <c r="I17" s="270"/>
      <c r="J17" s="400"/>
      <c r="K17" s="11"/>
    </row>
    <row r="18" spans="1:25">
      <c r="A18" s="11"/>
      <c r="B18" s="172">
        <v>-1</v>
      </c>
      <c r="C18" s="11"/>
      <c r="D18" s="172"/>
      <c r="E18" s="325"/>
      <c r="F18" s="270"/>
      <c r="G18" s="270"/>
      <c r="H18" s="270"/>
      <c r="I18" s="270"/>
      <c r="J18" s="400"/>
      <c r="K18" s="11"/>
    </row>
    <row r="19" spans="1:25">
      <c r="A19" s="11"/>
      <c r="B19" s="172"/>
      <c r="C19" s="11"/>
      <c r="D19" s="172"/>
      <c r="E19" s="325"/>
      <c r="F19" s="270"/>
      <c r="G19" s="270"/>
      <c r="H19" s="270"/>
      <c r="I19" s="270"/>
      <c r="J19" s="400"/>
      <c r="K19" s="11"/>
    </row>
    <row r="20" spans="1:25">
      <c r="A20" s="11"/>
      <c r="B20" s="172"/>
      <c r="C20" s="11"/>
      <c r="D20" s="172"/>
      <c r="E20" s="325"/>
      <c r="F20" s="270"/>
      <c r="G20" s="270"/>
      <c r="H20" s="270"/>
      <c r="I20" s="270"/>
      <c r="J20" s="400"/>
      <c r="K20" s="11"/>
    </row>
    <row r="21" spans="1:25" ht="15" thickBot="1">
      <c r="A21" s="11"/>
      <c r="B21" s="173"/>
      <c r="C21" s="11"/>
      <c r="D21" s="173"/>
      <c r="E21" s="393"/>
      <c r="F21" s="294"/>
      <c r="G21" s="294"/>
      <c r="H21" s="294"/>
      <c r="I21" s="294"/>
      <c r="J21" s="401"/>
      <c r="K21" s="11"/>
    </row>
    <row r="22" spans="1: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464" t="s">
        <v>473</v>
      </c>
      <c r="V22" s="464"/>
      <c r="W22" s="464"/>
      <c r="X22" s="464"/>
      <c r="Y22" s="464"/>
    </row>
    <row r="23" spans="1:25" ht="15" thickBot="1">
      <c r="A23" s="11"/>
      <c r="B23" s="382"/>
      <c r="C23" s="382"/>
      <c r="D23" s="382"/>
      <c r="E23" s="382"/>
      <c r="F23" s="382"/>
      <c r="G23" s="382"/>
      <c r="H23" s="382"/>
      <c r="I23" s="382"/>
      <c r="J23" s="382"/>
      <c r="K23" s="382"/>
      <c r="U23" s="464"/>
      <c r="V23" s="464"/>
      <c r="W23" s="464"/>
      <c r="X23" s="464"/>
      <c r="Y23" s="464"/>
    </row>
    <row r="24" spans="1:25" ht="15" thickBot="1">
      <c r="A24" s="11"/>
      <c r="B24" s="382"/>
      <c r="C24" s="382"/>
      <c r="D24" s="462" t="s">
        <v>463</v>
      </c>
      <c r="E24" s="465"/>
      <c r="F24" s="465"/>
      <c r="G24" s="463"/>
      <c r="H24" s="462" t="s">
        <v>461</v>
      </c>
      <c r="I24" s="465"/>
      <c r="J24" s="463"/>
      <c r="K24" s="380" t="s">
        <v>462</v>
      </c>
      <c r="U24" s="464"/>
      <c r="V24" s="464"/>
      <c r="W24" s="464"/>
      <c r="X24" s="464"/>
      <c r="Y24" s="464"/>
    </row>
    <row r="25" spans="1:25" ht="15" thickBot="1">
      <c r="A25" s="11"/>
      <c r="B25" s="384" t="s">
        <v>477</v>
      </c>
      <c r="C25" s="383" t="s">
        <v>480</v>
      </c>
      <c r="D25" s="383" t="s">
        <v>33</v>
      </c>
      <c r="E25" s="383" t="s">
        <v>481</v>
      </c>
      <c r="F25" s="385" t="s">
        <v>482</v>
      </c>
      <c r="G25" s="380" t="s">
        <v>254</v>
      </c>
      <c r="H25" s="402" t="s">
        <v>483</v>
      </c>
      <c r="I25" s="402" t="s">
        <v>256</v>
      </c>
      <c r="J25" s="386" t="s">
        <v>484</v>
      </c>
      <c r="K25" s="398" t="s">
        <v>485</v>
      </c>
      <c r="U25" s="394"/>
      <c r="V25" s="395" t="s">
        <v>468</v>
      </c>
      <c r="W25" s="395" t="s">
        <v>469</v>
      </c>
      <c r="X25" s="395" t="s">
        <v>470</v>
      </c>
      <c r="Y25" s="394"/>
    </row>
    <row r="26" spans="1:25">
      <c r="A26" s="11"/>
      <c r="B26" s="222" t="s">
        <v>265</v>
      </c>
      <c r="C26" s="295">
        <v>220</v>
      </c>
      <c r="D26" s="292" t="s">
        <v>162</v>
      </c>
      <c r="E26" s="297">
        <v>320</v>
      </c>
      <c r="F26" s="295" t="s">
        <v>281</v>
      </c>
      <c r="G26" s="295">
        <v>0.6</v>
      </c>
      <c r="H26" s="288">
        <v>1</v>
      </c>
      <c r="I26" s="295" t="s">
        <v>262</v>
      </c>
      <c r="J26" s="297" t="s">
        <v>454</v>
      </c>
      <c r="K26" s="295" t="s">
        <v>491</v>
      </c>
      <c r="U26" s="394"/>
      <c r="V26" s="394" t="str">
        <f>IF(OR(B26 = DataBank!$Y$23, B26 = DataBank!$Y$22, B26 = DataBank!$Y$24, B26 =DataBank!$Y$25, B26 = ""),  "NAValue", "ComponentsList")</f>
        <v>ComponentsList</v>
      </c>
      <c r="W26" s="394" t="str">
        <f>IF(B26= DataBank!$Y$17,  "UnitNumbers", "NAValue")</f>
        <v>UnitNumbers</v>
      </c>
      <c r="X26" s="394" t="str">
        <f>IF(OR(B26= DataBank!$Y$20, B26 =DataBank!$Y$19), "ReactionNumbers", "NAValue")</f>
        <v>NAValue</v>
      </c>
      <c r="Y26" s="394"/>
    </row>
    <row r="27" spans="1:25">
      <c r="A27" s="11"/>
      <c r="B27" s="172" t="s">
        <v>267</v>
      </c>
      <c r="C27" s="297">
        <v>11</v>
      </c>
      <c r="D27" s="325" t="s">
        <v>165</v>
      </c>
      <c r="E27" s="297" t="s">
        <v>281</v>
      </c>
      <c r="F27" s="297" t="s">
        <v>281</v>
      </c>
      <c r="G27" s="297">
        <v>0.2</v>
      </c>
      <c r="H27" s="289">
        <v>2</v>
      </c>
      <c r="I27" s="297" t="s">
        <v>262</v>
      </c>
      <c r="J27" s="297" t="s">
        <v>454</v>
      </c>
      <c r="K27" s="297" t="s">
        <v>492</v>
      </c>
      <c r="U27" s="394"/>
      <c r="V27" s="394" t="str">
        <f>IF(OR(B27 = DataBank!$Y$23, B27 = DataBank!$Y$22, B27 = DataBank!$Y$24, B27 =DataBank!$Y$25, B27 = ""),  "NAValue", "ComponentsList")</f>
        <v>ComponentsList</v>
      </c>
      <c r="W27" s="394" t="str">
        <f>IF(B27= DataBank!$Y$17,  "UnitNumbers", "NAValue")</f>
        <v>NAValue</v>
      </c>
      <c r="X27" s="394" t="str">
        <f>IF(OR(B27= DataBank!$Y$20, B27 =DataBank!$Y$19), "ReactionNumbers", "NAValue")</f>
        <v>NAValue</v>
      </c>
      <c r="Y27" s="394"/>
    </row>
    <row r="28" spans="1:25">
      <c r="A28" s="11"/>
      <c r="B28" s="172" t="s">
        <v>268</v>
      </c>
      <c r="C28" s="297">
        <v>210</v>
      </c>
      <c r="D28" s="325" t="s">
        <v>165</v>
      </c>
      <c r="E28" s="297" t="s">
        <v>281</v>
      </c>
      <c r="F28" s="297">
        <v>1</v>
      </c>
      <c r="G28" s="297">
        <v>0.28000000000000003</v>
      </c>
      <c r="H28" s="289">
        <v>2</v>
      </c>
      <c r="I28" s="297" t="s">
        <v>261</v>
      </c>
      <c r="J28" s="297" t="s">
        <v>454</v>
      </c>
      <c r="K28" s="297" t="s">
        <v>492</v>
      </c>
      <c r="U28" s="394"/>
      <c r="V28" s="394" t="str">
        <f>IF(OR(B28 = DataBank!$Y$23, B28 = DataBank!$Y$22, B28 = DataBank!$Y$24, B28 =DataBank!$Y$25, B28 = ""),  "NAValue", "ComponentsList")</f>
        <v>ComponentsList</v>
      </c>
      <c r="W28" s="394" t="str">
        <f>IF(B28= DataBank!$Y$17,  "UnitNumbers", "NAValue")</f>
        <v>NAValue</v>
      </c>
      <c r="X28" s="394" t="str">
        <f>IF(OR(B28= DataBank!$Y$20, B28 =DataBank!$Y$19), "ReactionNumbers", "NAValue")</f>
        <v>ReactionNumbers</v>
      </c>
      <c r="Y28" s="394"/>
    </row>
    <row r="29" spans="1:25">
      <c r="A29" s="11"/>
      <c r="B29" s="172" t="s">
        <v>266</v>
      </c>
      <c r="C29" s="297">
        <v>240</v>
      </c>
      <c r="D29" s="325" t="s">
        <v>334</v>
      </c>
      <c r="E29" s="297" t="s">
        <v>281</v>
      </c>
      <c r="F29" s="297">
        <v>7</v>
      </c>
      <c r="G29" s="297">
        <v>0.1</v>
      </c>
      <c r="H29" s="289">
        <v>4</v>
      </c>
      <c r="I29" s="297" t="s">
        <v>262</v>
      </c>
      <c r="J29" s="297" t="s">
        <v>454</v>
      </c>
      <c r="K29" s="297" t="s">
        <v>492</v>
      </c>
      <c r="U29" s="394"/>
      <c r="V29" s="394" t="str">
        <f>IF(OR(B29 = DataBank!$Y$23, B29 = DataBank!$Y$22, B29 = DataBank!$Y$24, B29 =DataBank!$Y$25, B29 = ""),  "NAValue", "ComponentsList")</f>
        <v>ComponentsList</v>
      </c>
      <c r="W29" s="394" t="str">
        <f>IF(B29= DataBank!$Y$17,  "UnitNumbers", "NAValue")</f>
        <v>NAValue</v>
      </c>
      <c r="X29" s="394" t="str">
        <f>IF(OR(B29= DataBank!$Y$20, B29 =DataBank!$Y$19), "ReactionNumbers", "NAValue")</f>
        <v>ReactionNumbers</v>
      </c>
      <c r="Y29" s="394"/>
    </row>
    <row r="30" spans="1:25">
      <c r="A30" s="11"/>
      <c r="B30" s="172" t="s">
        <v>257</v>
      </c>
      <c r="C30" s="297">
        <v>600</v>
      </c>
      <c r="D30" s="325" t="s">
        <v>475</v>
      </c>
      <c r="E30" s="297" t="s">
        <v>281</v>
      </c>
      <c r="F30" s="297" t="s">
        <v>281</v>
      </c>
      <c r="G30" s="297">
        <v>0.1</v>
      </c>
      <c r="H30" s="289">
        <v>5</v>
      </c>
      <c r="I30" s="297" t="s">
        <v>262</v>
      </c>
      <c r="J30" s="297" t="s">
        <v>454</v>
      </c>
      <c r="K30" s="297" t="s">
        <v>491</v>
      </c>
      <c r="U30" s="394"/>
      <c r="V30" s="394" t="str">
        <f>IF(OR(B30 = DataBank!$Y$23, B30 = DataBank!$Y$22, B30 = DataBank!$Y$24, B30 =DataBank!$Y$25, B30 = ""),  "NAValue", "ComponentsList")</f>
        <v>ComponentsList</v>
      </c>
      <c r="W30" s="394" t="str">
        <f>IF(B30= DataBank!$Y$17,  "UnitNumbers", "NAValue")</f>
        <v>NAValue</v>
      </c>
      <c r="X30" s="394" t="str">
        <f>IF(OR(B30= DataBank!$Y$20, B30 =DataBank!$Y$19), "ReactionNumbers", "NAValue")</f>
        <v>NAValue</v>
      </c>
      <c r="Y30" s="394"/>
    </row>
    <row r="31" spans="1:25">
      <c r="A31" s="11"/>
      <c r="B31" s="172" t="s">
        <v>466</v>
      </c>
      <c r="C31" s="297">
        <v>11</v>
      </c>
      <c r="D31" s="325" t="s">
        <v>281</v>
      </c>
      <c r="E31" s="297" t="s">
        <v>281</v>
      </c>
      <c r="F31" s="297" t="s">
        <v>281</v>
      </c>
      <c r="G31" s="297">
        <v>0.5</v>
      </c>
      <c r="H31" s="289">
        <v>6</v>
      </c>
      <c r="I31" s="297" t="s">
        <v>262</v>
      </c>
      <c r="J31" s="297" t="s">
        <v>454</v>
      </c>
      <c r="K31" s="297" t="s">
        <v>492</v>
      </c>
      <c r="U31" s="394"/>
      <c r="V31" s="394" t="str">
        <f>IF(OR(B31 = DataBank!$Y$23, B31 = DataBank!$Y$22, B31 = DataBank!$Y$24, B31 =DataBank!$Y$25, B31 = ""),  "NAValue", "ComponentsList")</f>
        <v>NAValue</v>
      </c>
      <c r="W31" s="394" t="str">
        <f>IF(B31= DataBank!$Y$17,  "UnitNumbers", "NAValue")</f>
        <v>NAValue</v>
      </c>
      <c r="X31" s="394" t="str">
        <f>IF(OR(B31= DataBank!$Y$20, B31 =DataBank!$Y$19), "ReactionNumbers", "NAValue")</f>
        <v>NAValue</v>
      </c>
      <c r="Y31" s="394"/>
    </row>
    <row r="32" spans="1:25">
      <c r="A32" s="11"/>
      <c r="B32" s="172" t="s">
        <v>467</v>
      </c>
      <c r="C32" s="297">
        <v>6000</v>
      </c>
      <c r="D32" s="325" t="s">
        <v>281</v>
      </c>
      <c r="E32" s="297" t="s">
        <v>281</v>
      </c>
      <c r="F32" s="297" t="s">
        <v>281</v>
      </c>
      <c r="G32" s="297">
        <v>0.2</v>
      </c>
      <c r="H32" s="289">
        <v>7</v>
      </c>
      <c r="I32" s="297" t="s">
        <v>262</v>
      </c>
      <c r="J32" s="297" t="s">
        <v>454</v>
      </c>
      <c r="K32" s="297" t="s">
        <v>492</v>
      </c>
      <c r="U32" s="394"/>
      <c r="V32" s="394" t="str">
        <f>IF(OR(B32 = DataBank!$Y$23, B32 = DataBank!$Y$22, B32 = DataBank!$Y$24, B32 =DataBank!$Y$25, B32 = ""),  "NAValue", "ComponentsList")</f>
        <v>NAValue</v>
      </c>
      <c r="W32" s="394" t="str">
        <f>IF(B32= DataBank!$Y$17,  "UnitNumbers", "NAValue")</f>
        <v>NAValue</v>
      </c>
      <c r="X32" s="394" t="str">
        <f>IF(OR(B32= DataBank!$Y$20, B32 =DataBank!$Y$19), "ReactionNumbers", "NAValue")</f>
        <v>NAValue</v>
      </c>
      <c r="Y32" s="394"/>
    </row>
    <row r="33" spans="1:25" s="11" customFormat="1">
      <c r="B33" s="172" t="s">
        <v>267</v>
      </c>
      <c r="C33" s="297">
        <v>11</v>
      </c>
      <c r="D33" s="325" t="s">
        <v>162</v>
      </c>
      <c r="E33" s="297" t="s">
        <v>281</v>
      </c>
      <c r="F33" s="297" t="s">
        <v>281</v>
      </c>
      <c r="G33" s="297">
        <v>0.3</v>
      </c>
      <c r="H33" s="289">
        <v>2</v>
      </c>
      <c r="I33" s="297" t="s">
        <v>263</v>
      </c>
      <c r="J33" s="297" t="s">
        <v>454</v>
      </c>
      <c r="K33" s="297" t="s">
        <v>492</v>
      </c>
      <c r="U33" s="394"/>
      <c r="V33" s="394" t="str">
        <f>IF(OR(B33 = DataBank!$Y$23, B33 = DataBank!$Y$22, B33 = DataBank!$Y$24, B33 =DataBank!$Y$25, B33 = ""),  "NAValue", "ComponentsList")</f>
        <v>ComponentsList</v>
      </c>
      <c r="W33" s="394" t="str">
        <f>IF(B33= DataBank!$Y$17,  "UnitNumbers", "NAValue")</f>
        <v>NAValue</v>
      </c>
      <c r="X33" s="394" t="str">
        <f>IF(OR(B33= DataBank!$Y$20, B33 =DataBank!$Y$19), "ReactionNumbers", "NAValue")</f>
        <v>NAValue</v>
      </c>
      <c r="Y33" s="394"/>
    </row>
    <row r="34" spans="1:25">
      <c r="A34" s="11"/>
      <c r="B34" s="389"/>
      <c r="C34" s="390"/>
      <c r="D34" s="392"/>
      <c r="E34" s="297"/>
      <c r="F34" s="297"/>
      <c r="G34" s="390"/>
      <c r="H34" s="391"/>
      <c r="I34" s="390"/>
      <c r="J34" s="297"/>
      <c r="K34" s="297"/>
      <c r="U34" s="394"/>
      <c r="V34" s="394" t="str">
        <f>IF(OR(B34 = DataBank!$Y$23, B34 = DataBank!$Y$22, B34 = DataBank!$Y$24, B34 =DataBank!$Y$25, B34 = ""),  "NAValue", "ComponentsList")</f>
        <v>NAValue</v>
      </c>
      <c r="W34" s="394" t="str">
        <f>IF(B34= DataBank!$Y$17,  "UnitNumbers", "NAValue")</f>
        <v>NAValue</v>
      </c>
      <c r="X34" s="394" t="str">
        <f>IF(OR(B34= DataBank!$Y$20, B34 =DataBank!$Y$19), "ReactionNumbers", "NAValue")</f>
        <v>NAValue</v>
      </c>
      <c r="Y34" s="394"/>
    </row>
    <row r="35" spans="1:25">
      <c r="A35" s="11"/>
      <c r="B35" s="172"/>
      <c r="C35" s="297"/>
      <c r="D35" s="325"/>
      <c r="E35" s="297"/>
      <c r="F35" s="297"/>
      <c r="G35" s="297"/>
      <c r="H35" s="289"/>
      <c r="I35" s="297"/>
      <c r="J35" s="297"/>
      <c r="K35" s="297"/>
      <c r="U35" s="394"/>
      <c r="V35" s="394" t="str">
        <f>IF(OR(B35 = DataBank!$Y$23, B35 = DataBank!$Y$22, B35 = DataBank!$Y$24, B35 =DataBank!$Y$25, B35 = ""),  "NAValue", "ComponentsList")</f>
        <v>NAValue</v>
      </c>
      <c r="W35" s="394" t="str">
        <f>IF(B35= DataBank!$Y$17,  "UnitNumbers", "NAValue")</f>
        <v>NAValue</v>
      </c>
      <c r="X35" s="394" t="str">
        <f>IF(OR(B35= DataBank!$Y$20, B35 =DataBank!$Y$19), "ReactionNumbers", "NAValue")</f>
        <v>NAValue</v>
      </c>
      <c r="Y35" s="394"/>
    </row>
    <row r="36" spans="1:25">
      <c r="A36" s="11"/>
      <c r="B36" s="172"/>
      <c r="C36" s="375"/>
      <c r="D36" s="325"/>
      <c r="E36" s="297"/>
      <c r="F36" s="297"/>
      <c r="G36" s="297"/>
      <c r="H36" s="289"/>
      <c r="I36" s="297"/>
      <c r="J36" s="297"/>
      <c r="K36" s="297"/>
      <c r="U36" s="394"/>
      <c r="V36" s="394" t="str">
        <f>IF(OR(B36 = DataBank!$Y$23, B36 = DataBank!$Y$22, B36 = DataBank!$Y$24, B36 =DataBank!$Y$25, B36 = ""),  "NAValue", "ComponentsList")</f>
        <v>NAValue</v>
      </c>
      <c r="W36" s="394" t="str">
        <f>IF(B36= DataBank!$Y$17,  "UnitNumbers", "NAValue")</f>
        <v>NAValue</v>
      </c>
      <c r="X36" s="394" t="str">
        <f>IF(OR(B36= DataBank!$Y$20, B36 =DataBank!$Y$19), "ReactionNumbers", "NAValue")</f>
        <v>NAValue</v>
      </c>
      <c r="Y36" s="394"/>
    </row>
    <row r="37" spans="1:25">
      <c r="A37" s="11"/>
      <c r="B37" s="172"/>
      <c r="C37" s="297"/>
      <c r="D37" s="325"/>
      <c r="E37" s="297"/>
      <c r="F37" s="297"/>
      <c r="G37" s="297"/>
      <c r="H37" s="289"/>
      <c r="I37" s="297"/>
      <c r="J37" s="297"/>
      <c r="K37" s="297"/>
      <c r="U37" s="394"/>
      <c r="V37" s="394" t="str">
        <f>IF(OR(B37 = DataBank!$Y$23, B37 = DataBank!$Y$22, B37 = DataBank!$Y$24, B37 =DataBank!$Y$25, B37 = ""),  "NAValue", "ComponentsList")</f>
        <v>NAValue</v>
      </c>
      <c r="W37" s="394" t="str">
        <f>IF(B37= DataBank!$Y$17,  "UnitNumbers", "NAValue")</f>
        <v>NAValue</v>
      </c>
      <c r="X37" s="394" t="str">
        <f>IF(OR(B37= DataBank!$Y$20, B37 =DataBank!$Y$19), "ReactionNumbers", "NAValue")</f>
        <v>NAValue</v>
      </c>
      <c r="Y37" s="394"/>
    </row>
    <row r="38" spans="1:25">
      <c r="A38" s="11"/>
      <c r="B38" s="172"/>
      <c r="C38" s="297"/>
      <c r="D38" s="325"/>
      <c r="E38" s="297"/>
      <c r="F38" s="297"/>
      <c r="G38" s="297"/>
      <c r="H38" s="289"/>
      <c r="I38" s="297"/>
      <c r="J38" s="297"/>
      <c r="K38" s="297"/>
      <c r="U38" s="394"/>
      <c r="V38" s="394" t="str">
        <f>IF(OR(B38 = DataBank!$Y$23, B38 = DataBank!$Y$22, B38 = DataBank!$Y$24, B38 =DataBank!$Y$25, B38 = ""),  "NAValue", "ComponentsList")</f>
        <v>NAValue</v>
      </c>
      <c r="W38" s="394" t="str">
        <f>IF(B38= DataBank!$Y$17,  "UnitNumbers", "NAValue")</f>
        <v>NAValue</v>
      </c>
      <c r="X38" s="394" t="str">
        <f>IF(OR(B38= DataBank!$Y$20, B38 =DataBank!$Y$19), "ReactionNumbers", "NAValue")</f>
        <v>NAValue</v>
      </c>
      <c r="Y38" s="394"/>
    </row>
    <row r="39" spans="1:25">
      <c r="A39" s="11"/>
      <c r="B39" s="172"/>
      <c r="C39" s="297"/>
      <c r="D39" s="325"/>
      <c r="E39" s="297"/>
      <c r="F39" s="297"/>
      <c r="G39" s="297"/>
      <c r="H39" s="289"/>
      <c r="I39" s="297"/>
      <c r="J39" s="297"/>
      <c r="K39" s="297"/>
      <c r="U39" s="394"/>
      <c r="V39" s="394" t="str">
        <f>IF(OR(B39 = DataBank!$Y$23, B39 = DataBank!$Y$22, B39 = DataBank!$Y$24, B39 =DataBank!$Y$25, B39 = ""),  "NAValue", "ComponentsList")</f>
        <v>NAValue</v>
      </c>
      <c r="W39" s="394" t="str">
        <f>IF(B39= DataBank!$Y$17,  "UnitNumbers", "NAValue")</f>
        <v>NAValue</v>
      </c>
      <c r="X39" s="394" t="str">
        <f>IF(OR(B39= DataBank!$Y$20, B39 =DataBank!$Y$19), "ReactionNumbers", "NAValue")</f>
        <v>NAValue</v>
      </c>
      <c r="Y39" s="394"/>
    </row>
    <row r="40" spans="1:25">
      <c r="A40" s="11"/>
      <c r="B40" s="172"/>
      <c r="C40" s="297"/>
      <c r="D40" s="325"/>
      <c r="E40" s="297"/>
      <c r="F40" s="297"/>
      <c r="G40" s="297"/>
      <c r="H40" s="289"/>
      <c r="I40" s="297"/>
      <c r="J40" s="297"/>
      <c r="K40" s="297"/>
      <c r="U40" s="394"/>
      <c r="V40" s="394" t="str">
        <f>IF(OR(B40 = DataBank!$Y$23, B40 = DataBank!$Y$22, B40 = DataBank!$Y$24, B40 =DataBank!$Y$25, B40 = ""),  "NAValue", "ComponentsList")</f>
        <v>NAValue</v>
      </c>
      <c r="W40" s="394" t="str">
        <f>IF(B40= DataBank!$Y$17,  "UnitNumbers", "NAValue")</f>
        <v>NAValue</v>
      </c>
      <c r="X40" s="394" t="str">
        <f>IF(OR(B40= DataBank!$Y$20, B40 =DataBank!$Y$19), "ReactionNumbers", "NAValue")</f>
        <v>NAValue</v>
      </c>
      <c r="Y40" s="394"/>
    </row>
    <row r="41" spans="1:25">
      <c r="A41" s="11"/>
      <c r="B41" s="172"/>
      <c r="C41" s="297"/>
      <c r="D41" s="325"/>
      <c r="E41" s="297"/>
      <c r="F41" s="297"/>
      <c r="G41" s="297"/>
      <c r="H41" s="289"/>
      <c r="I41" s="297"/>
      <c r="J41" s="297"/>
      <c r="K41" s="297"/>
      <c r="U41" s="394"/>
      <c r="V41" s="394" t="str">
        <f>IF(OR(B41 = DataBank!$Y$23, B41 = DataBank!$Y$22, B41 = DataBank!$Y$24, B41 =DataBank!$Y$25, B41 = ""),  "NAValue", "ComponentsList")</f>
        <v>NAValue</v>
      </c>
      <c r="W41" s="394" t="str">
        <f>IF(B41= DataBank!$Y$17,  "UnitNumbers", "NAValue")</f>
        <v>NAValue</v>
      </c>
      <c r="X41" s="394" t="str">
        <f>IF(OR(B41= DataBank!$Y$20, B41 =DataBank!$Y$19), "ReactionNumbers", "NAValue")</f>
        <v>NAValue</v>
      </c>
      <c r="Y41" s="394"/>
    </row>
    <row r="42" spans="1:25">
      <c r="A42" s="11"/>
      <c r="B42" s="172"/>
      <c r="C42" s="297"/>
      <c r="D42" s="325"/>
      <c r="E42" s="297"/>
      <c r="F42" s="297"/>
      <c r="G42" s="297"/>
      <c r="H42" s="289"/>
      <c r="I42" s="297"/>
      <c r="J42" s="297"/>
      <c r="K42" s="297"/>
      <c r="U42" s="394"/>
      <c r="V42" s="394" t="str">
        <f>IF(OR(B42 = DataBank!$Y$23, B42 = DataBank!$Y$22, B42 = DataBank!$Y$24, B42 =DataBank!$Y$25, B42 = ""),  "NAValue", "ComponentsList")</f>
        <v>NAValue</v>
      </c>
      <c r="W42" s="394" t="str">
        <f>IF(B42= DataBank!$Y$17,  "UnitNumbers", "NAValue")</f>
        <v>NAValue</v>
      </c>
      <c r="X42" s="394" t="str">
        <f>IF(OR(B42= DataBank!$Y$20, B42 =DataBank!$Y$19), "ReactionNumbers", "NAValue")</f>
        <v>NAValue</v>
      </c>
      <c r="Y42" s="394"/>
    </row>
    <row r="43" spans="1:25">
      <c r="A43" s="11"/>
      <c r="B43" s="172"/>
      <c r="C43" s="297"/>
      <c r="D43" s="325"/>
      <c r="E43" s="297"/>
      <c r="F43" s="297"/>
      <c r="G43" s="297"/>
      <c r="H43" s="289"/>
      <c r="I43" s="297"/>
      <c r="J43" s="297"/>
      <c r="K43" s="297"/>
      <c r="U43" s="394"/>
      <c r="V43" s="394" t="str">
        <f>IF(OR(B43 = DataBank!$Y$23, B43 = DataBank!$Y$22, B43 = DataBank!$Y$24, B43 =DataBank!$Y$25, B43 = ""),  "NAValue", "ComponentsList")</f>
        <v>NAValue</v>
      </c>
      <c r="W43" s="394" t="str">
        <f>IF(B43= DataBank!$Y$17,  "UnitNumbers", "NAValue")</f>
        <v>NAValue</v>
      </c>
      <c r="X43" s="394" t="str">
        <f>IF(OR(B43= DataBank!$Y$20, B43 =DataBank!$Y$19), "ReactionNumbers", "NAValue")</f>
        <v>NAValue</v>
      </c>
      <c r="Y43" s="394"/>
    </row>
    <row r="44" spans="1:25">
      <c r="A44" s="11"/>
      <c r="B44" s="172"/>
      <c r="C44" s="297"/>
      <c r="D44" s="325"/>
      <c r="E44" s="297"/>
      <c r="F44" s="297"/>
      <c r="G44" s="297"/>
      <c r="H44" s="289"/>
      <c r="I44" s="297"/>
      <c r="J44" s="297"/>
      <c r="K44" s="297"/>
      <c r="U44" s="394"/>
      <c r="V44" s="394" t="str">
        <f>IF(OR(B44 = DataBank!$Y$23, B44 = DataBank!$Y$22, B44 = DataBank!$Y$24, B44 =DataBank!$Y$25, B44 = ""),  "NAValue", "ComponentsList")</f>
        <v>NAValue</v>
      </c>
      <c r="W44" s="394" t="str">
        <f>IF(B44= DataBank!$Y$17,  "UnitNumbers", "NAValue")</f>
        <v>NAValue</v>
      </c>
      <c r="X44" s="394" t="str">
        <f>IF(OR(B44= DataBank!$Y$20, B44 =DataBank!$Y$19), "ReactionNumbers", "NAValue")</f>
        <v>NAValue</v>
      </c>
      <c r="Y44" s="394"/>
    </row>
    <row r="45" spans="1:25">
      <c r="A45" s="11"/>
      <c r="B45" s="172"/>
      <c r="C45" s="297"/>
      <c r="D45" s="325"/>
      <c r="E45" s="297"/>
      <c r="F45" s="297"/>
      <c r="G45" s="297"/>
      <c r="H45" s="289"/>
      <c r="I45" s="297"/>
      <c r="J45" s="297"/>
      <c r="K45" s="297"/>
      <c r="U45" s="394"/>
      <c r="V45" s="394" t="str">
        <f>IF(OR(B45 = DataBank!$Y$23, B45 = DataBank!$Y$22, B45 = DataBank!$Y$24, B45 =DataBank!$Y$25, B45 = ""),  "NAValue", "ComponentsList")</f>
        <v>NAValue</v>
      </c>
      <c r="W45" s="394" t="str">
        <f>IF(B45= DataBank!$Y$17,  "UnitNumbers", "NAValue")</f>
        <v>NAValue</v>
      </c>
      <c r="X45" s="394" t="str">
        <f>IF(OR(B45= DataBank!$Y$20, B45 =DataBank!$Y$19), "ReactionNumbers", "NAValue")</f>
        <v>NAValue</v>
      </c>
      <c r="Y45" s="394"/>
    </row>
    <row r="46" spans="1:25">
      <c r="A46" s="11"/>
      <c r="B46" s="172"/>
      <c r="C46" s="297"/>
      <c r="D46" s="325"/>
      <c r="E46" s="297"/>
      <c r="F46" s="297"/>
      <c r="G46" s="297"/>
      <c r="H46" s="289"/>
      <c r="I46" s="297"/>
      <c r="J46" s="297"/>
      <c r="K46" s="297"/>
      <c r="U46" s="394"/>
      <c r="V46" s="394" t="str">
        <f>IF(OR(B46 = DataBank!$Y$23, B46 = DataBank!$Y$22, B46 = DataBank!$Y$24, B46 =DataBank!$Y$25, B46 = ""),  "NAValue", "ComponentsList")</f>
        <v>NAValue</v>
      </c>
      <c r="W46" s="394" t="str">
        <f>IF(B46= DataBank!$Y$17,  "UnitNumbers", "NAValue")</f>
        <v>NAValue</v>
      </c>
      <c r="X46" s="394" t="str">
        <f>IF(OR(B46= DataBank!$Y$20, B46 =DataBank!$Y$19), "ReactionNumbers", "NAValue")</f>
        <v>NAValue</v>
      </c>
      <c r="Y46" s="394"/>
    </row>
    <row r="47" spans="1:25">
      <c r="A47" s="11"/>
      <c r="B47" s="172"/>
      <c r="C47" s="297"/>
      <c r="D47" s="325"/>
      <c r="E47" s="297"/>
      <c r="F47" s="297"/>
      <c r="G47" s="297"/>
      <c r="H47" s="289"/>
      <c r="I47" s="297"/>
      <c r="J47" s="297"/>
      <c r="K47" s="297"/>
      <c r="U47" s="394"/>
      <c r="V47" s="394" t="str">
        <f>IF(OR(B47 = DataBank!$Y$23, B47 = DataBank!$Y$22, B47 = DataBank!$Y$24, B47 =DataBank!$Y$25, B47 = ""),  "NAValue", "ComponentsList")</f>
        <v>NAValue</v>
      </c>
      <c r="W47" s="394" t="str">
        <f>IF(B47= DataBank!$Y$17,  "UnitNumbers", "NAValue")</f>
        <v>NAValue</v>
      </c>
      <c r="X47" s="394" t="str">
        <f>IF(OR(B47= DataBank!$Y$20, B47 =DataBank!$Y$19), "ReactionNumbers", "NAValue")</f>
        <v>NAValue</v>
      </c>
      <c r="Y47" s="394"/>
    </row>
    <row r="48" spans="1:25">
      <c r="A48" s="11"/>
      <c r="B48" s="172"/>
      <c r="C48" s="297"/>
      <c r="D48" s="325"/>
      <c r="E48" s="297"/>
      <c r="F48" s="297"/>
      <c r="G48" s="297"/>
      <c r="H48" s="289"/>
      <c r="I48" s="297"/>
      <c r="J48" s="297"/>
      <c r="K48" s="297"/>
      <c r="U48" s="394"/>
      <c r="V48" s="394" t="str">
        <f>IF(OR(B48 = DataBank!$Y$23, B48 = DataBank!$Y$22, B48 = DataBank!$Y$24, B48 =DataBank!$Y$25, B48 = ""),  "NAValue", "ComponentsList")</f>
        <v>NAValue</v>
      </c>
      <c r="W48" s="394" t="str">
        <f>IF(B48= DataBank!$Y$17,  "UnitNumbers", "NAValue")</f>
        <v>NAValue</v>
      </c>
      <c r="X48" s="394" t="str">
        <f>IF(OR(B48= DataBank!$Y$20, B48 =DataBank!$Y$19), "ReactionNumbers", "NAValue")</f>
        <v>NAValue</v>
      </c>
      <c r="Y48" s="394"/>
    </row>
    <row r="49" spans="1:25">
      <c r="A49" s="11"/>
      <c r="B49" s="172"/>
      <c r="C49" s="297"/>
      <c r="D49" s="325"/>
      <c r="E49" s="297"/>
      <c r="F49" s="297"/>
      <c r="G49" s="297"/>
      <c r="H49" s="289"/>
      <c r="I49" s="297"/>
      <c r="J49" s="297"/>
      <c r="K49" s="297"/>
      <c r="U49" s="394"/>
      <c r="V49" s="394" t="str">
        <f>IF(OR(B49 = DataBank!$Y$23, B49 = DataBank!$Y$22, B49 = DataBank!$Y$24, B49 =DataBank!$Y$25, B49 = ""),  "NAValue", "ComponentsList")</f>
        <v>NAValue</v>
      </c>
      <c r="W49" s="394" t="str">
        <f>IF(B49= DataBank!$Y$17,  "UnitNumbers", "NAValue")</f>
        <v>NAValue</v>
      </c>
      <c r="X49" s="394" t="str">
        <f>IF(OR(B49= DataBank!$Y$20, B49 =DataBank!$Y$19), "ReactionNumbers", "NAValue")</f>
        <v>NAValue</v>
      </c>
      <c r="Y49" s="394"/>
    </row>
    <row r="50" spans="1:25">
      <c r="A50" s="11"/>
      <c r="B50" s="172"/>
      <c r="C50" s="297"/>
      <c r="D50" s="325"/>
      <c r="E50" s="297"/>
      <c r="F50" s="297"/>
      <c r="G50" s="297"/>
      <c r="H50" s="289"/>
      <c r="I50" s="297"/>
      <c r="J50" s="297"/>
      <c r="K50" s="297"/>
      <c r="U50" s="394"/>
      <c r="V50" s="394" t="str">
        <f>IF(OR(B50 = DataBank!$Y$23, B50 = DataBank!$Y$22, B50 = DataBank!$Y$24, B50 =DataBank!$Y$25, B50 = ""),  "NAValue", "ComponentsList")</f>
        <v>NAValue</v>
      </c>
      <c r="W50" s="394" t="str">
        <f>IF(B50= DataBank!$Y$17,  "UnitNumbers", "NAValue")</f>
        <v>NAValue</v>
      </c>
      <c r="X50" s="394" t="str">
        <f>IF(OR(B50= DataBank!$Y$20, B50 =DataBank!$Y$19), "ReactionNumbers", "NAValue")</f>
        <v>NAValue</v>
      </c>
      <c r="Y50" s="394"/>
    </row>
    <row r="51" spans="1:25">
      <c r="A51" s="11"/>
      <c r="B51" s="172"/>
      <c r="C51" s="297"/>
      <c r="D51" s="325"/>
      <c r="E51" s="297"/>
      <c r="F51" s="297"/>
      <c r="G51" s="297"/>
      <c r="H51" s="289"/>
      <c r="I51" s="297"/>
      <c r="J51" s="297"/>
      <c r="K51" s="297"/>
      <c r="U51" s="394"/>
      <c r="V51" s="394" t="str">
        <f>IF(OR(B51 = DataBank!$Y$23, B51 = DataBank!$Y$22, B51 = DataBank!$Y$24, B51 =DataBank!$Y$25, B51 = ""),  "NAValue", "ComponentsList")</f>
        <v>NAValue</v>
      </c>
      <c r="W51" s="394" t="str">
        <f>IF(B51= DataBank!$Y$17,  "UnitNumbers", "NAValue")</f>
        <v>NAValue</v>
      </c>
      <c r="X51" s="394" t="str">
        <f>IF(OR(B51= DataBank!$Y$20, B51 =DataBank!$Y$19), "ReactionNumbers", "NAValue")</f>
        <v>NAValue</v>
      </c>
      <c r="Y51" s="394"/>
    </row>
    <row r="52" spans="1:25" ht="15" thickBot="1">
      <c r="A52" s="11"/>
      <c r="B52" s="173"/>
      <c r="C52" s="298"/>
      <c r="D52" s="393"/>
      <c r="E52" s="298"/>
      <c r="F52" s="298"/>
      <c r="G52" s="298"/>
      <c r="H52" s="290"/>
      <c r="I52" s="290"/>
      <c r="J52" s="298"/>
      <c r="K52" s="298"/>
      <c r="U52" s="394"/>
      <c r="V52" s="394" t="str">
        <f>IF(OR(B52 = DataBank!$Y$23, B52 = DataBank!$Y$22, B52 = DataBank!$Y$24, B52 =DataBank!$Y$25, B52 = ""),  "NAValue", "ComponentsList")</f>
        <v>NAValue</v>
      </c>
      <c r="W52" s="394" t="str">
        <f>IF(B52= DataBank!$Y$17,  "UnitNumbers", "NAValue")</f>
        <v>NAValue</v>
      </c>
      <c r="X52" s="394" t="str">
        <f>IF(OR(B52= DataBank!$Y$20, B52 =DataBank!$Y$19), "ReactionNumbers", "NAValue")</f>
        <v>NAValue</v>
      </c>
      <c r="Y52" s="394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94"/>
      <c r="V53" s="394"/>
      <c r="W53" s="394"/>
      <c r="X53" s="394"/>
      <c r="Y53" s="394"/>
    </row>
    <row r="54" spans="1: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>
      <c r="A63" s="11"/>
      <c r="B63" s="377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</sheetData>
  <mergeCells count="4">
    <mergeCell ref="B2:C2"/>
    <mergeCell ref="U22:Y24"/>
    <mergeCell ref="H24:J24"/>
    <mergeCell ref="D24:G24"/>
  </mergeCells>
  <dataValidations count="3">
    <dataValidation type="list" allowBlank="1" showInputMessage="1" showErrorMessage="1" sqref="C6" xr:uid="{18F0FE02-7263-42D8-B929-E8BB0A6D8375}">
      <formula1>DynamicSwitch</formula1>
    </dataValidation>
    <dataValidation type="list" allowBlank="1" showInputMessage="1" showErrorMessage="1" sqref="D26:D52 F26:F52 E26:E51" xr:uid="{BA2221FB-71CA-401D-9EFA-19491CB35410}">
      <formula1>INDIRECT(V26)</formula1>
    </dataValidation>
    <dataValidation type="list" showInputMessage="1" showErrorMessage="1" sqref="E52" xr:uid="{7CBEFA1A-A586-4B04-93B3-AA89C37A173D}">
      <formula1>INDIRECT(W52)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13C12BE-DFBB-497F-98E7-429F72B94A88}">
          <x14:formula1>
            <xm:f>DataBank!$W$17:$W$18</xm:f>
          </x14:formula1>
          <xm:sqref>K26:K51</xm:sqref>
        </x14:dataValidation>
        <x14:dataValidation type="list" allowBlank="1" showInputMessage="1" showErrorMessage="1" xr:uid="{5EFF05F5-4966-4326-B990-27C488D5257B}">
          <x14:formula1>
            <xm:f>Systemblatt!$F$5:$F$17</xm:f>
          </x14:formula1>
          <xm:sqref>C36</xm:sqref>
        </x14:dataValidation>
        <x14:dataValidation type="list" allowBlank="1" showInputMessage="1" showErrorMessage="1" xr:uid="{32AB00E4-1B25-42CE-92A3-14DBF7B45C92}">
          <x14:formula1>
            <xm:f>DataBank!$U$17:$U$19</xm:f>
          </x14:formula1>
          <xm:sqref>I26:I51</xm:sqref>
        </x14:dataValidation>
        <x14:dataValidation type="list" allowBlank="1" showInputMessage="1" showErrorMessage="1" xr:uid="{6BB13306-F419-4BD1-A289-4D663F967952}">
          <x14:formula1>
            <xm:f>DataBank!$M$17:$M$19</xm:f>
          </x14:formula1>
          <xm:sqref>C4</xm:sqref>
        </x14:dataValidation>
        <x14:dataValidation type="list" allowBlank="1" showInputMessage="1" showErrorMessage="1" xr:uid="{92117988-954F-4ABC-8DE7-BB854E71F966}">
          <x14:formula1>
            <xm:f>DataBank!$O$17:$O$18</xm:f>
          </x14:formula1>
          <xm:sqref>C5</xm:sqref>
        </x14:dataValidation>
        <x14:dataValidation type="list" allowBlank="1" showInputMessage="1" showErrorMessage="1" xr:uid="{B56D8586-E9CC-4B5B-96AB-2BB5D43D1E5B}">
          <x14:formula1>
            <xm:f>Systemblatt!$F$5:$F$38</xm:f>
          </x14:formula1>
          <xm:sqref>N14:N15 E14:J21</xm:sqref>
        </x14:dataValidation>
        <x14:dataValidation type="list" allowBlank="1" showInputMessage="1" showErrorMessage="1" xr:uid="{120FE51A-09EF-495C-A806-7CE8AFAA7BA2}">
          <x14:formula1>
            <xm:f>Systemblatt!$N$5:$N$18</xm:f>
          </x14:formula1>
          <xm:sqref>O14:O15</xm:sqref>
        </x14:dataValidation>
        <x14:dataValidation type="list" allowBlank="1" showInputMessage="1" showErrorMessage="1" xr:uid="{C64DD039-45E3-493E-ADE2-CE952FD10C4A}">
          <x14:formula1>
            <xm:f>DataBank!$E$17:$E$18</xm:f>
          </x14:formula1>
          <xm:sqref>C3</xm:sqref>
        </x14:dataValidation>
        <x14:dataValidation type="list" allowBlank="1" showInputMessage="1" showErrorMessage="1" xr:uid="{A1D46065-5C5E-4CEC-8FA4-AF87F5D99CDA}">
          <x14:formula1>
            <xm:f>Systemblatt!$F$5:$F$42</xm:f>
          </x14:formula1>
          <xm:sqref>M4</xm:sqref>
        </x14:dataValidation>
        <x14:dataValidation type="list" allowBlank="1" showInputMessage="1" showErrorMessage="1" xr:uid="{838E0FB9-9BB1-4AF4-96CE-724FACC30FEB}">
          <x14:formula1>
            <xm:f>DataBank!$Y$17:$Y$25</xm:f>
          </x14:formula1>
          <xm:sqref>B26:B28 B34:B38 B29:B33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81640625" defaultRowHeight="14.5"/>
  <cols>
    <col min="2" max="2" width="34.453125" bestFit="1" customWidth="1"/>
    <col min="3" max="3" width="14" bestFit="1" customWidth="1"/>
    <col min="4" max="4" width="16.54296875" bestFit="1" customWidth="1"/>
    <col min="5" max="5" width="15.81640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81640625" bestFit="1" customWidth="1"/>
    <col min="14" max="14" width="11.81640625" bestFit="1" customWidth="1"/>
    <col min="15" max="15" width="13" customWidth="1"/>
    <col min="16" max="16" width="14.81640625" bestFit="1" customWidth="1"/>
    <col min="17" max="17" width="12.1796875" bestFit="1" customWidth="1"/>
    <col min="18" max="18" width="19.453125" bestFit="1" customWidth="1"/>
    <col min="19" max="19" width="12.81640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456" t="s">
        <v>242</v>
      </c>
      <c r="C3" s="458"/>
      <c r="D3" s="11"/>
      <c r="E3" s="261" t="s">
        <v>249</v>
      </c>
      <c r="F3" s="296" t="s">
        <v>248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71" t="s">
        <v>243</v>
      </c>
      <c r="C4" s="316">
        <v>3</v>
      </c>
      <c r="D4" s="11"/>
      <c r="E4" s="11" t="s">
        <v>444</v>
      </c>
      <c r="F4" s="11" t="s">
        <v>445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279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9" t="s">
        <v>244</v>
      </c>
      <c r="C5" s="303" t="s">
        <v>275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253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277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276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305" t="s">
        <v>258</v>
      </c>
      <c r="C8" s="11"/>
      <c r="D8" s="11"/>
      <c r="E8" s="11"/>
      <c r="F8" s="11"/>
      <c r="G8" s="11"/>
      <c r="H8" s="11"/>
      <c r="I8" s="11"/>
      <c r="J8" s="306" t="s">
        <v>260</v>
      </c>
      <c r="K8" s="11"/>
      <c r="L8" s="11"/>
      <c r="M8" s="11"/>
      <c r="N8" s="11"/>
      <c r="O8" s="11"/>
      <c r="P8" s="11"/>
      <c r="R8" s="178">
        <v>4</v>
      </c>
      <c r="S8" s="304" t="s">
        <v>281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469" t="s">
        <v>267</v>
      </c>
      <c r="C9" s="470"/>
      <c r="D9" s="470"/>
      <c r="E9" s="470"/>
      <c r="F9" s="470"/>
      <c r="G9" s="266"/>
      <c r="H9" s="11"/>
      <c r="I9" s="11"/>
      <c r="J9" s="368" t="s">
        <v>268</v>
      </c>
      <c r="K9" s="369"/>
      <c r="L9" s="369"/>
      <c r="M9" s="369"/>
      <c r="N9" s="369"/>
      <c r="O9" s="265"/>
      <c r="P9" s="266"/>
      <c r="R9" s="263"/>
      <c r="S9" s="90" t="s">
        <v>255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98" t="s">
        <v>251</v>
      </c>
      <c r="C10" s="300" t="s">
        <v>33</v>
      </c>
      <c r="D10" s="301" t="s">
        <v>254</v>
      </c>
      <c r="E10" s="370" t="s">
        <v>252</v>
      </c>
      <c r="F10" s="297" t="s">
        <v>256</v>
      </c>
      <c r="G10" s="371" t="s">
        <v>455</v>
      </c>
      <c r="H10" s="372" t="s">
        <v>457</v>
      </c>
      <c r="I10" s="11"/>
      <c r="J10" s="298" t="s">
        <v>251</v>
      </c>
      <c r="K10" s="298" t="s">
        <v>33</v>
      </c>
      <c r="L10" s="302" t="s">
        <v>250</v>
      </c>
      <c r="M10" s="298" t="s">
        <v>254</v>
      </c>
      <c r="N10" s="298" t="s">
        <v>252</v>
      </c>
      <c r="O10" s="298" t="s">
        <v>256</v>
      </c>
      <c r="P10" s="371" t="s">
        <v>455</v>
      </c>
      <c r="R10" s="11"/>
      <c r="S10" s="11"/>
      <c r="T10" s="305" t="s">
        <v>258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92">
        <v>11</v>
      </c>
      <c r="C11" s="293" t="s">
        <v>165</v>
      </c>
      <c r="D11" s="329">
        <f>_xlfn.STDEV.P(8.7,12.4) / AVERAGE(8.7,12.4)</f>
        <v>0.17535545023696644</v>
      </c>
      <c r="E11" s="293">
        <v>1</v>
      </c>
      <c r="F11" s="276" t="s">
        <v>262</v>
      </c>
      <c r="G11" s="295" t="s">
        <v>454</v>
      </c>
      <c r="H11" s="222"/>
      <c r="I11" s="11"/>
      <c r="J11" s="178">
        <v>210</v>
      </c>
      <c r="K11" s="270" t="s">
        <v>165</v>
      </c>
      <c r="L11" s="204">
        <v>1</v>
      </c>
      <c r="M11" s="204">
        <v>0.28000000000000003</v>
      </c>
      <c r="N11" s="289">
        <v>3</v>
      </c>
      <c r="O11" s="297" t="s">
        <v>262</v>
      </c>
      <c r="P11" s="295" t="s">
        <v>454</v>
      </c>
      <c r="R11" s="317" t="s">
        <v>278</v>
      </c>
      <c r="S11" s="11"/>
      <c r="T11" s="318" t="s">
        <v>451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8">
        <v>11</v>
      </c>
      <c r="C12" s="270" t="s">
        <v>313</v>
      </c>
      <c r="D12" s="258">
        <v>0.18</v>
      </c>
      <c r="E12" s="204">
        <v>1</v>
      </c>
      <c r="F12" s="178" t="s">
        <v>261</v>
      </c>
      <c r="G12" s="297" t="s">
        <v>454</v>
      </c>
      <c r="H12" s="172"/>
      <c r="I12" s="11"/>
      <c r="J12" s="178">
        <v>210</v>
      </c>
      <c r="K12" s="270" t="s">
        <v>313</v>
      </c>
      <c r="L12" s="204">
        <v>1</v>
      </c>
      <c r="M12" s="204">
        <v>0.28000000000000003</v>
      </c>
      <c r="N12" s="289">
        <v>3</v>
      </c>
      <c r="O12" s="297" t="s">
        <v>261</v>
      </c>
      <c r="P12" s="297" t="s">
        <v>454</v>
      </c>
      <c r="R12" s="222" t="s">
        <v>274</v>
      </c>
      <c r="S12" s="11"/>
      <c r="T12" s="172" t="s">
        <v>251</v>
      </c>
      <c r="U12" s="283" t="s">
        <v>448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8">
        <v>11</v>
      </c>
      <c r="C13" s="270" t="s">
        <v>162</v>
      </c>
      <c r="D13" s="330">
        <f>_xlfn.STDEV.P(1.02, 2.92) / AVERAGE(1.02, 2.92)</f>
        <v>0.48223350253807096</v>
      </c>
      <c r="E13" s="204">
        <v>2</v>
      </c>
      <c r="F13" s="178" t="s">
        <v>262</v>
      </c>
      <c r="G13" s="297" t="s">
        <v>456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306" t="s">
        <v>264</v>
      </c>
      <c r="C26" s="204"/>
      <c r="D26" s="204"/>
      <c r="E26" s="204"/>
      <c r="F26" s="204"/>
      <c r="G26" s="204"/>
      <c r="H26" s="204"/>
      <c r="I26" s="11"/>
      <c r="J26" s="306" t="s">
        <v>260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64" t="s">
        <v>265</v>
      </c>
      <c r="C27" s="265"/>
      <c r="D27" s="265"/>
      <c r="E27" s="265"/>
      <c r="F27" s="265"/>
      <c r="G27" s="265"/>
      <c r="H27" s="266"/>
      <c r="I27" s="11"/>
      <c r="J27" s="368" t="s">
        <v>266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98" t="s">
        <v>251</v>
      </c>
      <c r="C28" s="370" t="s">
        <v>290</v>
      </c>
      <c r="D28" s="298" t="s">
        <v>33</v>
      </c>
      <c r="E28" s="370" t="s">
        <v>254</v>
      </c>
      <c r="F28" s="298" t="s">
        <v>252</v>
      </c>
      <c r="G28" s="297" t="s">
        <v>256</v>
      </c>
      <c r="H28" s="371" t="s">
        <v>455</v>
      </c>
      <c r="I28" s="11"/>
      <c r="J28" s="295" t="s">
        <v>251</v>
      </c>
      <c r="K28" s="262" t="s">
        <v>33</v>
      </c>
      <c r="L28" s="267" t="s">
        <v>250</v>
      </c>
      <c r="M28" s="288" t="s">
        <v>254</v>
      </c>
      <c r="N28" s="295" t="s">
        <v>252</v>
      </c>
      <c r="O28" s="295" t="s">
        <v>256</v>
      </c>
      <c r="P28" s="371" t="s">
        <v>455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452</v>
      </c>
      <c r="B29" s="276">
        <v>220</v>
      </c>
      <c r="C29" s="287">
        <v>320</v>
      </c>
      <c r="D29" s="293" t="s">
        <v>162</v>
      </c>
      <c r="E29" s="287">
        <v>0.6</v>
      </c>
      <c r="F29" s="288">
        <v>3</v>
      </c>
      <c r="G29" s="288" t="s">
        <v>261</v>
      </c>
      <c r="H29" s="297" t="s">
        <v>456</v>
      </c>
      <c r="I29" s="11"/>
      <c r="J29" s="276"/>
      <c r="K29" s="270"/>
      <c r="L29" s="204"/>
      <c r="M29" s="287"/>
      <c r="N29" s="287"/>
      <c r="O29" s="295"/>
      <c r="P29" s="295" t="s">
        <v>454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453</v>
      </c>
      <c r="B30" s="178">
        <v>230</v>
      </c>
      <c r="C30" s="204">
        <v>330</v>
      </c>
      <c r="D30" s="270" t="s">
        <v>162</v>
      </c>
      <c r="E30" s="204">
        <v>0.19</v>
      </c>
      <c r="F30" s="289">
        <v>3</v>
      </c>
      <c r="G30" s="289" t="s">
        <v>261</v>
      </c>
      <c r="H30" s="297" t="s">
        <v>456</v>
      </c>
      <c r="I30" s="11"/>
      <c r="J30" s="178"/>
      <c r="K30" s="270"/>
      <c r="L30" s="204"/>
      <c r="M30" s="204"/>
      <c r="N30" s="204"/>
      <c r="O30" s="297"/>
      <c r="P30" s="297" t="s">
        <v>454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306" t="s">
        <v>259</v>
      </c>
      <c r="C45" s="11"/>
      <c r="D45" s="11"/>
      <c r="E45" s="11"/>
      <c r="F45" s="11"/>
      <c r="G45" s="11"/>
      <c r="H45" s="11"/>
      <c r="I45" s="306" t="s">
        <v>270</v>
      </c>
      <c r="J45" s="11"/>
      <c r="K45" s="11"/>
      <c r="L45" s="11"/>
      <c r="M45" s="11"/>
      <c r="O45" s="306" t="s">
        <v>271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466" t="s">
        <v>257</v>
      </c>
      <c r="C46" s="467"/>
      <c r="D46" s="467"/>
      <c r="E46" s="467"/>
      <c r="F46" s="467"/>
      <c r="G46" s="468"/>
      <c r="H46" s="11"/>
      <c r="I46" s="466" t="s">
        <v>272</v>
      </c>
      <c r="J46" s="467"/>
      <c r="K46" s="467"/>
      <c r="L46" s="468"/>
      <c r="M46" s="317"/>
      <c r="O46" s="368" t="s">
        <v>273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97" t="s">
        <v>251</v>
      </c>
      <c r="C47" s="297" t="s">
        <v>33</v>
      </c>
      <c r="D47" s="289" t="s">
        <v>254</v>
      </c>
      <c r="E47" s="297" t="s">
        <v>252</v>
      </c>
      <c r="F47" s="297" t="s">
        <v>256</v>
      </c>
      <c r="G47" s="371" t="s">
        <v>455</v>
      </c>
      <c r="H47" s="11"/>
      <c r="I47" s="295" t="s">
        <v>251</v>
      </c>
      <c r="J47" s="288" t="s">
        <v>254</v>
      </c>
      <c r="K47" s="295" t="s">
        <v>252</v>
      </c>
      <c r="L47" s="295" t="s">
        <v>256</v>
      </c>
      <c r="M47" s="371" t="s">
        <v>455</v>
      </c>
      <c r="O47" s="262" t="s">
        <v>251</v>
      </c>
      <c r="P47" s="266" t="s">
        <v>254</v>
      </c>
      <c r="Q47" s="262" t="s">
        <v>252</v>
      </c>
      <c r="R47" s="295" t="s">
        <v>256</v>
      </c>
      <c r="S47" s="371" t="s">
        <v>455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76"/>
      <c r="C48" s="293"/>
      <c r="D48" s="287"/>
      <c r="E48" s="287"/>
      <c r="F48" s="295"/>
      <c r="G48" s="295" t="s">
        <v>454</v>
      </c>
      <c r="H48" s="11"/>
      <c r="I48" s="276"/>
      <c r="J48" s="287"/>
      <c r="K48" s="288"/>
      <c r="L48" s="295"/>
      <c r="M48" s="295" t="s">
        <v>454</v>
      </c>
      <c r="O48" s="276">
        <v>2000</v>
      </c>
      <c r="P48" s="329">
        <v>7.1999999999999995E-2</v>
      </c>
      <c r="Q48" s="288">
        <v>4</v>
      </c>
      <c r="R48" s="295" t="s">
        <v>262</v>
      </c>
      <c r="S48" s="295" t="s">
        <v>454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8"/>
      <c r="C49" s="270"/>
      <c r="D49" s="204"/>
      <c r="E49" s="204"/>
      <c r="F49" s="297"/>
      <c r="G49" s="297" t="s">
        <v>454</v>
      </c>
      <c r="H49" s="11"/>
      <c r="I49" s="178"/>
      <c r="J49" s="204"/>
      <c r="K49" s="289"/>
      <c r="L49" s="297"/>
      <c r="M49" s="297" t="s">
        <v>454</v>
      </c>
      <c r="O49" s="178">
        <v>3000</v>
      </c>
      <c r="P49" s="204">
        <v>0.41</v>
      </c>
      <c r="Q49" s="289">
        <v>4</v>
      </c>
      <c r="R49" s="297" t="s">
        <v>261</v>
      </c>
      <c r="S49" s="297" t="s">
        <v>454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261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261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305" t="s">
        <v>258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469" t="s">
        <v>267</v>
      </c>
      <c r="C68" s="470"/>
      <c r="D68" s="470"/>
      <c r="E68" s="470"/>
      <c r="F68" s="470"/>
      <c r="G68" s="266"/>
    </row>
    <row r="69" spans="2:30" ht="15" thickBot="1">
      <c r="B69" s="298" t="s">
        <v>251</v>
      </c>
      <c r="C69" s="300" t="s">
        <v>33</v>
      </c>
      <c r="D69" s="301" t="s">
        <v>254</v>
      </c>
      <c r="E69" s="370" t="s">
        <v>252</v>
      </c>
      <c r="F69" s="297" t="s">
        <v>256</v>
      </c>
      <c r="G69" s="371" t="s">
        <v>455</v>
      </c>
    </row>
    <row r="70" spans="2:30">
      <c r="B70" s="292">
        <v>11</v>
      </c>
      <c r="C70" s="293" t="s">
        <v>165</v>
      </c>
      <c r="D70" s="329">
        <f>_xlfn.STDEV.P(8.7,12.4) / AVERAGE(8.7,12.4)</f>
        <v>0.17535545023696644</v>
      </c>
      <c r="E70" s="293">
        <v>1</v>
      </c>
      <c r="F70" s="276" t="s">
        <v>262</v>
      </c>
      <c r="G70" s="295" t="s">
        <v>454</v>
      </c>
    </row>
    <row r="71" spans="2:30">
      <c r="B71" s="178">
        <v>11</v>
      </c>
      <c r="C71" s="270" t="s">
        <v>313</v>
      </c>
      <c r="D71" s="258">
        <v>0.18</v>
      </c>
      <c r="E71" s="204">
        <v>1</v>
      </c>
      <c r="F71" s="178" t="s">
        <v>261</v>
      </c>
      <c r="G71" s="297" t="s">
        <v>454</v>
      </c>
    </row>
    <row r="72" spans="2:30">
      <c r="B72" s="178">
        <v>11</v>
      </c>
      <c r="C72" s="270" t="s">
        <v>162</v>
      </c>
      <c r="D72" s="330">
        <f>_xlfn.STDEV.P(1.02, 2.92) / AVERAGE(1.02, 2.92)</f>
        <v>0.48223350253807096</v>
      </c>
      <c r="E72" s="204">
        <v>2</v>
      </c>
      <c r="F72" s="178" t="s">
        <v>262</v>
      </c>
      <c r="G72" s="297" t="s">
        <v>456</v>
      </c>
    </row>
    <row r="73" spans="2:30">
      <c r="B73" s="178"/>
      <c r="C73" s="270"/>
      <c r="D73" s="204"/>
      <c r="E73" s="204"/>
      <c r="F73" s="178"/>
      <c r="G73" s="297"/>
    </row>
    <row r="74" spans="2:30">
      <c r="B74" s="178"/>
      <c r="C74" s="270"/>
      <c r="D74" s="204"/>
      <c r="E74" s="204"/>
      <c r="F74" s="178"/>
      <c r="G74" s="297"/>
    </row>
    <row r="75" spans="2:30">
      <c r="B75" s="178"/>
      <c r="C75" s="270"/>
      <c r="D75" s="204"/>
      <c r="E75" s="204"/>
      <c r="F75" s="178"/>
      <c r="G75" s="297"/>
    </row>
    <row r="76" spans="2:30">
      <c r="B76" s="178"/>
      <c r="C76" s="270"/>
      <c r="D76" s="204"/>
      <c r="E76" s="204"/>
      <c r="F76" s="178"/>
      <c r="G76" s="297"/>
    </row>
    <row r="77" spans="2:30">
      <c r="B77" s="178"/>
      <c r="C77" s="270"/>
      <c r="D77" s="204"/>
      <c r="E77" s="204"/>
      <c r="F77" s="178"/>
      <c r="G77" s="297"/>
    </row>
    <row r="78" spans="2:30">
      <c r="B78" s="178"/>
      <c r="C78" s="270"/>
      <c r="D78" s="204"/>
      <c r="E78" s="204"/>
      <c r="F78" s="178"/>
      <c r="G78" s="297"/>
    </row>
    <row r="79" spans="2:30">
      <c r="B79" s="178"/>
      <c r="C79" s="270"/>
      <c r="D79" s="204"/>
      <c r="E79" s="204"/>
      <c r="F79" s="178"/>
      <c r="G79" s="297"/>
    </row>
    <row r="80" spans="2:30">
      <c r="B80" s="178"/>
      <c r="C80" s="270"/>
      <c r="D80" s="204"/>
      <c r="E80" s="204"/>
      <c r="F80" s="178"/>
      <c r="G80" s="297"/>
    </row>
    <row r="81" spans="2:10">
      <c r="B81" s="178"/>
      <c r="C81" s="270"/>
      <c r="D81" s="204"/>
      <c r="E81" s="204"/>
      <c r="F81" s="178"/>
      <c r="G81" s="297"/>
    </row>
    <row r="82" spans="2:10" ht="15" thickBot="1">
      <c r="B82" s="283"/>
      <c r="C82" s="294"/>
      <c r="D82" s="159"/>
      <c r="E82" s="159"/>
      <c r="F82" s="283"/>
      <c r="G82" s="298"/>
    </row>
    <row r="87" spans="2:10" ht="15" thickBot="1">
      <c r="C87" s="204"/>
      <c r="D87" s="204"/>
      <c r="E87" s="204"/>
      <c r="F87" s="204"/>
      <c r="G87" s="204"/>
      <c r="H87" s="204"/>
      <c r="I87" s="204"/>
    </row>
    <row r="88" spans="2:10" ht="15" thickBot="1">
      <c r="B88" s="373" t="s">
        <v>459</v>
      </c>
      <c r="C88" s="262" t="s">
        <v>251</v>
      </c>
      <c r="D88" s="267" t="s">
        <v>290</v>
      </c>
      <c r="E88" s="262" t="s">
        <v>33</v>
      </c>
      <c r="F88" s="267" t="s">
        <v>254</v>
      </c>
      <c r="G88" s="262" t="s">
        <v>252</v>
      </c>
      <c r="H88" s="262" t="s">
        <v>256</v>
      </c>
      <c r="I88" s="374" t="s">
        <v>455</v>
      </c>
      <c r="J88" s="372" t="s">
        <v>457</v>
      </c>
    </row>
    <row r="89" spans="2:10">
      <c r="B89" s="373" t="s">
        <v>267</v>
      </c>
      <c r="C89" s="276">
        <v>220</v>
      </c>
      <c r="D89" s="287">
        <v>320</v>
      </c>
      <c r="E89" s="293" t="s">
        <v>162</v>
      </c>
      <c r="F89" s="287">
        <v>0.6</v>
      </c>
      <c r="G89" s="288">
        <v>3</v>
      </c>
      <c r="H89" s="295" t="s">
        <v>261</v>
      </c>
      <c r="I89" s="295" t="s">
        <v>456</v>
      </c>
      <c r="J89" s="172"/>
    </row>
    <row r="90" spans="2:10">
      <c r="B90" s="172" t="s">
        <v>267</v>
      </c>
      <c r="C90" s="178">
        <v>230</v>
      </c>
      <c r="D90" s="204">
        <v>330</v>
      </c>
      <c r="E90" s="270" t="s">
        <v>162</v>
      </c>
      <c r="F90" s="204">
        <v>0.19</v>
      </c>
      <c r="G90" s="289">
        <v>3</v>
      </c>
      <c r="H90" s="297" t="s">
        <v>261</v>
      </c>
      <c r="I90" s="297" t="s">
        <v>456</v>
      </c>
      <c r="J90" s="172"/>
    </row>
    <row r="91" spans="2:10">
      <c r="B91" s="172"/>
      <c r="C91" s="178"/>
      <c r="D91" s="204"/>
      <c r="E91" s="270"/>
      <c r="F91" s="204"/>
      <c r="G91" s="289"/>
      <c r="H91" s="297"/>
      <c r="I91" s="297"/>
      <c r="J91" s="172"/>
    </row>
    <row r="92" spans="2:10">
      <c r="B92" s="172"/>
      <c r="C92" s="89"/>
      <c r="D92" s="11"/>
      <c r="E92" s="270"/>
      <c r="F92" s="204"/>
      <c r="G92" s="289"/>
      <c r="H92" s="297"/>
      <c r="I92" s="297"/>
      <c r="J92" s="172"/>
    </row>
    <row r="93" spans="2:10">
      <c r="B93" s="172"/>
      <c r="C93" s="178"/>
      <c r="D93" s="11"/>
      <c r="E93" s="270"/>
      <c r="F93" s="204"/>
      <c r="G93" s="289"/>
      <c r="H93" s="297"/>
      <c r="I93" s="297"/>
      <c r="J93" s="172"/>
    </row>
    <row r="94" spans="2:10">
      <c r="B94" s="172"/>
      <c r="C94" s="178"/>
      <c r="D94" s="11"/>
      <c r="E94" s="270"/>
      <c r="F94" s="204"/>
      <c r="G94" s="289"/>
      <c r="H94" s="297"/>
      <c r="I94" s="297"/>
      <c r="J94" s="172"/>
    </row>
    <row r="95" spans="2:10">
      <c r="B95" s="172"/>
      <c r="C95" s="178"/>
      <c r="D95" s="11"/>
      <c r="E95" s="270"/>
      <c r="F95" s="204"/>
      <c r="G95" s="289"/>
      <c r="H95" s="297"/>
      <c r="I95" s="297"/>
      <c r="J95" s="172"/>
    </row>
    <row r="96" spans="2:10">
      <c r="B96" s="172"/>
      <c r="C96" s="178"/>
      <c r="D96" s="11"/>
      <c r="E96" s="270"/>
      <c r="F96" s="204"/>
      <c r="G96" s="289"/>
      <c r="H96" s="297"/>
      <c r="I96" s="297"/>
      <c r="J96" s="172"/>
    </row>
    <row r="97" spans="2:10">
      <c r="B97" s="172"/>
      <c r="C97" s="178"/>
      <c r="D97" s="11"/>
      <c r="E97" s="270"/>
      <c r="F97" s="204"/>
      <c r="G97" s="289"/>
      <c r="H97" s="297"/>
      <c r="I97" s="297"/>
      <c r="J97" s="172"/>
    </row>
    <row r="98" spans="2:10">
      <c r="B98" s="172"/>
      <c r="C98" s="178"/>
      <c r="D98" s="11"/>
      <c r="E98" s="270"/>
      <c r="F98" s="204"/>
      <c r="G98" s="289"/>
      <c r="H98" s="297"/>
      <c r="I98" s="297"/>
      <c r="J98" s="172"/>
    </row>
    <row r="99" spans="2:10">
      <c r="B99" s="172"/>
      <c r="C99" s="325"/>
      <c r="D99" s="11"/>
      <c r="E99" s="270"/>
      <c r="F99" s="204"/>
      <c r="G99" s="289"/>
      <c r="H99" s="297"/>
      <c r="I99" s="297"/>
      <c r="J99" s="172"/>
    </row>
    <row r="100" spans="2:10">
      <c r="B100" s="172"/>
      <c r="C100" s="178"/>
      <c r="D100" s="11"/>
      <c r="E100" s="270"/>
      <c r="F100" s="204"/>
      <c r="G100" s="289"/>
      <c r="H100" s="297"/>
      <c r="I100" s="297"/>
      <c r="J100" s="172"/>
    </row>
    <row r="101" spans="2:10">
      <c r="B101" s="172"/>
      <c r="C101" s="178"/>
      <c r="D101" s="11"/>
      <c r="E101" s="204"/>
      <c r="F101" s="204"/>
      <c r="G101" s="289"/>
      <c r="H101" s="297"/>
      <c r="I101" s="297"/>
      <c r="J101" s="172"/>
    </row>
    <row r="102" spans="2:10">
      <c r="B102" s="172"/>
      <c r="C102" s="89"/>
      <c r="D102" s="11"/>
      <c r="E102" s="11"/>
      <c r="F102" s="11"/>
      <c r="G102" s="88"/>
      <c r="H102" s="297"/>
      <c r="I102" s="172"/>
      <c r="J102" s="172"/>
    </row>
    <row r="103" spans="2:10">
      <c r="B103" s="172"/>
      <c r="C103" s="89"/>
      <c r="D103" s="11"/>
      <c r="E103" s="11"/>
      <c r="F103" s="11"/>
      <c r="G103" s="88"/>
      <c r="H103" s="297"/>
      <c r="I103" s="172"/>
      <c r="J103" s="172"/>
    </row>
    <row r="104" spans="2:10">
      <c r="B104" s="172"/>
      <c r="C104" s="89"/>
      <c r="D104" s="11"/>
      <c r="E104" s="11"/>
      <c r="F104" s="11"/>
      <c r="G104" s="88"/>
      <c r="H104" s="297"/>
      <c r="I104" s="172"/>
      <c r="J104" s="172"/>
    </row>
    <row r="105" spans="2:10">
      <c r="B105" s="172"/>
      <c r="C105" s="89"/>
      <c r="D105" s="11"/>
      <c r="E105" s="11"/>
      <c r="F105" s="11"/>
      <c r="G105" s="88"/>
      <c r="H105" s="297"/>
      <c r="I105" s="172"/>
      <c r="J105" s="172"/>
    </row>
    <row r="106" spans="2:10">
      <c r="B106" s="172"/>
      <c r="C106" s="89"/>
      <c r="D106" s="11"/>
      <c r="E106" s="11"/>
      <c r="F106" s="11"/>
      <c r="G106" s="88"/>
      <c r="H106" s="297"/>
      <c r="I106" s="172"/>
      <c r="J106" s="172"/>
    </row>
    <row r="107" spans="2:10">
      <c r="B107" s="172"/>
      <c r="C107" s="89"/>
      <c r="D107" s="11"/>
      <c r="E107" s="11"/>
      <c r="F107" s="11"/>
      <c r="G107" s="88"/>
      <c r="H107" s="297"/>
      <c r="I107" s="172"/>
      <c r="J107" s="172"/>
    </row>
    <row r="108" spans="2:10">
      <c r="B108" s="172"/>
      <c r="C108" s="89"/>
      <c r="D108" s="11"/>
      <c r="E108" s="11"/>
      <c r="F108" s="11"/>
      <c r="G108" s="88"/>
      <c r="H108" s="297"/>
      <c r="I108" s="172"/>
      <c r="J108" s="172"/>
    </row>
    <row r="109" spans="2:10">
      <c r="B109" s="172"/>
      <c r="C109" s="89"/>
      <c r="D109" s="11"/>
      <c r="E109" s="11"/>
      <c r="F109" s="11"/>
      <c r="G109" s="88"/>
      <c r="H109" s="297"/>
      <c r="I109" s="172"/>
      <c r="J109" s="172"/>
    </row>
    <row r="110" spans="2:10">
      <c r="B110" s="172"/>
      <c r="C110" s="89"/>
      <c r="D110" s="11"/>
      <c r="E110" s="11"/>
      <c r="F110" s="11"/>
      <c r="G110" s="88"/>
      <c r="H110" s="297"/>
      <c r="I110" s="172"/>
      <c r="J110" s="172"/>
    </row>
    <row r="111" spans="2:10">
      <c r="B111" s="172"/>
      <c r="C111" s="89"/>
      <c r="D111" s="11"/>
      <c r="E111" s="11"/>
      <c r="F111" s="11"/>
      <c r="G111" s="88"/>
      <c r="H111" s="297"/>
      <c r="I111" s="172"/>
      <c r="J111" s="172"/>
    </row>
    <row r="112" spans="2:10">
      <c r="B112" s="172"/>
      <c r="C112" s="89"/>
      <c r="D112" s="11"/>
      <c r="E112" s="11"/>
      <c r="F112" s="11"/>
      <c r="G112" s="88"/>
      <c r="H112" s="297"/>
      <c r="I112" s="172"/>
      <c r="J112" s="172"/>
    </row>
    <row r="113" spans="2:10">
      <c r="B113" s="172"/>
      <c r="C113" s="89"/>
      <c r="D113" s="11"/>
      <c r="E113" s="11"/>
      <c r="F113" s="11"/>
      <c r="G113" s="88"/>
      <c r="H113" s="297"/>
      <c r="I113" s="172"/>
      <c r="J113" s="172"/>
    </row>
    <row r="114" spans="2:10">
      <c r="B114" s="172"/>
      <c r="C114" s="89"/>
      <c r="D114" s="11"/>
      <c r="E114" s="11"/>
      <c r="F114" s="11"/>
      <c r="G114" s="88"/>
      <c r="H114" s="297"/>
      <c r="I114" s="172"/>
      <c r="J114" s="172"/>
    </row>
    <row r="115" spans="2:10" ht="15" thickBot="1">
      <c r="B115" s="173"/>
      <c r="C115" s="263"/>
      <c r="D115" s="90"/>
      <c r="E115" s="90"/>
      <c r="F115" s="90"/>
      <c r="G115" s="142"/>
      <c r="H115" s="142"/>
      <c r="I115" s="173"/>
      <c r="J115" s="173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C2:AF56"/>
  <sheetViews>
    <sheetView zoomScale="91" zoomScaleNormal="91" workbookViewId="0">
      <selection activeCell="B12" sqref="B12"/>
    </sheetView>
  </sheetViews>
  <sheetFormatPr defaultRowHeight="14.5"/>
  <cols>
    <col min="3" max="3" width="36.36328125" customWidth="1"/>
    <col min="4" max="4" width="24.1796875" bestFit="1" customWidth="1"/>
    <col min="5" max="5" width="13" bestFit="1" customWidth="1"/>
    <col min="6" max="6" width="13.453125" bestFit="1" customWidth="1"/>
    <col min="7" max="7" width="21.08984375" bestFit="1" customWidth="1"/>
    <col min="8" max="9" width="15.81640625" bestFit="1" customWidth="1"/>
    <col min="10" max="10" width="22.81640625" bestFit="1" customWidth="1"/>
    <col min="11" max="11" width="19.1796875" bestFit="1" customWidth="1"/>
    <col min="12" max="12" width="20.54296875" bestFit="1" customWidth="1"/>
    <col min="13" max="13" width="16.1796875" bestFit="1" customWidth="1"/>
    <col min="14" max="14" width="14.08984375" bestFit="1" customWidth="1"/>
    <col min="15" max="15" width="14.81640625" bestFit="1" customWidth="1"/>
    <col min="16" max="16" width="21.54296875" bestFit="1" customWidth="1"/>
    <col min="17" max="17" width="12.6328125" bestFit="1" customWidth="1"/>
    <col min="18" max="18" width="13.08984375" bestFit="1" customWidth="1"/>
    <col min="19" max="19" width="20.81640625" bestFit="1" customWidth="1"/>
  </cols>
  <sheetData>
    <row r="2" spans="3:31" ht="15" thickBot="1"/>
    <row r="3" spans="3:31" ht="21.5" thickBot="1">
      <c r="C3" s="413" t="s">
        <v>500</v>
      </c>
      <c r="D3" s="414"/>
      <c r="E3" s="414"/>
      <c r="F3" s="414"/>
      <c r="G3" s="415"/>
      <c r="H3" s="11"/>
      <c r="I3" s="11"/>
      <c r="J3" s="11"/>
      <c r="L3" s="471" t="s">
        <v>499</v>
      </c>
      <c r="M3" s="472"/>
      <c r="N3" s="472"/>
      <c r="O3" s="472"/>
      <c r="P3" s="473"/>
    </row>
    <row r="4" spans="3:31">
      <c r="C4" s="382" t="s">
        <v>40</v>
      </c>
      <c r="D4" s="382" t="s">
        <v>516</v>
      </c>
      <c r="E4" s="382"/>
      <c r="F4" s="382"/>
      <c r="G4" s="382"/>
      <c r="H4" s="382"/>
      <c r="I4" s="382"/>
      <c r="J4" s="382"/>
    </row>
    <row r="6" spans="3:31">
      <c r="AB6" s="396"/>
      <c r="AC6" s="396" t="s">
        <v>473</v>
      </c>
      <c r="AD6" s="396"/>
      <c r="AE6" s="396"/>
    </row>
    <row r="7" spans="3:31" ht="15" thickBot="1">
      <c r="K7" s="323"/>
      <c r="AA7" s="396"/>
      <c r="AB7" s="396"/>
      <c r="AC7" s="396"/>
      <c r="AD7" s="396"/>
      <c r="AE7" s="396"/>
    </row>
    <row r="8" spans="3:31" ht="15" thickBot="1">
      <c r="C8" s="382"/>
      <c r="D8" s="462" t="s">
        <v>463</v>
      </c>
      <c r="E8" s="465"/>
      <c r="F8" s="465"/>
      <c r="G8" s="465"/>
      <c r="H8" s="462" t="s">
        <v>495</v>
      </c>
      <c r="I8" s="465"/>
      <c r="J8" s="463"/>
      <c r="K8" s="403"/>
      <c r="L8" s="382"/>
      <c r="M8" s="462" t="s">
        <v>463</v>
      </c>
      <c r="N8" s="465"/>
      <c r="O8" s="465"/>
      <c r="P8" s="465"/>
      <c r="Q8" s="462" t="s">
        <v>495</v>
      </c>
      <c r="R8" s="465"/>
      <c r="S8" s="463"/>
      <c r="AA8" s="396"/>
      <c r="AB8" s="396"/>
      <c r="AC8" s="396"/>
      <c r="AD8" s="396"/>
      <c r="AE8" s="396"/>
    </row>
    <row r="9" spans="3:31" ht="19" thickBot="1">
      <c r="C9" s="376" t="s">
        <v>477</v>
      </c>
      <c r="D9" s="383" t="s">
        <v>480</v>
      </c>
      <c r="E9" s="383" t="s">
        <v>33</v>
      </c>
      <c r="F9" s="383" t="s">
        <v>481</v>
      </c>
      <c r="G9" s="385" t="s">
        <v>482</v>
      </c>
      <c r="H9" s="404" t="s">
        <v>501</v>
      </c>
      <c r="I9" s="404" t="s">
        <v>502</v>
      </c>
      <c r="J9" s="404" t="s">
        <v>498</v>
      </c>
      <c r="K9" s="403"/>
      <c r="L9" s="376" t="s">
        <v>477</v>
      </c>
      <c r="M9" s="383" t="s">
        <v>480</v>
      </c>
      <c r="N9" s="383" t="s">
        <v>33</v>
      </c>
      <c r="O9" s="383" t="s">
        <v>481</v>
      </c>
      <c r="P9" s="385" t="s">
        <v>482</v>
      </c>
      <c r="Q9" s="404" t="s">
        <v>496</v>
      </c>
      <c r="R9" s="404" t="s">
        <v>497</v>
      </c>
      <c r="S9" s="404" t="s">
        <v>498</v>
      </c>
      <c r="AA9" s="394"/>
      <c r="AB9" s="395" t="s">
        <v>468</v>
      </c>
      <c r="AC9" s="395" t="s">
        <v>469</v>
      </c>
      <c r="AD9" s="395" t="s">
        <v>470</v>
      </c>
      <c r="AE9" s="394"/>
    </row>
    <row r="10" spans="3:31" ht="15" thickBot="1">
      <c r="C10" s="172" t="s">
        <v>265</v>
      </c>
      <c r="D10" s="295">
        <v>220</v>
      </c>
      <c r="E10" s="292" t="s">
        <v>162</v>
      </c>
      <c r="F10" s="297">
        <v>320</v>
      </c>
      <c r="G10" s="295" t="s">
        <v>281</v>
      </c>
      <c r="H10" s="288">
        <v>0.7</v>
      </c>
      <c r="I10" s="297">
        <v>0.85</v>
      </c>
      <c r="J10" s="297">
        <v>5</v>
      </c>
      <c r="K10" s="258"/>
      <c r="L10" s="222" t="s">
        <v>467</v>
      </c>
      <c r="M10" s="295">
        <v>5000</v>
      </c>
      <c r="N10" s="292" t="s">
        <v>281</v>
      </c>
      <c r="O10" s="295" t="s">
        <v>281</v>
      </c>
      <c r="P10" s="295" t="s">
        <v>281</v>
      </c>
      <c r="Q10" s="288">
        <v>600</v>
      </c>
      <c r="R10" s="295">
        <v>1800</v>
      </c>
      <c r="S10" s="295">
        <v>5</v>
      </c>
      <c r="AA10" s="394"/>
      <c r="AB10" s="394" t="e">
        <f>IF(OR(#REF! = DataBank!$Y$23,#REF! = DataBank!$Y$22,#REF! = DataBank!$Y$24,#REF! = DataBank!$Y$25,#REF! = ""),  "NAValue", "ComponentsList")</f>
        <v>#REF!</v>
      </c>
      <c r="AC10" s="394" t="e">
        <f>IF(#REF!= DataBank!$Y$17,  "UnitNumbers", "NAValue")</f>
        <v>#REF!</v>
      </c>
      <c r="AD10" s="394" t="e">
        <f>IF(OR(#REF!= DataBank!$Y$20,#REF! = DataBank!$Y$19), "ReactionNumbers", "NAValue")</f>
        <v>#REF!</v>
      </c>
      <c r="AE10" s="394"/>
    </row>
    <row r="11" spans="3:31" ht="15" thickBot="1">
      <c r="C11" s="172" t="s">
        <v>267</v>
      </c>
      <c r="D11" s="297">
        <v>11</v>
      </c>
      <c r="E11" s="325" t="s">
        <v>162</v>
      </c>
      <c r="F11" s="297" t="s">
        <v>281</v>
      </c>
      <c r="G11" s="297" t="s">
        <v>281</v>
      </c>
      <c r="H11" s="289">
        <v>0.02</v>
      </c>
      <c r="I11" s="297">
        <v>0.08</v>
      </c>
      <c r="J11" s="297">
        <v>5</v>
      </c>
      <c r="K11" s="258"/>
      <c r="L11" s="317" t="s">
        <v>267</v>
      </c>
      <c r="M11" s="262"/>
      <c r="N11" s="406"/>
      <c r="O11" s="262"/>
      <c r="P11" s="262"/>
      <c r="Q11" s="266"/>
      <c r="R11" s="262"/>
      <c r="S11" s="262">
        <v>5</v>
      </c>
      <c r="AA11" s="394"/>
      <c r="AB11" s="394" t="e">
        <f>IF(OR(#REF! = DataBank!$Y$23,#REF! = DataBank!$Y$22,#REF! = DataBank!$Y$24,#REF! = DataBank!$Y$25,#REF! = ""),  "NAValue", "ComponentsList")</f>
        <v>#REF!</v>
      </c>
      <c r="AC11" s="394" t="e">
        <f>IF(#REF!= DataBank!$Y$17,  "UnitNumbers", "NAValue")</f>
        <v>#REF!</v>
      </c>
      <c r="AD11" s="394" t="e">
        <f>IF(OR(#REF!= DataBank!$Y$20,#REF! = DataBank!$Y$19), "ReactionNumbers", "NAValue")</f>
        <v>#REF!</v>
      </c>
      <c r="AE11" s="394"/>
    </row>
    <row r="12" spans="3:31">
      <c r="C12" s="172" t="s">
        <v>268</v>
      </c>
      <c r="D12" s="297">
        <v>210</v>
      </c>
      <c r="E12" s="325" t="s">
        <v>165</v>
      </c>
      <c r="F12" s="297" t="s">
        <v>281</v>
      </c>
      <c r="G12" s="297">
        <v>1</v>
      </c>
      <c r="H12" s="289">
        <v>0.4</v>
      </c>
      <c r="I12" s="297">
        <v>0.68</v>
      </c>
      <c r="J12" s="297">
        <v>5</v>
      </c>
      <c r="K12" s="258"/>
      <c r="AA12" s="394"/>
      <c r="AB12" s="394" t="e">
        <f>IF(OR(#REF! = DataBank!$Y$23,#REF! = DataBank!$Y$22,#REF! = DataBank!$Y$24,#REF! = DataBank!$Y$25,#REF! = ""),  "NAValue", "ComponentsList")</f>
        <v>#REF!</v>
      </c>
      <c r="AC12" s="394" t="e">
        <f>IF(#REF!= DataBank!$Y$17,  "UnitNumbers", "NAValue")</f>
        <v>#REF!</v>
      </c>
      <c r="AD12" s="394" t="e">
        <f>IF(OR(#REF!= DataBank!$Y$20,#REF! = DataBank!$Y$19), "ReactionNumbers", "NAValue")</f>
        <v>#REF!</v>
      </c>
      <c r="AE12" s="394"/>
    </row>
    <row r="13" spans="3:31">
      <c r="C13" s="172" t="s">
        <v>266</v>
      </c>
      <c r="D13" s="297">
        <v>240</v>
      </c>
      <c r="E13" s="325" t="s">
        <v>334</v>
      </c>
      <c r="F13" s="297" t="s">
        <v>281</v>
      </c>
      <c r="G13" s="297">
        <v>7</v>
      </c>
      <c r="H13" s="289">
        <v>0.5</v>
      </c>
      <c r="I13" s="297">
        <v>0.8</v>
      </c>
      <c r="J13" s="297">
        <v>5</v>
      </c>
      <c r="K13" s="258"/>
      <c r="AA13" s="394"/>
      <c r="AB13" s="394" t="e">
        <f>IF(OR(#REF! = DataBank!$Y$23,#REF! = DataBank!$Y$22,#REF! = DataBank!$Y$24,#REF! = DataBank!$Y$25,#REF! = ""),  "NAValue", "ComponentsList")</f>
        <v>#REF!</v>
      </c>
      <c r="AC13" s="394" t="e">
        <f>IF(#REF!= DataBank!$Y$17,  "UnitNumbers", "NAValue")</f>
        <v>#REF!</v>
      </c>
      <c r="AD13" s="394" t="e">
        <f>IF(OR(#REF!= DataBank!$Y$20,#REF! = DataBank!$Y$19), "ReactionNumbers", "NAValue")</f>
        <v>#REF!</v>
      </c>
      <c r="AE13" s="394"/>
    </row>
    <row r="14" spans="3:31">
      <c r="C14" s="172" t="s">
        <v>257</v>
      </c>
      <c r="D14" s="297">
        <v>600</v>
      </c>
      <c r="E14" s="325" t="s">
        <v>475</v>
      </c>
      <c r="F14" s="297" t="s">
        <v>281</v>
      </c>
      <c r="G14" s="297" t="s">
        <v>281</v>
      </c>
      <c r="H14" s="289">
        <v>0.4</v>
      </c>
      <c r="I14" s="297">
        <v>0.88</v>
      </c>
      <c r="J14" s="297">
        <v>5</v>
      </c>
      <c r="K14" s="258"/>
      <c r="AA14" s="394"/>
      <c r="AB14" s="394" t="e">
        <f>IF(OR(#REF! = DataBank!$Y$23,#REF! = DataBank!$Y$22,#REF! = DataBank!$Y$24,#REF! = DataBank!$Y$25,#REF! = ""),  "NAValue", "ComponentsList")</f>
        <v>#REF!</v>
      </c>
      <c r="AC14" s="394" t="e">
        <f>IF(#REF!= DataBank!$Y$17,  "UnitNumbers", "NAValue")</f>
        <v>#REF!</v>
      </c>
      <c r="AD14" s="394" t="e">
        <f>IF(OR(#REF!= DataBank!$Y$20,#REF! = DataBank!$Y$19), "ReactionNumbers", "NAValue")</f>
        <v>#REF!</v>
      </c>
      <c r="AE14" s="394"/>
    </row>
    <row r="15" spans="3:31">
      <c r="C15" s="172" t="s">
        <v>466</v>
      </c>
      <c r="D15" s="297">
        <v>11</v>
      </c>
      <c r="E15" s="325" t="s">
        <v>281</v>
      </c>
      <c r="F15" s="297" t="s">
        <v>281</v>
      </c>
      <c r="G15" s="297" t="s">
        <v>281</v>
      </c>
      <c r="H15" s="289">
        <v>10</v>
      </c>
      <c r="I15" s="297">
        <v>100</v>
      </c>
      <c r="J15" s="297">
        <v>5</v>
      </c>
      <c r="K15" s="258"/>
      <c r="AA15" s="394"/>
      <c r="AB15" s="394" t="e">
        <f>IF(OR(#REF! = DataBank!$Y$23,#REF! = DataBank!$Y$22,#REF! = DataBank!$Y$24,#REF! = DataBank!$Y$25,#REF! = ""),  "NAValue", "ComponentsList")</f>
        <v>#REF!</v>
      </c>
      <c r="AC15" s="394" t="e">
        <f>IF(#REF!= DataBank!$Y$17,  "UnitNumbers", "NAValue")</f>
        <v>#REF!</v>
      </c>
      <c r="AD15" s="394" t="e">
        <f>IF(OR(#REF!= DataBank!$Y$20,#REF! = DataBank!$Y$19), "ReactionNumbers", "NAValue")</f>
        <v>#REF!</v>
      </c>
      <c r="AE15" s="394"/>
    </row>
    <row r="16" spans="3:31">
      <c r="C16" s="172" t="s">
        <v>467</v>
      </c>
      <c r="D16" s="297">
        <v>6000</v>
      </c>
      <c r="E16" s="325" t="s">
        <v>281</v>
      </c>
      <c r="F16" s="297" t="s">
        <v>281</v>
      </c>
      <c r="G16" s="297" t="s">
        <v>281</v>
      </c>
      <c r="H16" s="289">
        <v>0.02</v>
      </c>
      <c r="I16" s="297">
        <v>0.08</v>
      </c>
      <c r="J16" s="297">
        <v>5</v>
      </c>
      <c r="K16" s="258"/>
      <c r="AA16" s="394"/>
      <c r="AB16" s="394" t="e">
        <f>IF(OR(#REF! = DataBank!$Y$23,#REF! = DataBank!$Y$22,#REF! = DataBank!$Y$24,#REF! = DataBank!$Y$25,#REF! = ""),  "NAValue", "ComponentsList")</f>
        <v>#REF!</v>
      </c>
      <c r="AC16" s="394" t="e">
        <f>IF(#REF!= DataBank!$Y$17,  "UnitNumbers", "NAValue")</f>
        <v>#REF!</v>
      </c>
      <c r="AD16" s="394" t="e">
        <f>IF(OR(#REF!= DataBank!$Y$20,#REF! = DataBank!$Y$19), "ReactionNumbers", "NAValue")</f>
        <v>#REF!</v>
      </c>
      <c r="AE16" s="394"/>
    </row>
    <row r="17" spans="3:32">
      <c r="C17" s="172" t="s">
        <v>503</v>
      </c>
      <c r="D17" s="297" t="s">
        <v>281</v>
      </c>
      <c r="E17" s="325" t="s">
        <v>281</v>
      </c>
      <c r="F17" s="297" t="s">
        <v>281</v>
      </c>
      <c r="G17" s="297" t="s">
        <v>281</v>
      </c>
      <c r="H17" s="289">
        <v>0.8</v>
      </c>
      <c r="I17" s="297">
        <v>0.95</v>
      </c>
      <c r="J17" s="297">
        <v>5</v>
      </c>
      <c r="K17" s="258"/>
      <c r="L17" s="11"/>
      <c r="M17" s="11"/>
      <c r="N17" s="11"/>
      <c r="O17" s="11"/>
      <c r="P17" s="11"/>
      <c r="Q17" s="11"/>
      <c r="R17" s="11"/>
      <c r="S17" s="11"/>
      <c r="Z17" s="11"/>
      <c r="AA17" s="394"/>
      <c r="AB17" s="394" t="e" cm="1">
        <f t="array" ref="AB17">IF(OR(#REF! = DataBank!$Y$23,#REF! = DataBank!$Y$22,#REF! = DataBank!$Y$24,#REF! = DataBank!$Y$25,#REF! = "",#REF! = DataBank!AA24:AA36),  "NAValue", "ComponentsList")</f>
        <v>#REF!</v>
      </c>
      <c r="AC17" s="394" t="e">
        <f>IF(#REF!= DataBank!$Y$17,  "UnitNumbers", "NAValue")</f>
        <v>#REF!</v>
      </c>
      <c r="AD17" s="394" t="e">
        <f>IF(OR(#REF!= DataBank!$Y$20,#REF! = DataBank!$Y$19), "ReactionNumbers", "NAValue")</f>
        <v>#REF!</v>
      </c>
      <c r="AE17" s="394"/>
    </row>
    <row r="18" spans="3:32">
      <c r="C18" s="172" t="s">
        <v>504</v>
      </c>
      <c r="D18" s="297" t="s">
        <v>281</v>
      </c>
      <c r="E18" s="392" t="s">
        <v>281</v>
      </c>
      <c r="F18" s="297" t="s">
        <v>281</v>
      </c>
      <c r="G18" s="297" t="s">
        <v>281</v>
      </c>
      <c r="H18" s="289">
        <v>0.2</v>
      </c>
      <c r="I18" s="297">
        <v>0.4</v>
      </c>
      <c r="J18" s="297">
        <v>5</v>
      </c>
      <c r="K18" s="258"/>
      <c r="AA18" s="394"/>
      <c r="AB18" s="394" t="e" cm="1">
        <f t="array" ref="AB18">IF(OR(#REF! = DataBank!$Y$23,#REF! = DataBank!$Y$22,#REF! = DataBank!$Y$24,#REF! = DataBank!$Y$25,#REF! = "",#REF! = DataBank!AA25:AA36),  "NAValue", "ComponentsList")</f>
        <v>#REF!</v>
      </c>
      <c r="AC18" s="394" t="e">
        <f>IF(#REF!= DataBank!$Y$17,  "UnitNumbers", "NAValue")</f>
        <v>#REF!</v>
      </c>
      <c r="AD18" s="394" t="e">
        <f>IF(OR(#REF!= DataBank!$Y$20,#REF! = DataBank!$Y$19), "ReactionNumbers", "NAValue")</f>
        <v>#REF!</v>
      </c>
      <c r="AE18" s="394"/>
    </row>
    <row r="19" spans="3:32">
      <c r="C19" s="172" t="s">
        <v>509</v>
      </c>
      <c r="D19" s="297" t="s">
        <v>281</v>
      </c>
      <c r="E19" s="325" t="s">
        <v>281</v>
      </c>
      <c r="F19" s="297" t="s">
        <v>281</v>
      </c>
      <c r="G19" s="297" t="s">
        <v>281</v>
      </c>
      <c r="H19" s="289">
        <v>30</v>
      </c>
      <c r="I19" s="297">
        <v>40</v>
      </c>
      <c r="J19" s="297">
        <v>5</v>
      </c>
      <c r="K19" s="258"/>
      <c r="AA19" s="394"/>
      <c r="AB19" s="394" t="e" cm="1">
        <f t="array" ref="AB19">IF(OR(#REF! = DataBank!$Y$23,#REF! = DataBank!$Y$22,#REF! = DataBank!$Y$24,#REF! = DataBank!$Y$25,#REF! = "",#REF! = DataBank!AA26:AA36),  "NAValue", "ComponentsList")</f>
        <v>#REF!</v>
      </c>
      <c r="AC19" s="394" t="e">
        <f>IF(#REF!= DataBank!$Y$17,  "UnitNumbers", "NAValue")</f>
        <v>#REF!</v>
      </c>
      <c r="AD19" s="394" t="e">
        <f>IF(OR(#REF!= DataBank!$Y$20,#REF! = DataBank!$Y$19), "ReactionNumbers", "NAValue")</f>
        <v>#REF!</v>
      </c>
      <c r="AE19" s="394"/>
    </row>
    <row r="20" spans="3:32">
      <c r="C20" s="172" t="s">
        <v>512</v>
      </c>
      <c r="D20" s="297" t="s">
        <v>281</v>
      </c>
      <c r="E20" s="325" t="s">
        <v>281</v>
      </c>
      <c r="F20" s="297" t="s">
        <v>281</v>
      </c>
      <c r="G20" s="297" t="s">
        <v>281</v>
      </c>
      <c r="H20" s="289">
        <v>30</v>
      </c>
      <c r="I20" s="297">
        <v>40</v>
      </c>
      <c r="J20" s="297">
        <v>5</v>
      </c>
      <c r="K20" s="258"/>
      <c r="O20" s="172" t="s">
        <v>265</v>
      </c>
      <c r="AA20" s="394"/>
      <c r="AB20" s="394" t="e" cm="1">
        <f t="array" ref="AB20">IF(OR(#REF! = DataBank!$Y$23,#REF! = DataBank!$Y$22,#REF! = DataBank!$Y$24,#REF! = DataBank!$Y$25,#REF! = "",#REF! = DataBank!AA27:AA37),  "NAValue", "ComponentsList")</f>
        <v>#REF!</v>
      </c>
      <c r="AC20" s="394" t="e">
        <f>IF(#REF!= DataBank!$Y$17,  "UnitNumbers", "NAValue")</f>
        <v>#REF!</v>
      </c>
      <c r="AD20" s="394" t="e">
        <f>IF(OR(#REF!= DataBank!$Y$20,#REF! = DataBank!$Y$19), "ReactionNumbers", "NAValue")</f>
        <v>#REF!</v>
      </c>
      <c r="AE20" s="394"/>
      <c r="AF20" s="11"/>
    </row>
    <row r="21" spans="3:32">
      <c r="C21" s="172" t="s">
        <v>510</v>
      </c>
      <c r="D21" s="297" t="s">
        <v>281</v>
      </c>
      <c r="E21" s="325" t="s">
        <v>281</v>
      </c>
      <c r="F21" s="297" t="s">
        <v>281</v>
      </c>
      <c r="G21" s="297" t="s">
        <v>281</v>
      </c>
      <c r="H21" s="289">
        <v>30</v>
      </c>
      <c r="I21" s="297">
        <v>40</v>
      </c>
      <c r="J21" s="297">
        <v>5</v>
      </c>
      <c r="K21" s="258"/>
      <c r="O21" s="172" t="s">
        <v>267</v>
      </c>
      <c r="AA21" s="394"/>
      <c r="AB21" s="394" t="e" cm="1">
        <f t="array" ref="AB21">IF(OR(#REF! = DataBank!$Y$23,#REF! = DataBank!$Y$22,#REF! = DataBank!$Y$24,#REF! = DataBank!$Y$25,#REF! = "",#REF! = DataBank!AA28:AA38),  "NAValue", "ComponentsList")</f>
        <v>#REF!</v>
      </c>
      <c r="AC21" s="394" t="e">
        <f>IF(#REF!= DataBank!$Y$17,  "UnitNumbers", "NAValue")</f>
        <v>#REF!</v>
      </c>
      <c r="AD21" s="394" t="e">
        <f>IF(OR(#REF!= DataBank!$Y$20,#REF! = DataBank!$Y$19), "ReactionNumbers", "NAValue")</f>
        <v>#REF!</v>
      </c>
      <c r="AE21" s="394"/>
    </row>
    <row r="22" spans="3:32">
      <c r="C22" s="172" t="s">
        <v>511</v>
      </c>
      <c r="D22" s="297" t="s">
        <v>281</v>
      </c>
      <c r="E22" s="325" t="s">
        <v>281</v>
      </c>
      <c r="F22" s="297" t="s">
        <v>281</v>
      </c>
      <c r="G22" s="297" t="s">
        <v>281</v>
      </c>
      <c r="H22" s="289">
        <v>30</v>
      </c>
      <c r="I22" s="297">
        <v>40</v>
      </c>
      <c r="J22" s="297">
        <v>5</v>
      </c>
      <c r="K22" s="258"/>
      <c r="O22" s="172" t="s">
        <v>268</v>
      </c>
      <c r="AA22" s="394"/>
      <c r="AB22" s="394" t="e" cm="1">
        <f t="array" ref="AB22">IF(OR(#REF! = DataBank!$Y$23,#REF! = DataBank!$Y$22,#REF! = DataBank!$Y$24,#REF! = DataBank!$Y$25,#REF! = "",#REF! = DataBank!AA29:AA39),  "NAValue", "ComponentsList")</f>
        <v>#REF!</v>
      </c>
      <c r="AC22" s="394" t="e">
        <f>IF(#REF!= DataBank!$Y$17,  "UnitNumbers", "NAValue")</f>
        <v>#REF!</v>
      </c>
      <c r="AD22" s="394" t="e">
        <f>IF(OR(#REF!= DataBank!$Y$20,#REF! = DataBank!$Y$19), "ReactionNumbers", "NAValue")</f>
        <v>#REF!</v>
      </c>
      <c r="AE22" s="394"/>
    </row>
    <row r="23" spans="3:32">
      <c r="C23" s="172" t="s">
        <v>513</v>
      </c>
      <c r="D23" s="297">
        <v>110</v>
      </c>
      <c r="E23" s="325" t="s">
        <v>281</v>
      </c>
      <c r="F23" s="297" t="s">
        <v>281</v>
      </c>
      <c r="G23" s="297" t="s">
        <v>281</v>
      </c>
      <c r="H23" s="289">
        <v>1</v>
      </c>
      <c r="I23" s="297">
        <v>1.8</v>
      </c>
      <c r="J23" s="297">
        <v>5</v>
      </c>
      <c r="K23" s="258"/>
      <c r="O23" s="172" t="s">
        <v>266</v>
      </c>
      <c r="AA23" s="394"/>
      <c r="AB23" s="394" t="e" cm="1">
        <f t="array" ref="AB23">IF(OR(#REF! = DataBank!$Y$23,#REF! = DataBank!$Y$22,#REF! = DataBank!$Y$24,#REF! = DataBank!$Y$25,#REF! = "",#REF! = DataBank!AA30:AA40),  "NAValue", "ComponentsList")</f>
        <v>#REF!</v>
      </c>
      <c r="AC23" s="394" t="e">
        <f>IF(#REF!= DataBank!$Y$17,  "UnitNumbers", "NAValue")</f>
        <v>#REF!</v>
      </c>
      <c r="AD23" s="394" t="e">
        <f>IF(OR(#REF!= DataBank!$Y$20,#REF! = DataBank!$Y$19), "ReactionNumbers", "NAValue")</f>
        <v>#REF!</v>
      </c>
      <c r="AE23" s="394"/>
    </row>
    <row r="24" spans="3:32">
      <c r="C24" s="172" t="s">
        <v>505</v>
      </c>
      <c r="D24" s="297">
        <v>100</v>
      </c>
      <c r="E24" s="325" t="s">
        <v>281</v>
      </c>
      <c r="F24" s="297" t="s">
        <v>281</v>
      </c>
      <c r="G24" s="297" t="s">
        <v>281</v>
      </c>
      <c r="H24" s="289">
        <v>2E-3</v>
      </c>
      <c r="I24" s="297">
        <v>3.0000000000000001E-3</v>
      </c>
      <c r="J24" s="297">
        <v>5</v>
      </c>
      <c r="K24" s="258"/>
      <c r="O24" s="172" t="s">
        <v>257</v>
      </c>
      <c r="AA24" s="394"/>
      <c r="AB24" s="394" t="e" cm="1">
        <f t="array" ref="AB24">IF(OR(#REF! = DataBank!$Y$23,#REF! = DataBank!$Y$22,#REF! = DataBank!$Y$24,#REF! = DataBank!$Y$25,#REF! = "",#REF! = DataBank!AA32:AA41),  "NAValue", "ComponentsList")</f>
        <v>#REF!</v>
      </c>
      <c r="AC24" s="394" t="str">
        <f>IF(C28= DataBank!$Y$17,  "UnitNumbers", "NAValue")</f>
        <v>NAValue</v>
      </c>
      <c r="AD24" s="394" t="str">
        <f>IF(OR(C28= DataBank!$Y$20, C28 =DataBank!$Y$19), "ReactionNumbers", "NAValue")</f>
        <v>NAValue</v>
      </c>
      <c r="AE24" s="394"/>
    </row>
    <row r="25" spans="3:32">
      <c r="C25" s="172" t="s">
        <v>507</v>
      </c>
      <c r="D25" s="297">
        <v>230</v>
      </c>
      <c r="E25" s="325" t="s">
        <v>281</v>
      </c>
      <c r="F25" s="297" t="s">
        <v>281</v>
      </c>
      <c r="G25" s="297" t="s">
        <v>281</v>
      </c>
      <c r="H25" s="289">
        <v>8</v>
      </c>
      <c r="I25" s="297">
        <v>13</v>
      </c>
      <c r="J25" s="297">
        <v>5</v>
      </c>
      <c r="K25" s="258"/>
      <c r="O25" s="172" t="s">
        <v>466</v>
      </c>
      <c r="AA25" s="394"/>
      <c r="AB25" s="394" t="e" cm="1">
        <f t="array" ref="AB25">IF(OR(#REF! = DataBank!$Y$23,#REF! = DataBank!$Y$22,#REF! = DataBank!$Y$24,#REF! = DataBank!$Y$25,#REF! = "",#REF! = DataBank!AA34:AA42),  "NAValue", "ComponentsList")</f>
        <v>#REF!</v>
      </c>
      <c r="AC25" s="394" t="str">
        <f>IF(C29= DataBank!$Y$17,  "UnitNumbers", "NAValue")</f>
        <v>NAValue</v>
      </c>
      <c r="AD25" s="394" t="str">
        <f>IF(OR(C29= DataBank!$Y$20, C29 =DataBank!$Y$19), "ReactionNumbers", "NAValue")</f>
        <v>NAValue</v>
      </c>
      <c r="AE25" s="394"/>
    </row>
    <row r="26" spans="3:32">
      <c r="C26" s="172" t="s">
        <v>506</v>
      </c>
      <c r="D26" s="297">
        <v>250</v>
      </c>
      <c r="E26" s="325" t="s">
        <v>281</v>
      </c>
      <c r="F26" s="297" t="s">
        <v>281</v>
      </c>
      <c r="G26" s="297" t="s">
        <v>281</v>
      </c>
      <c r="H26" s="289">
        <v>0.01</v>
      </c>
      <c r="I26" s="297">
        <v>1.4999999999999999E-2</v>
      </c>
      <c r="J26" s="297">
        <v>5</v>
      </c>
      <c r="K26" s="258"/>
      <c r="AA26" s="394"/>
      <c r="AB26" s="394" t="e" cm="1">
        <f t="array" ref="AB26">IF(OR(#REF! = DataBank!$Y$23,#REF! = DataBank!$Y$22,#REF! = DataBank!$Y$24,#REF! = DataBank!$Y$25,#REF! = "",#REF! = DataBank!AA35:AA43),  "NAValue", "ComponentsList")</f>
        <v>#REF!</v>
      </c>
      <c r="AC26" s="394" t="str">
        <f>IF(C30= DataBank!$Y$17,  "UnitNumbers", "NAValue")</f>
        <v>NAValue</v>
      </c>
      <c r="AD26" s="394" t="str">
        <f>IF(OR(C30= DataBank!$Y$20, C30 =DataBank!$Y$19), "ReactionNumbers", "NAValue")</f>
        <v>NAValue</v>
      </c>
      <c r="AE26" s="394"/>
    </row>
    <row r="27" spans="3:32">
      <c r="C27" s="172" t="s">
        <v>508</v>
      </c>
      <c r="D27" s="297">
        <v>250</v>
      </c>
      <c r="E27" s="325" t="s">
        <v>281</v>
      </c>
      <c r="F27" s="297" t="s">
        <v>281</v>
      </c>
      <c r="G27" s="297" t="s">
        <v>281</v>
      </c>
      <c r="H27" s="289">
        <v>1E-3</v>
      </c>
      <c r="I27" s="297">
        <v>5.0000000000000001E-3</v>
      </c>
      <c r="J27" s="297">
        <v>5</v>
      </c>
      <c r="K27" s="258"/>
      <c r="AA27" s="394"/>
      <c r="AB27" s="394" t="e" cm="1">
        <f t="array" ref="AB27">IF(OR(#REF! = DataBank!$Y$23,#REF! = DataBank!$Y$22,#REF! = DataBank!$Y$24,#REF! = DataBank!$Y$25,#REF! = "",#REF! = DataBank!AA36:AA44),  "NAValue", "ComponentsList")</f>
        <v>#REF!</v>
      </c>
      <c r="AC27" s="394" t="str">
        <f>IF(C31= DataBank!$Y$17,  "UnitNumbers", "NAValue")</f>
        <v>NAValue</v>
      </c>
      <c r="AD27" s="394" t="str">
        <f>IF(OR(C31= DataBank!$Y$20, C31 =DataBank!$Y$19), "ReactionNumbers", "NAValue")</f>
        <v>NAValue</v>
      </c>
      <c r="AE27" s="394"/>
    </row>
    <row r="28" spans="3:32">
      <c r="C28" s="172"/>
      <c r="D28" s="297"/>
      <c r="E28" s="325"/>
      <c r="F28" s="297"/>
      <c r="G28" s="297"/>
      <c r="H28" s="289"/>
      <c r="I28" s="297"/>
      <c r="J28" s="297"/>
      <c r="K28" s="258"/>
      <c r="AA28" s="394"/>
      <c r="AB28" s="394" t="str" cm="1">
        <f t="array" ref="AB28">IF(OR(C28 = DataBank!$Y$23, C28 = DataBank!$Y$22, C28 = DataBank!$Y$24, C28 =DataBank!$Y$25, C28 = "", C28 = DataBank!AA37:AA45),  "NAValue", "ComponentsList")</f>
        <v>NAValue</v>
      </c>
      <c r="AC28" s="394" t="str">
        <f>IF(C32= DataBank!$Y$17,  "UnitNumbers", "NAValue")</f>
        <v>NAValue</v>
      </c>
      <c r="AD28" s="394" t="str">
        <f>IF(OR(C32= DataBank!$Y$20, C32 =DataBank!$Y$19), "ReactionNumbers", "NAValue")</f>
        <v>NAValue</v>
      </c>
      <c r="AE28" s="394"/>
    </row>
    <row r="29" spans="3:32">
      <c r="C29" s="172"/>
      <c r="D29" s="297"/>
      <c r="E29" s="325"/>
      <c r="F29" s="297"/>
      <c r="G29" s="297"/>
      <c r="H29" s="289"/>
      <c r="I29" s="297"/>
      <c r="J29" s="297"/>
      <c r="K29" s="258"/>
      <c r="AA29" s="394"/>
      <c r="AB29" s="394" t="str" cm="1">
        <f t="array" ref="AB29">IF(OR(C29 = DataBank!$Y$23, C29 = DataBank!$Y$22, C29 = DataBank!$Y$24, C29 =DataBank!$Y$25, C29 = "", C29 = DataBank!AA37:AA46),  "NAValue", "ComponentsList")</f>
        <v>NAValue</v>
      </c>
      <c r="AC29" s="394" t="str">
        <f>IF(C33= DataBank!$Y$17,  "UnitNumbers", "NAValue")</f>
        <v>NAValue</v>
      </c>
      <c r="AD29" s="394" t="str">
        <f>IF(OR(C33= DataBank!$Y$20, C33 =DataBank!$Y$19), "ReactionNumbers", "NAValue")</f>
        <v>NAValue</v>
      </c>
      <c r="AE29" s="394"/>
    </row>
    <row r="30" spans="3:32">
      <c r="C30" s="172"/>
      <c r="D30" s="297"/>
      <c r="E30" s="325"/>
      <c r="F30" s="297"/>
      <c r="G30" s="297"/>
      <c r="H30" s="289"/>
      <c r="I30" s="297"/>
      <c r="J30" s="297"/>
      <c r="K30" s="258"/>
      <c r="AA30" s="394"/>
      <c r="AB30" s="394" t="str" cm="1">
        <f t="array" ref="AB30">IF(OR(C30 = DataBank!$Y$23, C30 = DataBank!$Y$22, C30 = DataBank!$Y$24, C30 =DataBank!$Y$25, C30 = "", C30 = DataBank!AA37:AA47),  "NAValue", "ComponentsList")</f>
        <v>NAValue</v>
      </c>
      <c r="AC30" s="394" t="str">
        <f>IF(C34= DataBank!$Y$17,  "UnitNumbers", "NAValue")</f>
        <v>NAValue</v>
      </c>
      <c r="AD30" s="394" t="str">
        <f>IF(OR(C34= DataBank!$Y$20, C34 =DataBank!$Y$19), "ReactionNumbers", "NAValue")</f>
        <v>NAValue</v>
      </c>
      <c r="AE30" s="394"/>
    </row>
    <row r="31" spans="3:32">
      <c r="C31" s="172"/>
      <c r="D31" s="297"/>
      <c r="E31" s="325"/>
      <c r="F31" s="297"/>
      <c r="G31" s="297"/>
      <c r="H31" s="289"/>
      <c r="I31" s="297"/>
      <c r="J31" s="297"/>
      <c r="K31" s="258"/>
      <c r="AA31" s="394"/>
      <c r="AB31" s="394" t="str" cm="1">
        <f t="array" ref="AB31">IF(OR(C31 = DataBank!$Y$23, C31 = DataBank!$Y$22, C31 = DataBank!$Y$24, C31 =DataBank!$Y$25, C31 = "", C31 = DataBank!AA38:AA48),  "NAValue", "ComponentsList")</f>
        <v>NAValue</v>
      </c>
      <c r="AC31" s="394" t="str">
        <f>IF(C35= DataBank!$Y$17,  "UnitNumbers", "NAValue")</f>
        <v>NAValue</v>
      </c>
      <c r="AD31" s="394" t="str">
        <f>IF(OR(C35= DataBank!$Y$20, C35 =DataBank!$Y$19), "ReactionNumbers", "NAValue")</f>
        <v>NAValue</v>
      </c>
      <c r="AE31" s="394"/>
    </row>
    <row r="32" spans="3:32">
      <c r="C32" s="172"/>
      <c r="D32" s="297"/>
      <c r="E32" s="325"/>
      <c r="F32" s="297"/>
      <c r="G32" s="297"/>
      <c r="H32" s="289"/>
      <c r="I32" s="297"/>
      <c r="J32" s="297"/>
      <c r="K32" s="258"/>
      <c r="AA32" s="394"/>
      <c r="AB32" s="394" t="str" cm="1">
        <f t="array" ref="AB32">IF(OR(C32 = DataBank!$Y$23, C32 = DataBank!$Y$22, C32 = DataBank!$Y$24, C32 =DataBank!$Y$25, C32 = "", C32 = DataBank!AA39:AA49),  "NAValue", "ComponentsList")</f>
        <v>NAValue</v>
      </c>
      <c r="AC32" s="394" t="str">
        <f>IF(C36= DataBank!$Y$17,  "UnitNumbers", "NAValue")</f>
        <v>NAValue</v>
      </c>
      <c r="AD32" s="394" t="str">
        <f>IF(OR(C36= DataBank!$Y$20, C36 =DataBank!$Y$19), "ReactionNumbers", "NAValue")</f>
        <v>NAValue</v>
      </c>
      <c r="AE32" s="394"/>
    </row>
    <row r="33" spans="3:31">
      <c r="C33" s="172"/>
      <c r="D33" s="297"/>
      <c r="E33" s="325"/>
      <c r="F33" s="297"/>
      <c r="G33" s="297"/>
      <c r="H33" s="289"/>
      <c r="I33" s="297"/>
      <c r="J33" s="297"/>
      <c r="K33" s="258"/>
      <c r="AA33" s="394"/>
      <c r="AB33" s="394" t="str" cm="1">
        <f t="array" ref="AB33">IF(OR(C33 = DataBank!$Y$23, C33 = DataBank!$Y$22, C33 = DataBank!$Y$24, C33 =DataBank!$Y$25, C33 = "", C33 = DataBank!AA40:AA50),  "NAValue", "ComponentsList")</f>
        <v>NAValue</v>
      </c>
      <c r="AC33" s="394" t="str">
        <f>IF(C37= DataBank!$Y$17,  "UnitNumbers", "NAValue")</f>
        <v>NAValue</v>
      </c>
      <c r="AD33" s="394" t="str">
        <f>IF(OR(C37= DataBank!$Y$20, C37 =DataBank!$Y$19), "ReactionNumbers", "NAValue")</f>
        <v>NAValue</v>
      </c>
      <c r="AE33" s="394"/>
    </row>
    <row r="34" spans="3:31">
      <c r="C34" s="172"/>
      <c r="D34" s="297"/>
      <c r="E34" s="325"/>
      <c r="F34" s="297"/>
      <c r="G34" s="297"/>
      <c r="H34" s="289"/>
      <c r="I34" s="297"/>
      <c r="J34" s="297"/>
      <c r="K34" s="258"/>
      <c r="AA34" s="394"/>
      <c r="AB34" s="394" t="str" cm="1">
        <f t="array" ref="AB34">IF(OR(C34 = DataBank!$Y$23, C34 = DataBank!$Y$22, C34 = DataBank!$Y$24, C34 =DataBank!$Y$25, C34 = "", C34 = DataBank!AA41:AA51),  "NAValue", "ComponentsList")</f>
        <v>NAValue</v>
      </c>
      <c r="AC34" s="394" t="str">
        <f>IF(C38= DataBank!$Y$17,  "UnitNumbers", "NAValue")</f>
        <v>NAValue</v>
      </c>
      <c r="AD34" s="394" t="str">
        <f>IF(OR(C38= DataBank!$Y$20, C38 =DataBank!$Y$19), "ReactionNumbers", "NAValue")</f>
        <v>NAValue</v>
      </c>
      <c r="AE34" s="394"/>
    </row>
    <row r="35" spans="3:31">
      <c r="C35" s="172"/>
      <c r="D35" s="297"/>
      <c r="E35" s="325"/>
      <c r="F35" s="297"/>
      <c r="G35" s="297"/>
      <c r="H35" s="289"/>
      <c r="I35" s="297"/>
      <c r="J35" s="297"/>
      <c r="K35" s="258"/>
      <c r="AA35" s="394"/>
      <c r="AB35" s="394" t="str" cm="1">
        <f t="array" ref="AB35">IF(OR(C35 = DataBank!$Y$23, C35 = DataBank!$Y$22, C35 = DataBank!$Y$24, C35 =DataBank!$Y$25, C35 = "", C35 = DataBank!AA42:AA52),  "NAValue", "ComponentsList")</f>
        <v>NAValue</v>
      </c>
      <c r="AC35" s="394" t="str">
        <f>IF(C39= DataBank!$Y$17,  "UnitNumbers", "NAValue")</f>
        <v>NAValue</v>
      </c>
      <c r="AD35" s="394" t="str">
        <f>IF(OR(C39= DataBank!$Y$20, C39 =DataBank!$Y$19), "ReactionNumbers", "NAValue")</f>
        <v>NAValue</v>
      </c>
      <c r="AE35" s="394"/>
    </row>
    <row r="36" spans="3:31" ht="15" thickBot="1">
      <c r="C36" s="173"/>
      <c r="D36" s="298"/>
      <c r="E36" s="393"/>
      <c r="F36" s="298"/>
      <c r="G36" s="298"/>
      <c r="H36" s="290"/>
      <c r="I36" s="290"/>
      <c r="J36" s="298"/>
      <c r="K36" s="258"/>
      <c r="AA36" s="394"/>
      <c r="AB36" s="394" t="str" cm="1">
        <f t="array" ref="AB36">IF(OR(C36 = DataBank!$Y$23, C36 = DataBank!$Y$22, C36 = DataBank!$Y$24, C36 =DataBank!$Y$25, C36 = "", C36 = DataBank!AA43:AA53),  "NAValue", "ComponentsList")</f>
        <v>NAValue</v>
      </c>
      <c r="AC36" s="394" t="str">
        <f>IF(C40= DataBank!$Y$17,  "UnitNumbers", "NAValue")</f>
        <v>NAValue</v>
      </c>
      <c r="AD36" s="394" t="str">
        <f>IF(OR(C40= DataBank!$Y$20, C40 =DataBank!$Y$19), "ReactionNumbers", "NAValue")</f>
        <v>NAValue</v>
      </c>
      <c r="AE36" s="394"/>
    </row>
    <row r="37" spans="3:31">
      <c r="C37" s="11"/>
      <c r="D37" s="11"/>
      <c r="E37" s="11"/>
      <c r="F37" s="11"/>
      <c r="G37" s="11"/>
      <c r="H37" s="11"/>
      <c r="I37" s="11"/>
      <c r="J37" s="11"/>
      <c r="AA37" s="394"/>
      <c r="AB37" s="394"/>
      <c r="AC37" s="394"/>
      <c r="AD37" s="394"/>
      <c r="AE37" s="394"/>
    </row>
    <row r="44" spans="3:31">
      <c r="C44" s="405" t="s">
        <v>22</v>
      </c>
    </row>
    <row r="46" spans="3:31">
      <c r="C46" s="11"/>
      <c r="D46" s="11"/>
      <c r="E46" s="11"/>
      <c r="F46" s="11"/>
      <c r="G46" s="11"/>
      <c r="H46" s="11"/>
      <c r="I46" s="11"/>
      <c r="J46" s="11"/>
    </row>
    <row r="56" spans="3:1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3">
    <dataValidation type="list" showInputMessage="1" showErrorMessage="1" sqref="F36" xr:uid="{33C5F0F0-B9DE-40C0-8C2D-88186192F6FA}">
      <formula1>INDIRECT(AC36)</formula1>
    </dataValidation>
    <dataValidation type="list" allowBlank="1" showInputMessage="1" showErrorMessage="1" sqref="G27:G36 F27:F35 F10:G26 E10:E36" xr:uid="{D7F15151-1105-4935-882F-6894BA036A2E}">
      <formula1>INDIRECT(AB10)</formula1>
    </dataValidation>
    <dataValidation type="list" allowBlank="1" showInputMessage="1" showErrorMessage="1" sqref="N10:P11" xr:uid="{38DBB989-109A-473D-9659-51742EB62E44}">
      <formula1>INDIRECT(#REF!)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5B32C74-45F0-402D-9802-1329D228133B}">
          <x14:formula1>
            <xm:f>DataBank!$W$17:$W$18</xm:f>
          </x14:formula1>
          <xm:sqref>K10:K35</xm:sqref>
        </x14:dataValidation>
        <x14:dataValidation type="list" allowBlank="1" showInputMessage="1" showErrorMessage="1" xr:uid="{E8449025-E658-41CD-95CE-8DC7B3093EBE}">
          <x14:formula1>
            <xm:f>DataBank!$AA$17:$AA$23</xm:f>
          </x14:formula1>
          <xm:sqref>L10:L11</xm:sqref>
        </x14:dataValidation>
        <x14:dataValidation type="list" allowBlank="1" showInputMessage="1" showErrorMessage="1" xr:uid="{89B41E2B-6F5D-4507-976C-E88B788D2B25}">
          <x14:formula1>
            <xm:f>DataBank!$AA$17:$AA$36</xm:f>
          </x14:formula1>
          <xm:sqref>O20:O25 C10:C16 C17:C37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M7" zoomScale="70" zoomScaleNormal="70" workbookViewId="0">
      <selection activeCell="S10" sqref="S10:S1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38.179687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6" width="25.81640625" style="3" bestFit="1" customWidth="1"/>
    <col min="17" max="17" width="15.1796875" style="3" customWidth="1"/>
    <col min="18" max="18" width="18.1796875" style="3" bestFit="1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375</v>
      </c>
      <c r="F10" s="210" t="s">
        <v>170</v>
      </c>
      <c r="G10" s="5"/>
      <c r="H10" s="65" t="s">
        <v>2</v>
      </c>
      <c r="I10" s="66"/>
      <c r="J10" s="213" t="s">
        <v>170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186</v>
      </c>
      <c r="S10" s="136">
        <v>110</v>
      </c>
      <c r="T10" s="137" t="s">
        <v>311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>
      <c r="A11" s="5"/>
      <c r="B11" s="5"/>
      <c r="C11" s="82"/>
      <c r="D11" s="65" t="s">
        <v>3</v>
      </c>
      <c r="E11" s="66">
        <v>100</v>
      </c>
      <c r="F11" s="210" t="s">
        <v>170</v>
      </c>
      <c r="G11" s="5"/>
      <c r="H11" s="65" t="s">
        <v>65</v>
      </c>
      <c r="I11" s="101">
        <f>33000/1000000</f>
        <v>3.3000000000000002E-2</v>
      </c>
      <c r="J11" s="210" t="s">
        <v>179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180</v>
      </c>
      <c r="S11" s="99">
        <v>110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165</v>
      </c>
      <c r="O12" s="121"/>
      <c r="P12" s="71"/>
      <c r="Q12" s="123"/>
      <c r="R12" s="5"/>
      <c r="S12" s="99">
        <v>110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E13" s="66"/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1" t="s">
        <v>164</v>
      </c>
      <c r="O13" s="71"/>
      <c r="P13" s="71"/>
      <c r="Q13" s="66"/>
      <c r="R13" s="5"/>
      <c r="S13" s="99">
        <v>110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20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1" t="s">
        <v>311</v>
      </c>
      <c r="O14" s="71"/>
      <c r="P14" s="71"/>
      <c r="Q14" s="66"/>
      <c r="R14" s="5"/>
      <c r="S14" s="99">
        <v>110</v>
      </c>
      <c r="T14" s="71" t="s">
        <v>313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5"/>
      <c r="L15" s="5"/>
      <c r="M15" s="73"/>
      <c r="N15" s="71" t="s">
        <v>162</v>
      </c>
      <c r="O15" s="71"/>
      <c r="P15" s="71"/>
      <c r="Q15" s="66"/>
      <c r="R15" s="5"/>
      <c r="S15" s="49">
        <v>250</v>
      </c>
      <c r="T15" s="100" t="s">
        <v>313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164</v>
      </c>
      <c r="J16" s="210" t="s">
        <v>170</v>
      </c>
      <c r="K16" s="5"/>
      <c r="L16" s="5"/>
      <c r="M16" s="73"/>
      <c r="N16" s="71" t="s">
        <v>313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311</v>
      </c>
      <c r="J18" s="210" t="s">
        <v>170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 t="s">
        <v>162</v>
      </c>
      <c r="J19" s="210" t="s">
        <v>170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 t="s">
        <v>313</v>
      </c>
      <c r="J20" s="210" t="s">
        <v>170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310</v>
      </c>
      <c r="J21" s="210" t="s">
        <v>170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 t="s">
        <v>14</v>
      </c>
      <c r="J22" s="210" t="s">
        <v>170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241"/>
      <c r="J27" s="211" t="s">
        <v>170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334" t="s">
        <v>351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326" t="s">
        <v>320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>
        <v>250</v>
      </c>
      <c r="E34" s="5" t="s">
        <v>321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 t="s">
        <v>323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 t="s">
        <v>324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34" t="s">
        <v>437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332" t="s">
        <v>315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 t="s">
        <v>438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344" t="s">
        <v>439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6"/>
      <c r="E47" s="6"/>
      <c r="F47" s="6"/>
      <c r="G47" s="6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9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topLeftCell="A4" zoomScale="75" zoomScaleNormal="47" workbookViewId="0">
      <selection activeCell="O20" sqref="O2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5.816406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5" width="27.1796875" style="3" bestFit="1" customWidth="1"/>
    <col min="16" max="16" width="25.81640625" style="3" bestFit="1" customWidth="1"/>
    <col min="17" max="17" width="15.1796875" style="3" customWidth="1"/>
    <col min="18" max="18" width="18.1796875" style="3" bestFit="1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376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186</v>
      </c>
      <c r="S10" s="136">
        <v>888</v>
      </c>
      <c r="T10" s="137" t="s">
        <v>311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>
        <v>110</v>
      </c>
      <c r="F11" s="210" t="s">
        <v>170</v>
      </c>
      <c r="G11" s="5"/>
      <c r="H11" s="65" t="s">
        <v>65</v>
      </c>
      <c r="I11" s="101">
        <f>12500/1000000</f>
        <v>1.2500000000000001E-2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888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313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14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165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80</v>
      </c>
      <c r="F18" s="210" t="s">
        <v>185</v>
      </c>
      <c r="G18" s="5"/>
      <c r="H18" s="73"/>
      <c r="I18" s="239" t="s">
        <v>313</v>
      </c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 t="s">
        <v>311</v>
      </c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335" t="s">
        <v>350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326" t="s">
        <v>325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26" t="s">
        <v>316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332" t="s">
        <v>317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441"/>
      <c r="E47" s="441"/>
      <c r="F47" s="441"/>
      <c r="G47" s="441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A4" zoomScale="75" zoomScaleNormal="47" workbookViewId="0">
      <selection activeCell="D23" sqref="D23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54296875" style="3" customWidth="1"/>
    <col min="5" max="5" width="20.816406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5" width="27.1796875" style="3" bestFit="1" customWidth="1"/>
    <col min="16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377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186</v>
      </c>
      <c r="S10" s="99">
        <v>5000</v>
      </c>
      <c r="T10" s="100" t="s">
        <v>313</v>
      </c>
      <c r="U10" s="101">
        <v>0.5</v>
      </c>
      <c r="V10" s="80"/>
      <c r="W10" s="134"/>
      <c r="X10" s="79">
        <v>5000</v>
      </c>
      <c r="Y10" s="135">
        <v>600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>
        <v>250</v>
      </c>
      <c r="F11" s="210" t="s">
        <v>170</v>
      </c>
      <c r="G11" s="5"/>
      <c r="H11" s="65" t="s">
        <v>65</v>
      </c>
      <c r="I11" s="101">
        <f>12000/1000000</f>
        <v>1.2E-2</v>
      </c>
      <c r="J11" s="210" t="s">
        <v>179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180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313</v>
      </c>
      <c r="O12" s="175" t="s">
        <v>14</v>
      </c>
      <c r="P12" s="176"/>
      <c r="Q12" s="177"/>
      <c r="R12" s="5"/>
      <c r="S12" s="122">
        <v>600</v>
      </c>
      <c r="T12" s="121" t="s">
        <v>313</v>
      </c>
      <c r="U12" s="123">
        <v>0.5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>
        <v>0.01</v>
      </c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335" t="s">
        <v>350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 t="s">
        <v>327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26" t="s">
        <v>326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 t="s">
        <v>318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26" t="s">
        <v>316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332" t="s">
        <v>317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441"/>
      <c r="E47" s="441"/>
      <c r="F47" s="441"/>
      <c r="G47" s="441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0100-E5C9-4DFB-858C-FCFFDD7DF96F}">
  <sheetPr codeName="Tabelle12"/>
  <dimension ref="A1:AO137"/>
  <sheetViews>
    <sheetView topLeftCell="Q1" zoomScale="76" zoomScaleNormal="60" workbookViewId="0">
      <selection activeCell="AF28" sqref="AF2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5.1796875" style="3" bestFit="1" customWidth="1"/>
    <col min="5" max="5" width="18.1796875" style="3" customWidth="1"/>
    <col min="6" max="6" width="15.1796875" style="3" customWidth="1"/>
    <col min="7" max="7" width="6.1796875" style="3" customWidth="1"/>
    <col min="8" max="8" width="21.453125" style="3" customWidth="1"/>
    <col min="9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5.6328125" style="3" bestFit="1" customWidth="1"/>
    <col min="35" max="35" width="11.54296875" style="3" customWidth="1"/>
    <col min="36" max="36" width="21" style="3" bestFit="1" customWidth="1"/>
    <col min="37" max="16384" width="10.816406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>
      <c r="A6" s="5"/>
      <c r="B6" s="5"/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27" t="s">
        <v>76</v>
      </c>
      <c r="T8" s="428"/>
      <c r="U8" s="429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27" t="s">
        <v>7</v>
      </c>
      <c r="AI8" s="428"/>
      <c r="AJ8" s="429"/>
      <c r="AK8" s="83"/>
      <c r="AL8" s="5"/>
      <c r="AM8" s="5"/>
      <c r="AN8" s="5"/>
      <c r="AO8" s="5"/>
    </row>
    <row r="9" spans="1:41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>
      <c r="A10" s="5"/>
      <c r="B10" s="5"/>
      <c r="C10" s="82"/>
      <c r="D10" s="63" t="s">
        <v>1</v>
      </c>
      <c r="E10" s="397" t="s">
        <v>476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>
        <v>1E-3</v>
      </c>
      <c r="O10" s="175"/>
      <c r="P10" s="176"/>
      <c r="Q10" s="177"/>
      <c r="R10" s="5" t="s">
        <v>186</v>
      </c>
      <c r="S10" s="99">
        <v>6000</v>
      </c>
      <c r="T10" s="100" t="s">
        <v>475</v>
      </c>
      <c r="U10" s="101">
        <v>1</v>
      </c>
      <c r="V10" s="102"/>
      <c r="W10" s="134"/>
      <c r="X10" s="79">
        <v>6000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 t="s">
        <v>475</v>
      </c>
      <c r="AI10" s="79">
        <v>0.4</v>
      </c>
      <c r="AJ10" s="160" t="s">
        <v>14</v>
      </c>
      <c r="AK10" s="83"/>
      <c r="AL10" s="5"/>
      <c r="AM10" s="5"/>
      <c r="AN10" s="5"/>
      <c r="AO10" s="5"/>
    </row>
    <row r="11" spans="1:41" ht="19" thickBot="1">
      <c r="A11" s="5"/>
      <c r="B11" s="5"/>
      <c r="C11" s="82"/>
      <c r="D11" s="65" t="s">
        <v>3</v>
      </c>
      <c r="E11" s="66">
        <v>600</v>
      </c>
      <c r="F11" s="210" t="s">
        <v>170</v>
      </c>
      <c r="G11" s="5"/>
      <c r="H11" s="65" t="s">
        <v>65</v>
      </c>
      <c r="I11" s="101">
        <v>5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>
        <v>1</v>
      </c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165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 t="s">
        <v>162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 t="s">
        <v>313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ht="18.5">
      <c r="A35" s="5"/>
      <c r="B35" s="5"/>
      <c r="C35" s="82"/>
      <c r="D35" s="10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ht="18.5">
      <c r="A36" s="5"/>
      <c r="B36" s="5"/>
      <c r="C36" s="82"/>
      <c r="D36" s="10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ht="18.5">
      <c r="A37" s="5"/>
      <c r="B37" s="5"/>
      <c r="C37" s="82"/>
      <c r="D37" s="10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ht="18.5">
      <c r="A38" s="5"/>
      <c r="B38" s="5"/>
      <c r="C38" s="82"/>
      <c r="D38" s="10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ht="18.5">
      <c r="A39" s="5"/>
      <c r="B39" s="5"/>
      <c r="C39" s="82"/>
      <c r="D39" s="71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ht="18.5">
      <c r="A40" s="5"/>
      <c r="B40" s="5"/>
      <c r="C40" s="82"/>
      <c r="D40" s="71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ht="18.5">
      <c r="A41" s="5"/>
      <c r="B41" s="5"/>
      <c r="C41" s="82"/>
      <c r="D41" s="71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ht="18.5">
      <c r="A42" s="5"/>
      <c r="B42" s="5"/>
      <c r="C42" s="82"/>
      <c r="D42" s="71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9FE751AF-EA4E-4545-923D-8EC6563AA8B1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933AA111-A543-413D-A685-9E7DDD47A35C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4BA8BF99-B074-4BC0-BF07-22B96BBD4C59}">
          <x14:formula1>
            <xm:f>DataBank!$A$3:$A$11</xm:f>
          </x14:formula1>
          <xm:sqref>N11</xm:sqref>
        </x14:dataValidation>
        <x14:dataValidation type="list" allowBlank="1" showInputMessage="1" showErrorMessage="1" xr:uid="{99CF1263-BAD7-4EB0-B957-50488943E331}">
          <x14:formula1>
            <xm:f>Sources!$E$6:$O$6</xm:f>
          </x14:formula1>
          <xm:sqref>O13:Q13</xm:sqref>
        </x14:dataValidation>
        <x14:dataValidation type="list" allowBlank="1" showInputMessage="1" showErrorMessage="1" xr:uid="{DE35D2BD-9425-40E7-99B0-C9E5DC7923C2}">
          <x14:formula1>
            <xm:f>DataBank!$B$2:$B$3</xm:f>
          </x14:formula1>
          <xm:sqref>J15</xm:sqref>
        </x14:dataValidation>
        <x14:dataValidation type="list" allowBlank="1" showInputMessage="1" showErrorMessage="1" xr:uid="{23F2BB40-B655-45D5-9BA8-597F19BC6D2F}">
          <x14:formula1>
            <xm:f>DataBank!$C$2:$C$7</xm:f>
          </x14:formula1>
          <xm:sqref>I15</xm:sqref>
        </x14:dataValidation>
        <x14:dataValidation type="list" allowBlank="1" showInputMessage="1" showErrorMessage="1" xr:uid="{FAE49330-30C1-47EA-96B6-5419EB170D9C}">
          <x14:formula1>
            <xm:f>Sources!$E$7:$O$7</xm:f>
          </x14:formula1>
          <xm:sqref>W10:W27</xm:sqref>
        </x14:dataValidation>
        <x14:dataValidation type="list" allowBlank="1" showInputMessage="1" showErrorMessage="1" xr:uid="{DD0A07A6-290C-490B-969F-0BC9F443F18B}">
          <x14:formula1>
            <xm:f>DataBank!$K$17:$K$18</xm:f>
          </x14:formula1>
          <xm:sqref>E26</xm:sqref>
        </x14:dataValidation>
        <x14:dataValidation type="list" allowBlank="1" showInputMessage="1" showErrorMessage="1" xr:uid="{C7B6C404-E562-46F1-8914-C646A757DF5A}">
          <x14:formula1>
            <xm:f>DataBank!$A$3:$A$10</xm:f>
          </x14:formula1>
          <xm:sqref>O11:Q11</xm:sqref>
        </x14:dataValidation>
        <x14:dataValidation type="list" allowBlank="1" showInputMessage="1" showErrorMessage="1" xr:uid="{8A6F9F4F-56D0-4DC8-A247-BE7EC0C48CE5}">
          <x14:formula1>
            <xm:f>DataBank!$A$3:$A$4</xm:f>
          </x14:formula1>
          <xm:sqref>AB10 AD10</xm:sqref>
        </x14:dataValidation>
        <x14:dataValidation type="whole" allowBlank="1" showInputMessage="1" showErrorMessage="1" xr:uid="{DF45D983-1CDD-4DBB-A160-B181358717A5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topLeftCell="Z1" zoomScale="58" zoomScaleNormal="58" workbookViewId="0">
      <selection activeCell="AM12" sqref="AM12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6.6328125" style="3" customWidth="1"/>
    <col min="5" max="5" width="29.54296875" style="3" bestFit="1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9" style="3" bestFit="1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4" style="3" bestFit="1" customWidth="1"/>
    <col min="39" max="39" width="18.9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 t="s">
        <v>335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186</v>
      </c>
      <c r="S10" s="99">
        <v>340</v>
      </c>
      <c r="T10" s="100" t="s">
        <v>334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165</v>
      </c>
      <c r="AD10" s="135" t="s">
        <v>12</v>
      </c>
      <c r="AE10" s="79" t="s">
        <v>14</v>
      </c>
      <c r="AF10" s="133">
        <v>0.06</v>
      </c>
      <c r="AG10" s="116"/>
      <c r="AH10" s="122" t="s">
        <v>313</v>
      </c>
      <c r="AI10" s="121">
        <v>6</v>
      </c>
      <c r="AJ10" s="123">
        <v>-1</v>
      </c>
      <c r="AK10" s="111"/>
      <c r="AL10" s="124">
        <v>6</v>
      </c>
      <c r="AM10" s="125" t="s">
        <v>313</v>
      </c>
      <c r="AN10" s="126">
        <v>0.6</v>
      </c>
      <c r="AO10" s="83"/>
    </row>
    <row r="11" spans="3:41" ht="19" thickBot="1">
      <c r="C11" s="82"/>
      <c r="D11" s="65" t="s">
        <v>3</v>
      </c>
      <c r="E11" s="66">
        <v>240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180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313</v>
      </c>
      <c r="AD11" s="102"/>
      <c r="AE11" s="71"/>
      <c r="AF11" s="104"/>
      <c r="AG11" s="116"/>
      <c r="AH11" s="122" t="s">
        <v>334</v>
      </c>
      <c r="AI11" s="121">
        <v>6</v>
      </c>
      <c r="AJ11" s="123">
        <v>0.6</v>
      </c>
      <c r="AK11" s="111"/>
      <c r="AL11" s="112">
        <v>7</v>
      </c>
      <c r="AM11" s="6" t="s">
        <v>165</v>
      </c>
      <c r="AN11" s="127">
        <v>0.95</v>
      </c>
      <c r="AO11" s="83"/>
    </row>
    <row r="12" spans="3:41" ht="18.5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168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310</v>
      </c>
      <c r="AD12" s="43"/>
      <c r="AE12" s="71"/>
      <c r="AF12" s="104"/>
      <c r="AG12" s="116"/>
      <c r="AH12" s="122" t="s">
        <v>168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311</v>
      </c>
      <c r="AD13" s="43"/>
      <c r="AE13" s="71"/>
      <c r="AF13" s="104"/>
      <c r="AG13" s="116"/>
      <c r="AH13" s="122" t="s">
        <v>165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164</v>
      </c>
      <c r="AD14" s="43"/>
      <c r="AE14" s="71"/>
      <c r="AF14" s="104"/>
      <c r="AG14" s="116"/>
      <c r="AH14" s="103" t="s">
        <v>334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>
        <v>25</v>
      </c>
      <c r="F17" s="210" t="s">
        <v>174</v>
      </c>
      <c r="G17" s="5"/>
      <c r="H17" s="72"/>
      <c r="I17" s="239" t="s">
        <v>165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14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335" t="s">
        <v>350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326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 t="s">
        <v>329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 t="s">
        <v>330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 t="s">
        <v>331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3" t="s">
        <v>332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3" t="s">
        <v>333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11" t="s">
        <v>337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326" t="s">
        <v>343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 t="s">
        <v>338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>
        <v>5</v>
      </c>
      <c r="E47" s="5" t="s">
        <v>339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>
        <v>4</v>
      </c>
      <c r="E48" s="5" t="s">
        <v>340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>
        <f>5/(4*3600)</f>
        <v>3.4722222222222224E-4</v>
      </c>
      <c r="E49" s="5" t="s">
        <v>341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>
        <f>D49*D48</f>
        <v>1.3888888888888889E-3</v>
      </c>
      <c r="E50" s="5" t="s">
        <v>342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>
      <c r="D75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7" zoomScale="98" zoomScaleNormal="98" workbookViewId="0">
      <selection activeCell="D74" sqref="D74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6.4531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32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30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7" width="10.81640625" style="3"/>
    <col min="28" max="28" width="31.81640625" style="3" bestFit="1" customWidth="1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33" width="10.81640625" style="3"/>
    <col min="34" max="34" width="17.453125" style="3" bestFit="1" customWidth="1"/>
    <col min="35" max="16384" width="10.81640625" style="3"/>
  </cols>
  <sheetData>
    <row r="1" spans="1:37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" customHeight="1" thickBo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>
      <c r="A6" s="5"/>
      <c r="B6" s="5"/>
      <c r="C6" s="82"/>
      <c r="D6" s="5"/>
      <c r="E6" s="5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83"/>
    </row>
    <row r="7" spans="1:37" ht="15" thickBot="1">
      <c r="A7" s="5"/>
      <c r="B7" s="5"/>
      <c r="C7" s="82"/>
      <c r="AK7" s="83"/>
    </row>
    <row r="8" spans="1:37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5">
      <c r="A10" s="5"/>
      <c r="B10" s="5"/>
      <c r="C10" s="82"/>
      <c r="D10" s="63" t="s">
        <v>1</v>
      </c>
      <c r="E10" s="64" t="s">
        <v>443</v>
      </c>
      <c r="F10" s="210" t="s">
        <v>170</v>
      </c>
      <c r="G10" s="5"/>
      <c r="H10" s="63" t="s">
        <v>2</v>
      </c>
      <c r="I10" s="64"/>
      <c r="J10" s="92" t="s">
        <v>170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186</v>
      </c>
      <c r="S10" s="99">
        <v>4000</v>
      </c>
      <c r="T10" s="100" t="s">
        <v>269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" thickBot="1">
      <c r="A11" s="5"/>
      <c r="B11" s="5"/>
      <c r="C11" s="82"/>
      <c r="D11" s="65" t="s">
        <v>3</v>
      </c>
      <c r="E11" s="66">
        <v>340</v>
      </c>
      <c r="F11" s="210" t="s">
        <v>170</v>
      </c>
      <c r="G11" s="5"/>
      <c r="H11" s="65" t="s">
        <v>65</v>
      </c>
      <c r="I11" s="101">
        <f>8000/1000000</f>
        <v>8.0000000000000002E-3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5">
      <c r="A12" s="5"/>
      <c r="B12" s="5"/>
      <c r="C12" s="82"/>
      <c r="D12" s="65" t="s">
        <v>40</v>
      </c>
      <c r="E12" s="255"/>
      <c r="F12" s="210" t="s">
        <v>170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269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269</v>
      </c>
      <c r="J16" s="213" t="s">
        <v>170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" thickBot="1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" thickBot="1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>
      <c r="A30" s="5"/>
      <c r="B30" s="5"/>
      <c r="C30" s="82"/>
      <c r="D30" s="335" t="s">
        <v>350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>
      <c r="A33" s="5"/>
      <c r="B33" s="5"/>
      <c r="C33" s="82"/>
      <c r="D33" s="5" t="s">
        <v>347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>
      <c r="A34" s="5"/>
      <c r="B34" s="5"/>
      <c r="C34" s="82"/>
      <c r="D34" s="326" t="s">
        <v>344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>
      <c r="A35" s="5"/>
      <c r="B35" s="5"/>
      <c r="C35" s="82"/>
      <c r="D35" s="5" t="s">
        <v>345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>
      <c r="A36" s="5"/>
      <c r="B36" s="5"/>
      <c r="C36" s="82"/>
      <c r="D36" s="5" t="s">
        <v>346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>
      <c r="A39" s="5"/>
      <c r="B39" s="5"/>
      <c r="C39" s="82"/>
      <c r="D39" s="5" t="s">
        <v>348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>
      <c r="A40" s="5"/>
      <c r="B40" s="5"/>
      <c r="C40" s="82"/>
      <c r="D40" s="5" t="s">
        <v>349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>
      <c r="A41" s="5"/>
      <c r="B41" s="5"/>
      <c r="C41" s="82"/>
      <c r="D41" s="326" t="s">
        <v>344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5">
      <c r="A47" s="5"/>
      <c r="B47" s="5"/>
      <c r="C47" s="82"/>
      <c r="D47" s="441"/>
      <c r="E47" s="441"/>
      <c r="F47" s="441"/>
      <c r="G47" s="441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zoomScale="75" zoomScaleNormal="47" workbookViewId="0">
      <selection activeCell="AC10" sqref="AC10:AF1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31.816406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6" width="27.179687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5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378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342</v>
      </c>
      <c r="S10" s="99">
        <v>320</v>
      </c>
      <c r="T10" s="100" t="s">
        <v>162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0.1</v>
      </c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>
        <v>220</v>
      </c>
      <c r="F11" s="210" t="s">
        <v>170</v>
      </c>
      <c r="G11" s="5"/>
      <c r="H11" s="65" t="s">
        <v>65</v>
      </c>
      <c r="I11" s="349">
        <f xml:space="preserve"> 183628/1000000</f>
        <v>0.18362800000000001</v>
      </c>
      <c r="J11" s="210" t="s">
        <v>179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180</v>
      </c>
      <c r="S11" s="99">
        <v>320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311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247" t="s">
        <v>164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247" t="s">
        <v>165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244"/>
      <c r="N15" s="239" t="s">
        <v>162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5"/>
      <c r="L16" s="5"/>
      <c r="M16" s="244"/>
      <c r="N16" s="239" t="s">
        <v>313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66" t="s">
        <v>162</v>
      </c>
      <c r="J17" s="210" t="s">
        <v>170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66" t="s">
        <v>311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66" t="s">
        <v>313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44" t="s">
        <v>385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48">
        <f xml:space="preserve"> 183628/1000000</f>
        <v>0.18362800000000001</v>
      </c>
      <c r="E35" s="5" t="s">
        <v>386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>
        <v>500</v>
      </c>
      <c r="E36" s="5" t="s">
        <v>387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351" t="s">
        <v>388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3">
        <v>718</v>
      </c>
      <c r="E38" s="5" t="s">
        <v>359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350" t="s">
        <v>389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">
        <f>D38*D36/1000</f>
        <v>359</v>
      </c>
      <c r="E40" s="3" t="s">
        <v>390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3" t="s">
        <v>391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>
        <v>5</v>
      </c>
      <c r="E42" s="5" t="s">
        <v>384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3">
        <f>(D40/1000)/(D42/60)</f>
        <v>4.3079999999999998</v>
      </c>
      <c r="E43" s="5" t="s">
        <v>180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5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5">
        <v>2.5000000000000001E-2</v>
      </c>
      <c r="E48" s="5" t="s">
        <v>392</v>
      </c>
      <c r="F48" s="93">
        <f>530*3/60</f>
        <v>26.5</v>
      </c>
      <c r="G48" s="93" t="s">
        <v>393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352">
        <f>D48/D40</f>
        <v>6.9637883008356549E-5</v>
      </c>
      <c r="E49" s="3" t="s">
        <v>394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5">
      <c r="A52" s="5"/>
      <c r="B52" s="5"/>
      <c r="C52" s="82"/>
      <c r="D52" s="338" t="s">
        <v>380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326" t="s">
        <v>382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5">
        <v>2.1</v>
      </c>
      <c r="E54" s="5" t="s">
        <v>381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>
        <v>9.6</v>
      </c>
      <c r="E55" s="5" t="s">
        <v>381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3">
        <f>AVERAGE(D54:D55)</f>
        <v>5.85</v>
      </c>
      <c r="E56" s="3" t="s">
        <v>368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348">
        <f>_xlfn.STDEV.P(D54:D55)/AVERAGE(D54:D55)*100</f>
        <v>64.102564102564102</v>
      </c>
      <c r="E57" s="5" t="s">
        <v>366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 t="s">
        <v>369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>
        <f>(1.02 + 2.92)/(2*100)</f>
        <v>1.9699999999999999E-2</v>
      </c>
      <c r="E60" s="5" t="s">
        <v>370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3" t="s">
        <v>383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>
        <f>D60/0.2</f>
        <v>9.849999999999999E-2</v>
      </c>
      <c r="E62" s="5" t="s">
        <v>371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 t="s">
        <v>372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3">
        <f>D64*100</f>
        <v>5.9390862944162439</v>
      </c>
      <c r="E65" s="3" t="s">
        <v>373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O1" zoomScale="75" zoomScaleNormal="47" workbookViewId="0">
      <selection activeCell="Y19" sqref="Y19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204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311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>
      <c r="A11" s="5"/>
      <c r="B11" s="5"/>
      <c r="C11" s="82"/>
      <c r="D11" s="65" t="s">
        <v>3</v>
      </c>
      <c r="E11" s="66">
        <v>999</v>
      </c>
      <c r="F11" s="210" t="s">
        <v>170</v>
      </c>
      <c r="G11" s="5"/>
      <c r="H11" s="65" t="s">
        <v>65</v>
      </c>
      <c r="I11" s="101">
        <v>0</v>
      </c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164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E13" s="66" t="s">
        <v>203</v>
      </c>
      <c r="F13" s="210" t="s">
        <v>170</v>
      </c>
      <c r="G13" s="5"/>
      <c r="H13" s="65" t="s">
        <v>67</v>
      </c>
      <c r="I13" s="101">
        <v>1</v>
      </c>
      <c r="J13" s="210" t="s">
        <v>170</v>
      </c>
      <c r="K13" s="5"/>
      <c r="L13" s="5"/>
      <c r="M13" s="72" t="s">
        <v>183</v>
      </c>
      <c r="N13" s="71"/>
      <c r="O13" s="71"/>
      <c r="P13" s="71"/>
      <c r="Q13" s="66"/>
      <c r="R13" s="5"/>
      <c r="S13" s="105">
        <v>220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313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165</v>
      </c>
      <c r="J16" s="210" t="s">
        <v>170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311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14"/>
      <c r="I17" s="66"/>
      <c r="J17" s="210" t="s">
        <v>170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164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165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162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313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441"/>
      <c r="E47" s="441"/>
      <c r="F47" s="441"/>
      <c r="G47" s="441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V4" zoomScale="75" zoomScaleNormal="47" workbookViewId="0">
      <selection activeCell="D85" sqref="D85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6" width="25.81640625" style="3" bestFit="1" customWidth="1"/>
    <col min="17" max="17" width="15.1796875" style="3" customWidth="1"/>
    <col min="18" max="18" width="18.1796875" style="3" bestFit="1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9.816406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379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342</v>
      </c>
      <c r="S10" s="99">
        <v>330</v>
      </c>
      <c r="T10" s="100" t="s">
        <v>162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10</v>
      </c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>
        <v>230</v>
      </c>
      <c r="F11" s="210" t="s">
        <v>170</v>
      </c>
      <c r="G11" s="5"/>
      <c r="H11" s="65" t="s">
        <v>65</v>
      </c>
      <c r="I11" s="342">
        <f>D35/1000000</f>
        <v>3.0238130000000001</v>
      </c>
      <c r="J11" s="210" t="s">
        <v>179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180</v>
      </c>
      <c r="S11" s="99">
        <v>330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311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2" t="s">
        <v>164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122" t="s">
        <v>165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73"/>
      <c r="N15" s="105" t="s">
        <v>162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3" t="s">
        <v>170</v>
      </c>
      <c r="K16" s="5"/>
      <c r="L16" s="5"/>
      <c r="M16" s="73"/>
      <c r="N16" s="105" t="s">
        <v>313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42"/>
      <c r="I17" s="66" t="s">
        <v>162</v>
      </c>
      <c r="J17" s="210" t="s">
        <v>170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244"/>
      <c r="I18" s="66" t="s">
        <v>311</v>
      </c>
      <c r="J18" s="210" t="s">
        <v>170</v>
      </c>
      <c r="K18" s="5"/>
      <c r="L18" s="5"/>
      <c r="M18" s="73"/>
      <c r="N18" s="105" t="s">
        <v>310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244"/>
      <c r="I19" s="66" t="s">
        <v>164</v>
      </c>
      <c r="J19" s="210" t="s">
        <v>170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244"/>
      <c r="I20" s="66" t="s">
        <v>313</v>
      </c>
      <c r="J20" s="210" t="s">
        <v>170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240"/>
      <c r="I21" s="66" t="s">
        <v>14</v>
      </c>
      <c r="J21" s="210" t="s">
        <v>170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240"/>
      <c r="I22" s="66"/>
      <c r="J22" s="210" t="s">
        <v>170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240"/>
      <c r="I23" s="78"/>
      <c r="J23" s="210" t="s">
        <v>170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240"/>
      <c r="I24" s="78"/>
      <c r="J24" s="210" t="s">
        <v>170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240"/>
      <c r="I25" s="78"/>
      <c r="J25" s="210" t="s">
        <v>170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240"/>
      <c r="I26" s="78"/>
      <c r="J26" s="210" t="s">
        <v>170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241"/>
      <c r="I27" s="77"/>
      <c r="J27" s="211" t="s">
        <v>170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44" t="s">
        <v>357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>
        <v>3023813</v>
      </c>
      <c r="E35" s="5" t="s">
        <v>358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 t="s">
        <v>395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3">
        <v>718</v>
      </c>
      <c r="E37" s="5" t="s">
        <v>359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3" t="s">
        <v>360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3">
        <v>718</v>
      </c>
      <c r="E39" s="3" t="s">
        <v>361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">
        <v>100</v>
      </c>
      <c r="E40" s="3" t="s">
        <v>355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3">
        <f>(D39/1000)/(100/60)</f>
        <v>0.43079999999999996</v>
      </c>
      <c r="E42" s="3" t="s">
        <v>180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5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344" t="s">
        <v>352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>
        <v>0.1</v>
      </c>
      <c r="E46" s="5" t="s">
        <v>354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344" t="s">
        <v>353</v>
      </c>
      <c r="E47" s="5"/>
      <c r="F47" s="6"/>
      <c r="G47" s="6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5">
        <v>100</v>
      </c>
      <c r="E48" s="5" t="s">
        <v>355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3">
        <f>0.1*100/(60)</f>
        <v>0.16666666666666666</v>
      </c>
      <c r="E50" s="3" t="s">
        <v>396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3">
        <f>D50*D37/1000</f>
        <v>0.11966666666666666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5">
      <c r="A53" s="5"/>
      <c r="B53" s="5"/>
      <c r="C53" s="82"/>
      <c r="D53" s="346" t="s">
        <v>363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t="s">
        <v>362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5">
      <c r="A55" s="5"/>
      <c r="B55" s="5"/>
      <c r="C55" s="82"/>
      <c r="D55" s="9" t="s">
        <v>364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 t="s">
        <v>365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>
        <v>6.3</v>
      </c>
      <c r="E57" s="5" t="s">
        <v>367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>
        <v>9.3000000000000007</v>
      </c>
      <c r="E58" s="5" t="s">
        <v>367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3">
        <f>AVERAGE(D57:D58)</f>
        <v>7.8000000000000007</v>
      </c>
      <c r="E59" s="3" t="s">
        <v>368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348">
        <f>_xlfn.STDEV.P(D57:D58)/AVERAGE(D57:D58)*100</f>
        <v>19.230769230769198</v>
      </c>
      <c r="E60" s="5" t="s">
        <v>366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 t="s">
        <v>369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>
        <f>(1.02 + 2.92)/(2*100)</f>
        <v>1.9699999999999999E-2</v>
      </c>
      <c r="E63" s="5" t="s">
        <v>370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3" t="s">
        <v>383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>
        <f>D63/0.2</f>
        <v>9.849999999999999E-2</v>
      </c>
      <c r="E65" s="5" t="s">
        <v>371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 t="s">
        <v>372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3">
        <f>D67*100</f>
        <v>7.9187817258883255</v>
      </c>
      <c r="E68" s="3" t="s">
        <v>373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5"/>
      <c r="D69" s="5" t="s">
        <v>374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5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5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5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7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446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>
        <v>320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220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60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335" t="s">
        <v>350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 t="s">
        <v>398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344" t="s">
        <v>397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" t="s">
        <v>399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>
        <v>20</v>
      </c>
      <c r="E36" s="5" t="s">
        <v>175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>
        <v>100</v>
      </c>
      <c r="E37" s="5" t="s">
        <v>175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 t="s">
        <v>400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 t="s">
        <v>403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5">
      <c r="A40" s="5"/>
      <c r="B40" s="5"/>
      <c r="C40" s="82"/>
      <c r="D40" s="354">
        <v>4.1859999999999999</v>
      </c>
      <c r="E40" s="5" t="s">
        <v>401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>
        <f>D40*(100-25)</f>
        <v>313.95</v>
      </c>
      <c r="E41" s="5" t="s">
        <v>402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 t="s">
        <v>404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355">
        <v>2257</v>
      </c>
      <c r="E43" s="5" t="s">
        <v>402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 t="s">
        <v>405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>
        <f>D43 + D41</f>
        <v>2570.9499999999998</v>
      </c>
      <c r="E46" s="5" t="s">
        <v>402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6" t="s">
        <v>407</v>
      </c>
      <c r="E47" s="6"/>
      <c r="F47" s="6"/>
      <c r="G47" s="6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 t="s">
        <v>408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>
        <f>D46/(8*3600)</f>
        <v>8.9269097222222218E-2</v>
      </c>
      <c r="E50" s="345" t="s">
        <v>409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>
        <f>D50</f>
        <v>8.9269097222222218E-2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4.81640625" style="3" customWidth="1"/>
    <col min="5" max="5" width="16.4531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447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>
        <v>330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180</v>
      </c>
      <c r="S11" s="99">
        <v>230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65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335" t="s">
        <v>350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 t="s">
        <v>410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441"/>
      <c r="E47" s="441"/>
      <c r="F47" s="441"/>
      <c r="G47" s="441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32" sqref="O32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6.4531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6" width="20" style="3" bestFit="1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 t="s">
        <v>194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186</v>
      </c>
      <c r="S10" s="99">
        <v>2000</v>
      </c>
      <c r="T10" s="100" t="s">
        <v>188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165</v>
      </c>
      <c r="AF10" s="133">
        <v>10</v>
      </c>
      <c r="AG10" s="116"/>
      <c r="AH10" s="122" t="s">
        <v>165</v>
      </c>
      <c r="AI10" s="121">
        <v>1</v>
      </c>
      <c r="AJ10" s="123">
        <v>-1</v>
      </c>
      <c r="AK10" s="111"/>
      <c r="AL10" s="124">
        <v>1</v>
      </c>
      <c r="AM10" s="125" t="s">
        <v>165</v>
      </c>
      <c r="AN10" s="126">
        <v>0.95</v>
      </c>
      <c r="AO10" s="83"/>
    </row>
    <row r="11" spans="3:41" ht="19" thickBot="1">
      <c r="C11" s="82"/>
      <c r="D11" s="65" t="s">
        <v>3</v>
      </c>
      <c r="E11" s="66">
        <v>210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180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313</v>
      </c>
      <c r="AN11" s="127">
        <v>0.6</v>
      </c>
      <c r="AO11" s="83"/>
    </row>
    <row r="12" spans="3:41" ht="18.5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168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188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168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313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313</v>
      </c>
      <c r="J16" s="210" t="s">
        <v>170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188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168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>
        <v>30</v>
      </c>
      <c r="F18" s="210" t="s">
        <v>174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344" t="s">
        <v>411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356" t="s">
        <v>329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356" t="s">
        <v>330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356" t="s">
        <v>331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357" t="s">
        <v>332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357" t="s">
        <v>333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5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358" t="s">
        <v>413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 t="s">
        <v>414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326" t="s">
        <v>415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 t="s">
        <v>416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3">
        <f>AVERAGE(0.46, 0.26)</f>
        <v>0.36</v>
      </c>
      <c r="E47" s="5" t="s">
        <v>417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348">
        <f>_xlfn.STDEV.P(0.46, 0.26)/D47</f>
        <v>0.2777777777777779</v>
      </c>
      <c r="E48" s="5" t="s">
        <v>418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5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11" t="s">
        <v>337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326" t="s">
        <v>343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 t="s">
        <v>338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>
        <v>5</v>
      </c>
      <c r="E57" s="5" t="s">
        <v>339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>
        <v>4</v>
      </c>
      <c r="E58" s="5" t="s">
        <v>340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>
        <f>5/(4*3600)</f>
        <v>3.4722222222222224E-4</v>
      </c>
      <c r="E59" s="5" t="s">
        <v>341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>
        <f>D59*D58</f>
        <v>1.3888888888888889E-3</v>
      </c>
      <c r="E60" s="5" t="s">
        <v>342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>
      <c r="D89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H1" zoomScale="70" zoomScaleNormal="70" workbookViewId="0">
      <selection activeCell="K49" sqref="K49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20.1796875" style="3" bestFit="1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6" width="19.81640625" style="3" bestFit="1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257" t="s">
        <v>441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342</v>
      </c>
      <c r="S10" s="122">
        <v>777</v>
      </c>
      <c r="T10" s="121" t="s">
        <v>167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165</v>
      </c>
      <c r="AI10" s="121">
        <v>2</v>
      </c>
      <c r="AJ10" s="123">
        <v>-1</v>
      </c>
      <c r="AK10" s="111"/>
      <c r="AL10" s="124">
        <v>2</v>
      </c>
      <c r="AM10" s="125" t="s">
        <v>165</v>
      </c>
      <c r="AN10" s="126">
        <v>0.99</v>
      </c>
      <c r="AO10" s="83"/>
    </row>
    <row r="11" spans="3:41" ht="18.5">
      <c r="C11" s="82"/>
      <c r="D11" s="65" t="s">
        <v>3</v>
      </c>
      <c r="E11" s="66">
        <v>200</v>
      </c>
      <c r="F11" s="210" t="s">
        <v>170</v>
      </c>
      <c r="G11" s="5"/>
      <c r="H11" s="65" t="s">
        <v>65</v>
      </c>
      <c r="I11" s="101">
        <v>0.7</v>
      </c>
      <c r="J11" s="210" t="s">
        <v>179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180</v>
      </c>
      <c r="S11" s="49">
        <v>1000</v>
      </c>
      <c r="T11" s="71" t="s">
        <v>168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167</v>
      </c>
      <c r="AI11" s="121">
        <v>2</v>
      </c>
      <c r="AJ11" s="123">
        <v>0.14000000000000001</v>
      </c>
      <c r="AK11" s="111"/>
      <c r="AL11" s="112">
        <v>3</v>
      </c>
      <c r="AM11" s="6" t="s">
        <v>164</v>
      </c>
      <c r="AN11" s="127">
        <v>0.5</v>
      </c>
      <c r="AO11" s="83"/>
    </row>
    <row r="12" spans="3:41" ht="18.5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165</v>
      </c>
      <c r="O12" s="121" t="s">
        <v>165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168</v>
      </c>
      <c r="AI12" s="121">
        <v>2</v>
      </c>
      <c r="AJ12" s="123">
        <v>0.86</v>
      </c>
      <c r="AK12" s="111"/>
      <c r="AL12" s="112">
        <v>4</v>
      </c>
      <c r="AM12" s="6" t="s">
        <v>311</v>
      </c>
      <c r="AN12" s="127">
        <v>0.6</v>
      </c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72"/>
      <c r="N13" s="121" t="s">
        <v>311</v>
      </c>
      <c r="O13" s="121" t="s">
        <v>311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164</v>
      </c>
      <c r="AI13" s="102">
        <v>3</v>
      </c>
      <c r="AJ13" s="104">
        <v>-1</v>
      </c>
      <c r="AK13" s="111"/>
      <c r="AL13" s="113">
        <v>8</v>
      </c>
      <c r="AM13" s="6" t="s">
        <v>313</v>
      </c>
      <c r="AN13" s="114">
        <v>0.2</v>
      </c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73"/>
      <c r="N14" s="71" t="s">
        <v>164</v>
      </c>
      <c r="O14" s="71" t="s">
        <v>164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167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73"/>
      <c r="N15" s="71" t="s">
        <v>162</v>
      </c>
      <c r="O15" s="71" t="s">
        <v>162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75"/>
      <c r="L16" s="75"/>
      <c r="M16" s="73"/>
      <c r="N16" s="71" t="s">
        <v>313</v>
      </c>
      <c r="O16" s="71" t="s">
        <v>313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311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>
        <v>20</v>
      </c>
      <c r="F17" s="210" t="s">
        <v>174</v>
      </c>
      <c r="G17" s="5"/>
      <c r="H17" s="214"/>
      <c r="I17" s="66" t="s">
        <v>162</v>
      </c>
      <c r="J17" s="210" t="s">
        <v>170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167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>
        <v>35</v>
      </c>
      <c r="F18" s="210" t="s">
        <v>174</v>
      </c>
      <c r="G18" s="5"/>
      <c r="H18" s="73"/>
      <c r="I18" s="66" t="s">
        <v>311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168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313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174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168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167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 t="s">
        <v>420</v>
      </c>
      <c r="E45" s="360">
        <v>100</v>
      </c>
      <c r="F45" s="5" t="s">
        <v>321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 t="s">
        <v>419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 t="s">
        <v>421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 t="s">
        <v>422</v>
      </c>
      <c r="E49" s="5">
        <f>55*24</f>
        <v>1320</v>
      </c>
      <c r="F49" s="5" t="s">
        <v>172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 t="s">
        <v>426</v>
      </c>
      <c r="E50" s="5">
        <v>260</v>
      </c>
      <c r="F50" s="5" t="s">
        <v>427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 t="s">
        <v>423</v>
      </c>
      <c r="E52" s="5">
        <f>E49*(E45*E46)</f>
        <v>2640</v>
      </c>
      <c r="F52" s="5" t="s">
        <v>392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 t="s">
        <v>424</v>
      </c>
      <c r="E53" s="5">
        <f>E49*(E45*E47)</f>
        <v>33000</v>
      </c>
      <c r="F53" s="5" t="s">
        <v>392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 t="s">
        <v>425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 t="s">
        <v>423</v>
      </c>
      <c r="E55" s="347">
        <f>E52/260/1000</f>
        <v>1.0153846153846154E-2</v>
      </c>
      <c r="F55" s="5" t="s">
        <v>428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 t="s">
        <v>424</v>
      </c>
      <c r="E56" s="361">
        <f>E53/E50/1000</f>
        <v>0.12692307692307692</v>
      </c>
      <c r="F56" s="5" t="s">
        <v>428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>
      <c r="D76" s="336" t="s">
        <v>429</v>
      </c>
    </row>
    <row r="77" spans="3:41">
      <c r="D77" s="3" t="s">
        <v>436</v>
      </c>
    </row>
    <row r="95" spans="4:6">
      <c r="D95" s="3" t="s">
        <v>406</v>
      </c>
    </row>
    <row r="96" spans="4:6">
      <c r="D96" s="3" t="s">
        <v>430</v>
      </c>
      <c r="E96" s="3">
        <v>7.1699999999999997E-4</v>
      </c>
      <c r="F96" s="3" t="s">
        <v>431</v>
      </c>
    </row>
    <row r="97" spans="4:6">
      <c r="D97" s="3" t="s">
        <v>432</v>
      </c>
      <c r="E97" s="3">
        <v>190</v>
      </c>
      <c r="F97" s="3" t="s">
        <v>433</v>
      </c>
    </row>
    <row r="98" spans="4:6">
      <c r="D98" s="3" t="s">
        <v>434</v>
      </c>
      <c r="E98" s="3">
        <f>E97*E96</f>
        <v>0.13622999999999999</v>
      </c>
      <c r="F98" s="3" t="s">
        <v>435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1" width="10.81640625" style="3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3.4531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 t="s">
        <v>195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8.5">
      <c r="C11" s="82"/>
      <c r="D11" s="65" t="s">
        <v>3</v>
      </c>
      <c r="E11" s="66">
        <v>300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E13" s="3" t="s">
        <v>196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75"/>
      <c r="L13" s="75"/>
      <c r="M13" s="72" t="s">
        <v>183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5"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167</v>
      </c>
      <c r="J16" s="83" t="s">
        <v>170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/>
      <c r="F17" s="210" t="s">
        <v>185</v>
      </c>
      <c r="G17" s="5"/>
      <c r="H17" s="72" t="s">
        <v>183</v>
      </c>
      <c r="I17" s="66"/>
      <c r="J17" s="83" t="s">
        <v>170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/>
      <c r="F18" s="210" t="s">
        <v>185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185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185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>
      <c r="D82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T98" sqref="T9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19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18.453125" style="3" bestFit="1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5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 t="s">
        <v>440</v>
      </c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9" thickBot="1">
      <c r="C11" s="82"/>
      <c r="D11" s="65" t="s">
        <v>3</v>
      </c>
      <c r="E11" s="66">
        <v>310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167</v>
      </c>
      <c r="J16" s="92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/>
      <c r="F17" s="210" t="s">
        <v>185</v>
      </c>
      <c r="G17" s="5"/>
      <c r="H17" s="72"/>
      <c r="I17" s="239"/>
      <c r="J17" s="83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/>
      <c r="F18" s="210" t="s">
        <v>185</v>
      </c>
      <c r="G18" s="5"/>
      <c r="H18" s="73"/>
      <c r="I18" s="239"/>
      <c r="J18" s="83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185</v>
      </c>
      <c r="G19" s="5"/>
      <c r="H19" s="73"/>
      <c r="I19" s="239"/>
      <c r="J19" s="83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185</v>
      </c>
      <c r="G20" s="5"/>
      <c r="H20" s="73"/>
      <c r="I20" s="239"/>
      <c r="J20" s="83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83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239"/>
      <c r="J22" s="83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240"/>
      <c r="J23" s="83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240"/>
      <c r="J24" s="83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240"/>
      <c r="J25" s="83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83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6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>
      <c r="D86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7</vt:i4>
      </vt:variant>
    </vt:vector>
  </HeadingPairs>
  <TitlesOfParts>
    <vt:vector size="3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Uncertainty_old</vt:lpstr>
      <vt:lpstr>Sensitivity</vt:lpstr>
      <vt:lpstr>Grind_and_starch_decantation</vt:lpstr>
      <vt:lpstr>Drying</vt:lpstr>
      <vt:lpstr>Starch_processing</vt:lpstr>
      <vt:lpstr>PHA_yield_reactor</vt:lpstr>
      <vt:lpstr>Lactic Acid fermentation </vt:lpstr>
      <vt:lpstr>Polymerisation</vt:lpstr>
      <vt:lpstr>Microwave assisted extraction</vt:lpstr>
      <vt:lpstr>help_unit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2024-04-03T15:34:18Z</dcterms:modified>
</cp:coreProperties>
</file>