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33C07A5B-DDCF-4006-A020-61FD32B9C253}" xr6:coauthVersionLast="47" xr6:coauthVersionMax="47" xr10:uidLastSave="{00000000-0000-0000-0000-000000000000}"/>
  <bookViews>
    <workbookView xWindow="-132" yWindow="-132" windowWidth="23304" windowHeight="12504" tabRatio="736" firstSheet="15" activeTab="25" xr2:uid="{F0922C42-4112-4628-95FA-9F15DE1E480B}"/>
  </bookViews>
  <sheets>
    <sheet name="Grinding (100)" sheetId="153" r:id="rId1"/>
    <sheet name="Hydrolysis (200)" sheetId="185" r:id="rId2"/>
    <sheet name="Ethanol.Ferm,(210)" sheetId="186" r:id="rId3"/>
    <sheet name="Distillation.ethoh(230)" sheetId="187" r:id="rId4"/>
    <sheet name="MCF (400)" sheetId="166" r:id="rId5"/>
    <sheet name="pasturisation+Decanting (500)" sheetId="179" r:id="rId6"/>
    <sheet name="MP.Ferm,(510)" sheetId="180" r:id="rId7"/>
    <sheet name="Dewatering.MP(520)" sheetId="181" r:id="rId8"/>
    <sheet name="Spray.Dry.MP(550)" sheetId="184" r:id="rId9"/>
    <sheet name="Template_PhysicalProcess" sheetId="83" state="hidden" r:id="rId10"/>
    <sheet name="Template_StoichReactor" sheetId="90" state="hidden" r:id="rId11"/>
    <sheet name="Template_ElGenerator" sheetId="120" state="hidden" r:id="rId12"/>
    <sheet name="Template_SteamGenerator" sheetId="121" state="hidden" r:id="rId13"/>
    <sheet name="Anaerobic Digestor (600)" sheetId="126" r:id="rId14"/>
    <sheet name="CHP (700)" sheetId="152" r:id="rId15"/>
    <sheet name="Composting (800)" sheetId="148" r:id="rId16"/>
    <sheet name="Extrusion (900)" sheetId="150" r:id="rId17"/>
    <sheet name="Uncertainty_test_idea" sheetId="136" state="hidden" r:id="rId18"/>
    <sheet name="Uncertainty_old" sheetId="138" state="hidden" r:id="rId19"/>
    <sheet name="DataBank" sheetId="12" r:id="rId20"/>
    <sheet name="Systemblatt" sheetId="14" r:id="rId21"/>
    <sheet name="Pools" sheetId="114" r:id="rId22"/>
    <sheet name="Sources" sheetId="115" r:id="rId23"/>
    <sheet name="Distributor" sheetId="119" r:id="rId24"/>
    <sheet name="Sensitivity" sheetId="146" r:id="rId25"/>
    <sheet name="Uncertainty" sheetId="188" r:id="rId26"/>
    <sheet name="Template_YieldReactor" sheetId="103" state="hidden" r:id="rId27"/>
  </sheets>
  <externalReferences>
    <externalReference r:id="rId28"/>
  </externalReferences>
  <definedNames>
    <definedName name="ComponentsList">Systemblatt!$F$5:$F$37</definedName>
    <definedName name="DynamicList">IF(#REF!=DataBank!$Y$23, NAValue, ComponentsList)</definedName>
    <definedName name="DynamicSwitch">IF(#REF!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9" i="115" l="1"/>
  <c r="Y31" i="115"/>
  <c r="AC20" i="115"/>
  <c r="AC19" i="115"/>
  <c r="Z31" i="115"/>
  <c r="V27" i="188"/>
  <c r="W27" i="188"/>
  <c r="X27" i="188"/>
  <c r="V28" i="188"/>
  <c r="W28" i="188"/>
  <c r="X28" i="188"/>
  <c r="V29" i="188"/>
  <c r="W29" i="188"/>
  <c r="X29" i="188"/>
  <c r="V30" i="188"/>
  <c r="W30" i="188"/>
  <c r="X30" i="188"/>
  <c r="V31" i="188"/>
  <c r="W31" i="188"/>
  <c r="X31" i="188"/>
  <c r="V32" i="188"/>
  <c r="W32" i="188"/>
  <c r="X32" i="188"/>
  <c r="V33" i="188"/>
  <c r="W33" i="188"/>
  <c r="X33" i="188"/>
  <c r="V34" i="188"/>
  <c r="W34" i="188"/>
  <c r="X34" i="188"/>
  <c r="V35" i="188"/>
  <c r="W35" i="188"/>
  <c r="X35" i="188"/>
  <c r="V36" i="188"/>
  <c r="W36" i="188"/>
  <c r="X36" i="188"/>
  <c r="V37" i="188"/>
  <c r="W37" i="188"/>
  <c r="X37" i="188"/>
  <c r="V38" i="188"/>
  <c r="W38" i="188"/>
  <c r="X38" i="188"/>
  <c r="V39" i="188"/>
  <c r="W39" i="188"/>
  <c r="X39" i="188"/>
  <c r="V40" i="188"/>
  <c r="W40" i="188"/>
  <c r="X40" i="188"/>
  <c r="V41" i="188"/>
  <c r="W41" i="188"/>
  <c r="X41" i="188"/>
  <c r="V42" i="188"/>
  <c r="W42" i="188"/>
  <c r="X42" i="188"/>
  <c r="V43" i="188"/>
  <c r="W43" i="188"/>
  <c r="X43" i="188"/>
  <c r="V44" i="188"/>
  <c r="W44" i="188"/>
  <c r="X44" i="188"/>
  <c r="V45" i="188"/>
  <c r="W45" i="188"/>
  <c r="X45" i="188"/>
  <c r="V46" i="188"/>
  <c r="W46" i="188"/>
  <c r="X46" i="188"/>
  <c r="V47" i="188"/>
  <c r="W47" i="188"/>
  <c r="X47" i="188"/>
  <c r="V48" i="188"/>
  <c r="W48" i="188"/>
  <c r="X48" i="188"/>
  <c r="V49" i="188"/>
  <c r="W49" i="188"/>
  <c r="X49" i="188"/>
  <c r="V50" i="188"/>
  <c r="W50" i="188"/>
  <c r="X50" i="188"/>
  <c r="V51" i="188"/>
  <c r="W51" i="188"/>
  <c r="X51" i="188"/>
  <c r="V52" i="188"/>
  <c r="W52" i="188"/>
  <c r="X52" i="188"/>
  <c r="V26" i="188"/>
  <c r="W26" i="188"/>
  <c r="X26" i="188"/>
  <c r="V15" i="114"/>
  <c r="V14" i="114"/>
  <c r="V28" i="114"/>
  <c r="V27" i="114"/>
  <c r="P99" i="188"/>
  <c r="Q92" i="188"/>
  <c r="L75" i="188"/>
  <c r="R21" i="188"/>
  <c r="T6" i="188"/>
  <c r="T5" i="188"/>
  <c r="T4" i="188"/>
  <c r="AJ11" i="180" l="1"/>
  <c r="AJ12" i="180"/>
  <c r="S50" i="146"/>
  <c r="R50" i="146"/>
  <c r="AJ13" i="152"/>
  <c r="AJ12" i="152"/>
  <c r="H35" i="152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E16" i="115"/>
  <c r="F63" i="14"/>
  <c r="I12" i="180"/>
  <c r="C25" i="114"/>
  <c r="H62" i="187"/>
  <c r="H59" i="187"/>
  <c r="P54" i="187"/>
  <c r="Q50" i="187"/>
  <c r="Q45" i="187"/>
  <c r="Q47" i="187" s="1"/>
  <c r="Q51" i="187" s="1"/>
  <c r="O45" i="187"/>
  <c r="O47" i="187"/>
  <c r="O50" i="187" s="1"/>
  <c r="O51" i="187" s="1"/>
  <c r="E27" i="187"/>
  <c r="J12" i="187"/>
  <c r="AJ36" i="126"/>
  <c r="AJ37" i="126" s="1"/>
  <c r="AJ12" i="186"/>
  <c r="AJ25" i="186" l="1"/>
  <c r="AJ21" i="186"/>
  <c r="AJ17" i="186"/>
  <c r="AJ13" i="186"/>
  <c r="H53" i="186"/>
  <c r="I12" i="186" s="1"/>
  <c r="J12" i="186"/>
  <c r="I11" i="186"/>
  <c r="E27" i="186"/>
  <c r="C170" i="115"/>
  <c r="L3" i="115"/>
  <c r="F164" i="115"/>
  <c r="F165" i="115" s="1"/>
  <c r="C164" i="115"/>
  <c r="C165" i="115" s="1"/>
  <c r="AF10" i="185"/>
  <c r="C181" i="115"/>
  <c r="L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Z21" i="115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E14" i="115" s="1"/>
  <c r="AC28" i="115"/>
  <c r="E23" i="115" s="1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J53" i="184"/>
  <c r="M34" i="184"/>
  <c r="M36" i="184" s="1"/>
  <c r="M39" i="184" s="1"/>
  <c r="O10" i="184" s="1"/>
  <c r="E27" i="184"/>
  <c r="J12" i="184"/>
  <c r="I12" i="184"/>
  <c r="I11" i="184"/>
  <c r="J12" i="181" l="1"/>
  <c r="I12" i="181"/>
  <c r="N10" i="181"/>
  <c r="E27" i="181"/>
  <c r="J12" i="180"/>
  <c r="I11" i="180"/>
  <c r="E27" i="180"/>
  <c r="O10" i="179"/>
  <c r="I12" i="179"/>
  <c r="J12" i="179"/>
  <c r="I11" i="179"/>
  <c r="H42" i="179"/>
  <c r="E27" i="179"/>
  <c r="I30" i="115"/>
  <c r="N10" i="150"/>
  <c r="H23" i="115"/>
  <c r="H29" i="115"/>
  <c r="C127" i="115"/>
  <c r="C128" i="115" s="1"/>
  <c r="C129" i="115" s="1"/>
  <c r="H8" i="115" s="1"/>
  <c r="C126" i="115"/>
  <c r="Q70" i="115"/>
  <c r="Q72" i="115" s="1"/>
  <c r="N10" i="166" l="1"/>
  <c r="N7" i="153"/>
  <c r="N46" i="166"/>
  <c r="N47" i="166"/>
  <c r="N39" i="166"/>
  <c r="N37" i="166"/>
  <c r="I12" i="166"/>
  <c r="I11" i="166"/>
  <c r="E27" i="166"/>
  <c r="J12" i="166"/>
  <c r="J8" i="115" l="1"/>
  <c r="E27" i="153"/>
  <c r="J12" i="153"/>
  <c r="I12" i="148" l="1"/>
  <c r="E27" i="152"/>
  <c r="I8" i="115" l="1"/>
  <c r="E27" i="150"/>
  <c r="J12" i="150"/>
  <c r="E56" i="126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D72" i="138" l="1"/>
  <c r="D70" i="138"/>
  <c r="F25" i="114"/>
  <c r="C23" i="114"/>
  <c r="D10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<sst xmlns="http://schemas.openxmlformats.org/spreadsheetml/2006/main" count="3391" uniqueCount="630">
  <si>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</si>
  <si>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</si>
  <si>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</si>
  <si>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</si>
  <si>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</si>
  <si>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</si>
  <si>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</si>
  <si>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</si>
  <si>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</si>
  <si>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</si>
  <si>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</si>
  <si>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</si>
  <si>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</si>
  <si>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</si>
  <si>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</si>
  <si>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</si>
  <si>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</si>
  <si>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</si>
  <si>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</si>
  <si>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</si>
  <si>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</si>
  <si>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</si>
  <si>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</si>
  <si>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</si>
  <si>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</si>
  <si>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</si>
  <si>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</si>
  <si>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</si>
  <si>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</si>
  <si>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</si>
  <si>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</si>
  <si>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</si>
  <si>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</si>
  <si>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</si>
  <si>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</si>
  <si>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</si>
  <si>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</si>
  <si>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</si>
  <si>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</si>
  <si>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</si>
  <si>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</si>
  <si>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</si>
  <si>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</si>
  <si>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</si>
  <si>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</si>
  <si>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</si>
  <si>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</si>
  <si>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</si>
  <si>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</si>
  <si>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</si>
  <si>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</si>
  <si>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</si>
  <si>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</si>
  <si>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</si>
  <si>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</si>
  <si>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</si>
  <si>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</si>
  <si>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</si>
  <si>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</si>
  <si>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</si>
  <si>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</si>
  <si>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</si>
  <si>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</si>
  <si>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</si>
  <si>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</si>
  <si>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</si>
  <si>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</si>
  <si>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</si>
  <si>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</si>
  <si>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</si>
  <si>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</si>
  <si>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</si>
  <si>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</si>
  <si>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</si>
  <si>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</si>
  <si>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</si>
  <si>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</si>
  <si>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</si>
  <si>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</si>
  <si>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</si>
  <si>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</si>
  <si>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</si>
  <si>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</si>
  <si>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</si>
  <si>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</si>
  <si>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</si>
  <si>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</si>
  <si>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</si>
  <si>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</si>
  <si>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</si>
  <si>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</si>
  <si>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</si>
  <si>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</si>
  <si>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</si>
  <si>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</si>
  <si>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</si>
  <si>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</si>
  <si>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</si>
  <si>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</si>
  <si>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</si>
  <si>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</si>
  <si>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</si>
  <si>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</si>
  <si>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</si>
  <si>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</si>
  <si>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</si>
  <si>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</si>
  <si>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</si>
  <si>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</si>
  <si>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</si>
  <si>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</si>
  <si>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</si>
  <si>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</si>
  <si>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</si>
  <si>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</si>
  <si>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</si>
  <si>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</si>
  <si>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</si>
  <si>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</si>
  <si>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</si>
  <si>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</si>
  <si>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</si>
  <si>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</si>
  <si>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</si>
  <si>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</si>
  <si>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</si>
  <si>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</si>
  <si>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</si>
  <si>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</si>
  <si>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</si>
  <si>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</si>
  <si>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</si>
  <si>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</si>
  <si>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</si>
  <si>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</si>
  <si>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</si>
  <si>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</si>
  <si>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</si>
  <si>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</si>
  <si>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</si>
  <si>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</si>
  <si>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</si>
  <si>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</si>
  <si>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</si>
  <si>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</si>
  <si>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</si>
  <si>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</si>
  <si>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</si>
  <si>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</si>
  <si>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</si>
  <si>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</si>
  <si>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</si>
  <si>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</si>
  <si>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</si>
  <si>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</si>
  <si>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</si>
  <si>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</si>
  <si>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</si>
  <si>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</si>
  <si>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</si>
  <si>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</si>
  <si>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</si>
  <si>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</si>
  <si>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</si>
  <si>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</si>
  <si>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</si>
  <si>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</si>
  <si>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</si>
  <si>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</si>
  <si>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</si>
  <si>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</si>
  <si>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</si>
  <si>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</si>
  <si>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</si>
  <si>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</si>
  <si>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</si>
  <si>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</si>
  <si>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</si>
  <si>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</si>
  <si>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</si>
  <si>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</si>
  <si>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</si>
  <si>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</si>
  <si>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</si>
  <si>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</si>
  <si>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</si>
  <si>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</si>
  <si>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</si>
  <si>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</si>
  <si>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</si>
  <si>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</si>
  <si>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</si>
  <si>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</si>
  <si>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</si>
  <si>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</si>
  <si>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</si>
  <si>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</si>
  <si>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</si>
  <si>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</si>
  <si>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</si>
  <si>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</si>
  <si>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</si>
  <si>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</si>
  <si>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</si>
  <si>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</si>
  <si>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</si>
  <si>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</si>
  <si>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</si>
  <si>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</si>
  <si>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</si>
  <si>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</si>
  <si>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</si>
  <si>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</si>
  <si>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</si>
  <si>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</si>
  <si>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</si>
  <si>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</si>
  <si>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</si>
  <si>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</si>
  <si>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</si>
  <si>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</si>
  <si>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</si>
  <si>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</si>
  <si>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</si>
  <si>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</si>
  <si>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</si>
  <si>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</si>
  <si>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</si>
  <si>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</si>
  <si>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</si>
  <si>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</si>
  <si>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</si>
  <si>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</si>
  <si>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</si>
  <si>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</si>
  <si>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</si>
  <si>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</si>
  <si>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</si>
  <si>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</si>
  <si>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</si>
  <si>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</si>
  <si>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</si>
  <si>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</si>
  <si>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</si>
  <si>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</si>
  <si>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</si>
  <si>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</si>
  <si>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</si>
  <si>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</si>
  <si>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</si>
  <si>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</si>
  <si>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</si>
  <si>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</si>
  <si>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</si>
  <si>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</si>
  <si>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</si>
  <si>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</si>
  <si>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</si>
  <si>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</si>
  <si>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</si>
  <si>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</si>
  <si>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</si>
  <si>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</si>
  <si>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</si>
  <si>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</si>
  <si>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</si>
  <si>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</si>
  <si>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</si>
  <si>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</si>
  <si>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</si>
  <si>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</si>
  <si>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</si>
  <si>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</si>
  <si>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</si>
  <si>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</si>
  <si>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</si>
  <si>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</si>
  <si>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</si>
  <si>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</si>
  <si>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</si>
  <si>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</si>
  <si>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</si>
  <si>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</si>
  <si>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</si>
  <si>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</si>
  <si>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</si>
  <si>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</si>
  <si>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</si>
  <si>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</si>
  <si>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</si>
  <si>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</si>
  <si>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</si>
  <si>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</si>
  <si>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</si>
  <si>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</si>
  <si>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</si>
  <si>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</si>
  <si>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</si>
  <si>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</si>
  <si>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</si>
  <si>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</si>
  <si>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</si>
  <si>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</si>
  <si>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</si>
  <si>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</si>
  <si>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</si>
  <si>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</si>
  <si>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</si>
  <si>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</si>
  <si>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</si>
  <si>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</si>
  <si>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</si>
  <si>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</si>
  <si>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</si>
  <si>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</si>
  <si>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</si>
  <si>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</si>
  <si>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</si>
  <si>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</si>
  <si>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</si>
  <si>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</si>
  <si>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</si>
  <si>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</si>
  <si>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</si>
  <si>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</si>
  <si>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</si>
  <si>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</si>
  <si>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</si>
  <si>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</si>
  <si>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</si>
  <si>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</si>
  <si>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</si>
  <si>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</si>
  <si>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</si>
  <si>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</si>
  <si>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</si>
  <si>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</si>
  <si>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</si>
  <si>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</si>
  <si>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</si>
  <si>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</si>
  <si>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</si>
  <si>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</si>
  <si>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</si>
  <si>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</si>
  <si>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</si>
  <si>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</si>
  <si>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</si>
  <si>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</si>
  <si>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</si>
  <si>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</si>
  <si>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</si>
  <si>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</si>
  <si>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</si>
  <si>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</si>
  <si>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</si>
  <si>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</si>
  <si>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</si>
  <si>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</si>
  <si>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</si>
  <si>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</si>
  <si>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</si>
  <si>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</si>
  <si>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</si>
  <si>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</si>
  <si>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</si>
  <si>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</si>
  <si>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</si>
  <si>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</si>
  <si>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</si>
  <si>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</si>
  <si>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</si>
  <si>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</si>
  <si>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</si>
  <si>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</si>
  <si>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</si>
  <si>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</si>
  <si>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</si>
  <si>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</si>
  <si>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</si>
  <si>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</si>
  <si>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</si>
  <si>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</si>
  <si>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</si>
  <si>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</si>
  <si>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</si>
  <si>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</si>
  <si>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</si>
  <si>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</si>
  <si>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</si>
  <si>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</si>
  <si>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</si>
  <si>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</si>
  <si>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</si>
  <si>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</si>
  <si>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</si>
  <si>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</si>
  <si>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>grouping all these processes together</t>
  </si>
  <si>
    <t xml:space="preserve">= unknown </t>
  </si>
  <si>
    <r>
      <t>Kletscher, H. N., Venner, J., Jiang, X., &amp; Rosentrater, K. A. (2014). Economic and environmental analysis of extrusion processing of grains into foods and feeds. In </t>
    </r>
    <r>
      <rPr>
        <i/>
        <sz val="8"/>
        <color rgb="FF222222"/>
        <rFont val="Arial"/>
        <family val="2"/>
      </rPr>
      <t>2014 Montreal, Quebec Canada July 13–July 16, 2014</t>
    </r>
    <r>
      <rPr>
        <sz val="8"/>
        <color rgb="FF222222"/>
        <rFont val="Arial"/>
        <family val="2"/>
      </rPr>
      <t> (p. 1). American Society of Agricultural and Biological Engineers.</t>
    </r>
  </si>
  <si>
    <t xml:space="preserve">Reference! </t>
  </si>
  <si>
    <t>Specific energy demand (MWh/t)</t>
  </si>
  <si>
    <t xml:space="preserve">look at energy and electricity consumption </t>
  </si>
  <si>
    <t>Feed</t>
  </si>
  <si>
    <t>Compost</t>
  </si>
  <si>
    <t>CHP.Generator</t>
  </si>
  <si>
    <t xml:space="preserve">CHP </t>
  </si>
  <si>
    <t>Extrusion + drying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</si>
  <si>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</si>
  <si>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</si>
  <si>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</si>
  <si>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</si>
  <si>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</si>
  <si>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</si>
  <si>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</si>
  <si>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</si>
  <si>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</si>
  <si>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</si>
  <si>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</si>
  <si>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</si>
  <si>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</si>
  <si>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</si>
  <si>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</si>
  <si>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</si>
  <si>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</si>
  <si>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</si>
  <si>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</si>
  <si>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 xml:space="preserve">Lets use the Expller from "Rules of thumb for Engineering" to represent the screw press </t>
  </si>
  <si>
    <t>How Much Energy Does A Filter Press Use? - Kintek Solution (kindle-tech.com)</t>
  </si>
  <si>
    <t>Lets say the energy consumption is equal to a filter press</t>
  </si>
  <si>
    <t>https://hal.science/hal-01611995/file/separation-efficiency-and-energy-consumption-of-oil-expression%20.pdf</t>
  </si>
  <si>
    <t>Separation efficiency and energy consumption of oil expression using a screw-press: The case of Jatropha curcas L. seeds</t>
  </si>
  <si>
    <t xml:space="preserve">Their is also a study on screwpress: </t>
  </si>
  <si>
    <t>ref: How Much Energy Does A Filter Press Use? - Kintek Solution (kindle-tech.com)</t>
  </si>
  <si>
    <t>This study seems to be in the same range as a filter press! So great keep 30 kWh/t</t>
  </si>
  <si>
    <t>25 - 35 kWh/t (tons of suspended solids!!)</t>
  </si>
  <si>
    <t>The components must be the suspended solids in other words!!</t>
  </si>
  <si>
    <t>kg/h</t>
  </si>
  <si>
    <t>kWh/kg</t>
  </si>
  <si>
    <t>m2</t>
  </si>
  <si>
    <t>we need to go from surface area to drying capaticty for the right price</t>
  </si>
  <si>
    <t>Delta T</t>
  </si>
  <si>
    <t>MeOH</t>
  </si>
  <si>
    <t>Methanol Price|Methanol Institute|www.methanol.org</t>
  </si>
  <si>
    <t xml:space="preserve">There is an excel file with data on prices from 2021 to now </t>
  </si>
  <si>
    <t>Acid_H2SO4</t>
  </si>
  <si>
    <t>Solv_MeOH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</si>
  <si>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</si>
  <si>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</si>
  <si>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</si>
  <si>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</si>
  <si>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</si>
  <si>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</si>
  <si>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</si>
  <si>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</si>
  <si>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</si>
  <si>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</si>
  <si>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</si>
  <si>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</si>
  <si>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</si>
  <si>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</si>
  <si>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</si>
  <si>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</si>
  <si>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</si>
  <si>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</si>
  <si>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</si>
  <si>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</si>
  <si>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Biomass_pha</t>
  </si>
  <si>
    <t>PHA accumulation</t>
  </si>
  <si>
    <t>Ref: rules of thumbs for engineers</t>
  </si>
  <si>
    <t xml:space="preserve">Reference flow </t>
  </si>
  <si>
    <t>Lysol</t>
  </si>
  <si>
    <t>pha</t>
  </si>
  <si>
    <t>bm</t>
  </si>
  <si>
    <t>tot</t>
  </si>
  <si>
    <t xml:space="preserve">%pha </t>
  </si>
  <si>
    <t>LYSOL</t>
  </si>
  <si>
    <t>Oz</t>
  </si>
  <si>
    <t>kg</t>
  </si>
  <si>
    <t>€/41OZ</t>
  </si>
  <si>
    <t>€ /kg</t>
  </si>
  <si>
    <t>t/€</t>
  </si>
  <si>
    <t>CO2_50bar</t>
  </si>
  <si>
    <t>Lysols-Lysols Manufacturers, Suppliers and Exporters on Alibaba.comMulti-purpose Household Chemicals</t>
  </si>
  <si>
    <t>NaOH</t>
  </si>
  <si>
    <t>cell lysis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</si>
  <si>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</si>
  <si>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</si>
  <si>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</si>
  <si>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</si>
  <si>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</si>
  <si>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 xml:space="preserve">Compost </t>
  </si>
  <si>
    <t>SEE JUPITER FILE FOR CALCULATIONS</t>
  </si>
  <si>
    <t>MWh/ton = kWh/kg</t>
  </si>
  <si>
    <t>BioMethane</t>
  </si>
  <si>
    <t xml:space="preserve">I've hard coded the efficientcies in the program </t>
  </si>
  <si>
    <t>PPW splitter</t>
  </si>
  <si>
    <t>Pastur.Decant</t>
  </si>
  <si>
    <t>Production of Microbial protein according to AVECOM</t>
  </si>
  <si>
    <t>MP.Ferm.</t>
  </si>
  <si>
    <t>Microbial.Prot</t>
  </si>
  <si>
    <t>Mcrobial.prot.Ferm.</t>
  </si>
  <si>
    <t>Dewater.Prot</t>
  </si>
  <si>
    <t>Spray.Dry.MP</t>
  </si>
  <si>
    <t>Animal.Feed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</si>
  <si>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</si>
  <si>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</si>
  <si>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</si>
  <si>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</si>
  <si>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</si>
  <si>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</si>
  <si>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</si>
  <si>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</si>
  <si>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</si>
  <si>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</si>
  <si>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</si>
  <si>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</si>
  <si>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</si>
  <si>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</si>
  <si>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</si>
  <si>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</si>
  <si>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</si>
  <si>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</si>
  <si>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</si>
  <si>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</si>
  <si>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</si>
  <si>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</si>
  <si>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</si>
  <si>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</si>
  <si>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</si>
  <si>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</si>
  <si>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</si>
  <si>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</si>
  <si>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</si>
  <si>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</si>
  <si>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</si>
  <si>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</si>
  <si>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</si>
  <si>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</si>
  <si>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</si>
  <si>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</si>
  <si>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</si>
  <si>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</si>
  <si>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</si>
  <si>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</si>
  <si>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</si>
  <si>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</si>
  <si>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</si>
  <si>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Hyroly splitter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</si>
  <si>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</si>
  <si>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</si>
  <si>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</si>
  <si>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</si>
  <si>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</si>
  <si>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</si>
  <si>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</si>
  <si>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</si>
  <si>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</si>
  <si>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</si>
  <si>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</si>
  <si>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</si>
  <si>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</si>
  <si>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</si>
  <si>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</si>
  <si>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</si>
  <si>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</si>
  <si>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</si>
  <si>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</si>
  <si>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</si>
  <si>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</si>
  <si>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</si>
  <si>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</si>
  <si>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</si>
  <si>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</si>
  <si>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</si>
  <si>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</si>
  <si>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</si>
  <si>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</si>
  <si>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MWh/t and delta T</t>
  </si>
  <si>
    <t>h  of operation is reasonable to assume</t>
  </si>
  <si>
    <t>m3 is the reference vol</t>
  </si>
  <si>
    <t>sugar-ethanol</t>
  </si>
  <si>
    <t>starch to Ethanol</t>
  </si>
  <si>
    <t>cellulose to Ethanol</t>
  </si>
  <si>
    <t>Hemi-cellulose to ethanol</t>
  </si>
  <si>
    <t xml:space="preserve">AD-Dead Biomass </t>
  </si>
  <si>
    <t>Distillation.EOH</t>
  </si>
  <si>
    <t xml:space="preserve">kcal/h </t>
  </si>
  <si>
    <t>kW/(kcal/h)</t>
  </si>
  <si>
    <t xml:space="preserve">t/h  Reference flow </t>
  </si>
  <si>
    <t>TOTAL:</t>
  </si>
  <si>
    <t>Micro.Prot.</t>
  </si>
  <si>
    <t>UNIT NAME</t>
  </si>
  <si>
    <t>Hydrolysis (200)</t>
  </si>
  <si>
    <t>Reference: EXCEL FILE JAN AGRILOOP</t>
  </si>
  <si>
    <t>vol in SUPERPRO</t>
  </si>
  <si>
    <t>Digestion(435)</t>
  </si>
  <si>
    <t>MCF (400)</t>
  </si>
  <si>
    <t>PHA accumulation(420)</t>
  </si>
  <si>
    <t>AD (600)</t>
  </si>
  <si>
    <t>hours, residence time, i,e, time for setrilisation!!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</si>
  <si>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</si>
  <si>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</si>
  <si>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</si>
  <si>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</si>
  <si>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</si>
  <si>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</si>
  <si>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</si>
  <si>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EthOH.Ferm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</si>
  <si>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</si>
  <si>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</si>
  <si>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</si>
  <si>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</si>
  <si>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</si>
  <si>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</si>
  <si>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</si>
  <si>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</si>
  <si>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</si>
  <si>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</si>
  <si>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</si>
  <si>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</si>
  <si>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</si>
  <si>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</si>
  <si>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AD cellulose</t>
  </si>
  <si>
    <t>Animal Feed</t>
  </si>
  <si>
    <t xml:space="preserve">Microb. Prot </t>
  </si>
  <si>
    <t>MP fermentation</t>
  </si>
  <si>
    <t>Ethanol yield</t>
  </si>
  <si>
    <t>Ethanol price</t>
  </si>
  <si>
    <t>DM g/kg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</si>
</sst>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8"/>
      <color rgb="FF222222"/>
      <name val="Arial"/>
      <family val="2"/>
    </font>
    <font>
      <i/>
      <sz val="8"/>
      <color rgb="FF222222"/>
      <name val="Arial"/>
      <family val="2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9.8000000000000007"/>
      <color rgb="FF6AAB73"/>
      <name val="JetBrains Mono"/>
      <family val="3"/>
    </font>
  </fonts>
  <fills count="2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0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34" fillId="0" borderId="0" xfId="0" applyFont="1"/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5" fillId="21" borderId="13" xfId="0" applyFont="1" applyFill="1" applyBorder="1" applyAlignment="1" applyProtection="1">
      <alignment horizontal="center"/>
      <protection locked="0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6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8" fillId="22" borderId="0" xfId="1" applyFont="1" applyFill="1" applyProtection="1">
      <protection locked="0"/>
    </xf>
    <xf numFmtId="0" fontId="39" fillId="5" borderId="0" xfId="1" applyFont="1" applyFill="1" applyProtection="1">
      <protection locked="0"/>
    </xf>
    <xf numFmtId="0" fontId="40" fillId="5" borderId="0" xfId="1" applyFont="1" applyFill="1" applyProtection="1"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165" fontId="15" fillId="5" borderId="13" xfId="1" applyNumberFormat="1" applyFont="1" applyFill="1" applyBorder="1" applyAlignment="1" applyProtection="1">
      <alignment horizontal="center"/>
      <protection locked="0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41" fillId="0" borderId="0" xfId="0" applyFont="1"/>
    <xf numFmtId="0" fontId="25" fillId="5" borderId="0" xfId="0" applyFont="1" applyFill="1"/>
    <xf numFmtId="0" fontId="1" fillId="23" borderId="10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7" xfId="0" applyFill="1" applyBorder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4" borderId="0" xfId="0" applyFont="1" applyFill="1" applyAlignment="1">
      <alignment horizontal="right"/>
    </xf>
    <xf numFmtId="0" fontId="26" fillId="24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5" borderId="0" xfId="0" applyFont="1" applyFill="1" applyAlignment="1">
      <alignment horizontal="right"/>
    </xf>
    <xf numFmtId="164" fontId="1" fillId="5" borderId="22" xfId="0" applyNumberFormat="1" applyFont="1" applyFill="1" applyBorder="1" applyAlignment="1">
      <alignment horizontal="center"/>
    </xf>
    <xf numFmtId="164" fontId="1" fillId="5" borderId="23" xfId="0" applyNumberFormat="1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3" fillId="5" borderId="26" xfId="5" applyFill="1" applyBorder="1" applyAlignment="1" applyProtection="1">
      <alignment horizontal="center" vertical="center"/>
      <protection locked="0"/>
    </xf>
    <xf numFmtId="165" fontId="1" fillId="5" borderId="26" xfId="0" applyNumberFormat="1" applyFont="1" applyFill="1" applyBorder="1" applyAlignment="1">
      <alignment horizontal="center"/>
    </xf>
    <xf numFmtId="0" fontId="3" fillId="5" borderId="26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6" borderId="0" xfId="0" applyFont="1" applyFill="1"/>
    <xf numFmtId="0" fontId="43" fillId="26" borderId="0" xfId="0" applyFont="1" applyFill="1"/>
    <xf numFmtId="0" fontId="44" fillId="26" borderId="0" xfId="0" applyFont="1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wrapText="1"/>
    </xf>
    <xf numFmtId="0" fontId="0" fillId="27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0" fontId="0" fillId="16" borderId="12" xfId="0" applyFill="1" applyBorder="1" applyProtection="1"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7" fontId="37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164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6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2" fontId="0" fillId="16" borderId="0" xfId="0" applyNumberFormat="1" applyFill="1" applyProtection="1">
      <protection locked="0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12" xfId="1" applyFont="1" applyFill="1" applyBorder="1" applyAlignment="1" applyProtection="1">
      <alignment horizontal="center"/>
      <protection locked="0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8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19" fillId="5" borderId="13" xfId="1" applyFont="1" applyFill="1" applyBorder="1" applyAlignment="1" applyProtection="1">
      <alignment horizontal="center" vertical="center"/>
      <protection locked="0"/>
    </xf>
    <xf numFmtId="165" fontId="37" fillId="5" borderId="13" xfId="0" applyNumberFormat="1" applyFont="1" applyFill="1" applyBorder="1" applyAlignment="1" applyProtection="1">
      <alignment horizontal="center" vertical="center"/>
      <protection locked="0"/>
    </xf>
    <xf numFmtId="0" fontId="0" fillId="20" borderId="20" xfId="0" applyFill="1" applyBorder="1"/>
    <xf numFmtId="0" fontId="15" fillId="0" borderId="0" xfId="0" applyFont="1"/>
    <xf numFmtId="0" fontId="15" fillId="20" borderId="12" xfId="0" applyFont="1" applyFill="1" applyBorder="1" applyAlignment="1">
      <alignment horizontal="center"/>
    </xf>
    <xf numFmtId="0" fontId="15" fillId="20" borderId="12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37" fillId="20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37" fillId="5" borderId="0" xfId="0" applyFont="1" applyFill="1" applyAlignment="1">
      <alignment horizontal="center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47" fillId="0" borderId="0" xfId="0" applyFont="1" applyAlignment="1">
      <alignment vertical="center"/>
    </xf>
    <xf numFmtId="2" fontId="15" fillId="5" borderId="0" xfId="0" applyNumberFormat="1" applyFont="1" applyFill="1" applyAlignment="1" applyProtection="1">
      <alignment horizontal="center"/>
      <protection locked="0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8" xfId="0" applyFill="1" applyBorder="1"/>
    <xf numFmtId="0" fontId="0" fillId="5" borderId="28" xfId="0" applyFill="1" applyBorder="1" applyAlignment="1">
      <alignment horizontal="center"/>
    </xf>
    <xf numFmtId="0" fontId="0" fillId="5" borderId="28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0" fillId="5" borderId="21" xfId="0" applyFill="1" applyBorder="1"/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23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png"/><Relationship Id="rId2" Type="http://schemas.openxmlformats.org/officeDocument/2006/relationships/image" Target="../media/image42.png"/><Relationship Id="rId1" Type="http://schemas.openxmlformats.org/officeDocument/2006/relationships/image" Target="../media/image38.png"/><Relationship Id="rId5" Type="http://schemas.openxmlformats.org/officeDocument/2006/relationships/image" Target="../media/image45.png"/><Relationship Id="rId4" Type="http://schemas.openxmlformats.org/officeDocument/2006/relationships/image" Target="../media/image4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105105</xdr:colOff>
      <xdr:row>39</xdr:row>
      <xdr:rowOff>91966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1757563</xdr:colOff>
      <xdr:row>37</xdr:row>
      <xdr:rowOff>95478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249620</xdr:colOff>
      <xdr:row>28</xdr:row>
      <xdr:rowOff>157655</xdr:rowOff>
    </xdr:from>
    <xdr:to>
      <xdr:col>9</xdr:col>
      <xdr:colOff>91965</xdr:colOff>
      <xdr:row>32</xdr:row>
      <xdr:rowOff>170793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48551" y="6319345"/>
          <a:ext cx="2483069" cy="775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costs</a:t>
          </a:r>
        </a:p>
      </xdr:txBody>
    </xdr:sp>
    <xdr:clientData/>
  </xdr:twoCellAnchor>
  <xdr:twoCellAnchor>
    <xdr:from>
      <xdr:col>12</xdr:col>
      <xdr:colOff>191812</xdr:colOff>
      <xdr:row>27</xdr:row>
      <xdr:rowOff>165536</xdr:rowOff>
    </xdr:from>
    <xdr:to>
      <xdr:col>15</xdr:col>
      <xdr:colOff>1445172</xdr:colOff>
      <xdr:row>33</xdr:row>
      <xdr:rowOff>13137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227674" y="6130157"/>
          <a:ext cx="6272050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energy consumption, 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27</xdr:col>
      <xdr:colOff>183931</xdr:colOff>
      <xdr:row>34</xdr:row>
      <xdr:rowOff>26276</xdr:rowOff>
    </xdr:from>
    <xdr:to>
      <xdr:col>31</xdr:col>
      <xdr:colOff>2550362</xdr:colOff>
      <xdr:row>50</xdr:row>
      <xdr:rowOff>118242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1741241" y="7528035"/>
          <a:ext cx="6649397" cy="3061138"/>
          <a:chOff x="31649276" y="7317828"/>
          <a:chExt cx="6649396" cy="306113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1872619" y="7317828"/>
            <a:ext cx="6426053" cy="3061138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1649276" y="8237482"/>
            <a:ext cx="5570483" cy="328448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26277</xdr:colOff>
      <xdr:row>34</xdr:row>
      <xdr:rowOff>0</xdr:rowOff>
    </xdr:from>
    <xdr:to>
      <xdr:col>10</xdr:col>
      <xdr:colOff>947202</xdr:colOff>
      <xdr:row>47</xdr:row>
      <xdr:rowOff>139223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3" y="7291552"/>
          <a:ext cx="5334000" cy="2540924"/>
        </a:xfrm>
        <a:prstGeom prst="rect">
          <a:avLst/>
        </a:prstGeom>
      </xdr:spPr>
    </xdr:pic>
    <xdr:clientData/>
  </xdr:twoCellAnchor>
  <xdr:twoCellAnchor>
    <xdr:from>
      <xdr:col>38</xdr:col>
      <xdr:colOff>998482</xdr:colOff>
      <xdr:row>14</xdr:row>
      <xdr:rowOff>91965</xdr:rowOff>
    </xdr:from>
    <xdr:to>
      <xdr:col>39</xdr:col>
      <xdr:colOff>1537138</xdr:colOff>
      <xdr:row>19</xdr:row>
      <xdr:rowOff>78828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46600241" y="3100551"/>
          <a:ext cx="1931276" cy="11298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would these efficientcies</a:t>
          </a:r>
          <a:r>
            <a:rPr lang="en-US" sz="1100" baseline="0"/>
            <a:t> be? Probably on the low end!!</a:t>
          </a:r>
        </a:p>
        <a:p>
          <a:endParaRPr lang="en-US" sz="1100" baseline="0"/>
        </a:p>
        <a:p>
          <a:r>
            <a:rPr lang="en-US" sz="1100" baseline="0"/>
            <a:t>references?? </a:t>
          </a:r>
          <a:endParaRPr lang="en-US" sz="1100"/>
        </a:p>
      </xdr:txBody>
    </xdr:sp>
    <xdr:clientData/>
  </xdr:twoCellAnchor>
  <xdr:twoCellAnchor>
    <xdr:from>
      <xdr:col>18</xdr:col>
      <xdr:colOff>341586</xdr:colOff>
      <xdr:row>18</xdr:row>
      <xdr:rowOff>91965</xdr:rowOff>
    </xdr:from>
    <xdr:to>
      <xdr:col>19</xdr:col>
      <xdr:colOff>1011621</xdr:colOff>
      <xdr:row>22</xdr:row>
      <xdr:rowOff>13137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1060103" y="4020206"/>
          <a:ext cx="2272863" cy="814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that the solids get sent to the 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5</xdr:col>
      <xdr:colOff>325120</xdr:colOff>
      <xdr:row>34</xdr:row>
      <xdr:rowOff>51230</xdr:rowOff>
    </xdr:from>
    <xdr:to>
      <xdr:col>11</xdr:col>
      <xdr:colOff>543560</xdr:colOff>
      <xdr:row>55</xdr:row>
      <xdr:rowOff>91725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9960" y="7259750"/>
          <a:ext cx="6924040" cy="4079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982109</xdr:colOff>
      <xdr:row>28</xdr:row>
      <xdr:rowOff>86360</xdr:rowOff>
    </xdr:from>
    <xdr:to>
      <xdr:col>14</xdr:col>
      <xdr:colOff>1644904</xdr:colOff>
      <xdr:row>39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8259" y="6125210"/>
          <a:ext cx="4491845" cy="2156460"/>
        </a:xfrm>
        <a:prstGeom prst="rect">
          <a:avLst/>
        </a:prstGeom>
      </xdr:spPr>
    </xdr:pic>
    <xdr:clientData/>
  </xdr:twoCellAnchor>
  <xdr:twoCellAnchor>
    <xdr:from>
      <xdr:col>7</xdr:col>
      <xdr:colOff>304800</xdr:colOff>
      <xdr:row>30</xdr:row>
      <xdr:rowOff>60960</xdr:rowOff>
    </xdr:from>
    <xdr:to>
      <xdr:col>9</xdr:col>
      <xdr:colOff>508000</xdr:colOff>
      <xdr:row>32</xdr:row>
      <xdr:rowOff>142240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827520" y="6532880"/>
          <a:ext cx="2692400" cy="447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REFERENCE:SUPER Pro DESIGNER</a:t>
          </a:r>
        </a:p>
        <a:p>
          <a:pPr algn="ctr"/>
          <a:r>
            <a:rPr lang="en-US" sz="1100"/>
            <a:t>case study Ethanol</a:t>
          </a:r>
        </a:p>
      </xdr:txBody>
    </xdr:sp>
    <xdr:clientData/>
  </xdr:twoCellAnchor>
  <xdr:twoCellAnchor editAs="oneCell">
    <xdr:from>
      <xdr:col>14</xdr:col>
      <xdr:colOff>731520</xdr:colOff>
      <xdr:row>40</xdr:row>
      <xdr:rowOff>81280</xdr:rowOff>
    </xdr:from>
    <xdr:to>
      <xdr:col>15</xdr:col>
      <xdr:colOff>495433</xdr:colOff>
      <xdr:row>42</xdr:row>
      <xdr:rowOff>149898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56560" y="8382000"/>
          <a:ext cx="1531753" cy="434378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28</xdr:row>
      <xdr:rowOff>57150</xdr:rowOff>
    </xdr:from>
    <xdr:to>
      <xdr:col>18</xdr:col>
      <xdr:colOff>522434</xdr:colOff>
      <xdr:row>39</xdr:row>
      <xdr:rowOff>30480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40200" y="6096000"/>
          <a:ext cx="4561034" cy="2114550"/>
        </a:xfrm>
        <a:prstGeom prst="rect">
          <a:avLst/>
        </a:prstGeom>
      </xdr:spPr>
    </xdr:pic>
    <xdr:clientData/>
  </xdr:twoCellAnchor>
  <xdr:twoCellAnchor editAs="oneCell">
    <xdr:from>
      <xdr:col>0</xdr:col>
      <xdr:colOff>155414</xdr:colOff>
      <xdr:row>31</xdr:row>
      <xdr:rowOff>138501</xdr:rowOff>
    </xdr:from>
    <xdr:to>
      <xdr:col>4</xdr:col>
      <xdr:colOff>851175</xdr:colOff>
      <xdr:row>54</xdr:row>
      <xdr:rowOff>77748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414" y="679838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14</xdr:col>
      <xdr:colOff>231614</xdr:colOff>
      <xdr:row>56</xdr:row>
      <xdr:rowOff>108021</xdr:rowOff>
    </xdr:from>
    <xdr:to>
      <xdr:col>16</xdr:col>
      <xdr:colOff>546375</xdr:colOff>
      <xdr:row>80</xdr:row>
      <xdr:rowOff>47268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2534" y="1153802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66</xdr:row>
      <xdr:rowOff>60960</xdr:rowOff>
    </xdr:from>
    <xdr:to>
      <xdr:col>8</xdr:col>
      <xdr:colOff>978429</xdr:colOff>
      <xdr:row>86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83480" y="13319760"/>
          <a:ext cx="3980709" cy="36576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66</xdr:row>
      <xdr:rowOff>124356</xdr:rowOff>
    </xdr:from>
    <xdr:to>
      <xdr:col>12</xdr:col>
      <xdr:colOff>1554480</xdr:colOff>
      <xdr:row>86</xdr:row>
      <xdr:rowOff>175426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65920" y="13383156"/>
          <a:ext cx="4480560" cy="37239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26382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89978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215984</xdr:colOff>
      <xdr:row>64</xdr:row>
      <xdr:rowOff>124975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713985</xdr:colOff>
      <xdr:row>34</xdr:row>
      <xdr:rowOff>124800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41567959" y="14507210"/>
          <a:ext cx="3865530" cy="1477458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873760</xdr:colOff>
      <xdr:row>46</xdr:row>
      <xdr:rowOff>91440</xdr:rowOff>
    </xdr:from>
    <xdr:to>
      <xdr:col>12</xdr:col>
      <xdr:colOff>508000</xdr:colOff>
      <xdr:row>63</xdr:row>
      <xdr:rowOff>162560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06693" y="9514840"/>
          <a:ext cx="10573174" cy="3339253"/>
          <a:chOff x="1168400" y="8310880"/>
          <a:chExt cx="8768080" cy="22656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3393440" y="831088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97877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14</xdr:row>
      <xdr:rowOff>121920</xdr:rowOff>
    </xdr:from>
    <xdr:to>
      <xdr:col>16</xdr:col>
      <xdr:colOff>305207</xdr:colOff>
      <xdr:row>23</xdr:row>
      <xdr:rowOff>48436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9360" y="3007360"/>
          <a:ext cx="4704487" cy="2029636"/>
        </a:xfrm>
        <a:prstGeom prst="rect">
          <a:avLst/>
        </a:prstGeom>
      </xdr:spPr>
    </xdr:pic>
    <xdr:clientData/>
  </xdr:twoCellAnchor>
  <xdr:twoCellAnchor>
    <xdr:from>
      <xdr:col>18</xdr:col>
      <xdr:colOff>668020</xdr:colOff>
      <xdr:row>26</xdr:row>
      <xdr:rowOff>35560</xdr:rowOff>
    </xdr:from>
    <xdr:to>
      <xdr:col>20</xdr:col>
      <xdr:colOff>271780</xdr:colOff>
      <xdr:row>30</xdr:row>
      <xdr:rowOff>172720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21019770" y="56616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Just</a:t>
          </a:r>
          <a:r>
            <a:rPr lang="en-US" sz="1100" baseline="0">
              <a:solidFill>
                <a:srgbClr val="FF0000"/>
              </a:solidFill>
            </a:rPr>
            <a:t> to make it easier for ourselfs, lets assume that biomass is compleetly serparate from the broth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579120</xdr:colOff>
      <xdr:row>21</xdr:row>
      <xdr:rowOff>130810</xdr:rowOff>
    </xdr:from>
    <xdr:to>
      <xdr:col>20</xdr:col>
      <xdr:colOff>182880</xdr:colOff>
      <xdr:row>25</xdr:row>
      <xdr:rowOff>140970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0930870" y="46075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85%</a:t>
          </a:r>
          <a:r>
            <a:rPr lang="en-US" sz="1100" baseline="0">
              <a:solidFill>
                <a:srgbClr val="FF0000"/>
              </a:solidFill>
            </a:rPr>
            <a:t> water fraction </a:t>
          </a:r>
        </a:p>
        <a:p>
          <a:r>
            <a:rPr lang="en-US" sz="1100" baseline="0">
              <a:solidFill>
                <a:srgbClr val="FF0000"/>
              </a:solidFill>
            </a:rPr>
            <a:t>15% retained in solids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132080</xdr:colOff>
      <xdr:row>36</xdr:row>
      <xdr:rowOff>20320</xdr:rowOff>
    </xdr:from>
    <xdr:to>
      <xdr:col>9</xdr:col>
      <xdr:colOff>538480</xdr:colOff>
      <xdr:row>48</xdr:row>
      <xdr:rowOff>20320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692997" y="7545070"/>
          <a:ext cx="8756650" cy="2233083"/>
          <a:chOff x="1168400" y="8270240"/>
          <a:chExt cx="8768080" cy="226568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4663440" y="827024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6</xdr:col>
      <xdr:colOff>487680</xdr:colOff>
      <xdr:row>28</xdr:row>
      <xdr:rowOff>142240</xdr:rowOff>
    </xdr:from>
    <xdr:to>
      <xdr:col>11</xdr:col>
      <xdr:colOff>435189</xdr:colOff>
      <xdr:row>49</xdr:row>
      <xdr:rowOff>12963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0240" y="6248400"/>
          <a:ext cx="5573609" cy="3815343"/>
        </a:xfrm>
        <a:prstGeom prst="rect">
          <a:avLst/>
        </a:prstGeom>
      </xdr:spPr>
    </xdr:pic>
    <xdr:clientData/>
  </xdr:twoCellAnchor>
  <xdr:twoCellAnchor>
    <xdr:from>
      <xdr:col>12</xdr:col>
      <xdr:colOff>355600</xdr:colOff>
      <xdr:row>29</xdr:row>
      <xdr:rowOff>20320</xdr:rowOff>
    </xdr:from>
    <xdr:to>
      <xdr:col>13</xdr:col>
      <xdr:colOff>406400</xdr:colOff>
      <xdr:row>31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2273280" y="6309360"/>
          <a:ext cx="1778000" cy="467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SEE Process MCF  400 </a:t>
          </a:r>
        </a:p>
      </xdr:txBody>
    </xdr:sp>
    <xdr:clientData/>
  </xdr:twoCellAnchor>
  <xdr:twoCellAnchor>
    <xdr:from>
      <xdr:col>22</xdr:col>
      <xdr:colOff>111760</xdr:colOff>
      <xdr:row>12</xdr:row>
      <xdr:rowOff>40640</xdr:rowOff>
    </xdr:from>
    <xdr:to>
      <xdr:col>24</xdr:col>
      <xdr:colOff>314960</xdr:colOff>
      <xdr:row>17</xdr:row>
      <xdr:rowOff>111760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4719280" y="2458720"/>
          <a:ext cx="2682240" cy="1239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</a:t>
          </a:r>
          <a:r>
            <a:rPr lang="en-US" sz="1100" baseline="0"/>
            <a:t> to have to dillute again probably, find numbers please </a:t>
          </a:r>
        </a:p>
        <a:p>
          <a:r>
            <a:rPr lang="en-US" sz="1100" baseline="0"/>
            <a:t>water = 22</a:t>
          </a:r>
        </a:p>
        <a:p>
          <a:endParaRPr lang="en-US" sz="1100"/>
        </a:p>
        <a:p>
          <a:r>
            <a:rPr lang="en-US" sz="1100"/>
            <a:t>just use the juice from the previous MCF!</a:t>
          </a:r>
        </a:p>
        <a:p>
          <a:r>
            <a:rPr lang="en-US" sz="1100"/>
            <a:t>no</a:t>
          </a:r>
          <a:r>
            <a:rPr lang="en-US" sz="1100" baseline="0"/>
            <a:t> need to add water I belive </a:t>
          </a:r>
          <a:endParaRPr lang="en-US" sz="1100"/>
        </a:p>
      </xdr:txBody>
    </xdr:sp>
    <xdr:clientData/>
  </xdr:twoCellAnchor>
  <xdr:twoCellAnchor>
    <xdr:from>
      <xdr:col>27</xdr:col>
      <xdr:colOff>731520</xdr:colOff>
      <xdr:row>13</xdr:row>
      <xdr:rowOff>60960</xdr:rowOff>
    </xdr:from>
    <xdr:to>
      <xdr:col>30</xdr:col>
      <xdr:colOff>711200</xdr:colOff>
      <xdr:row>15</xdr:row>
      <xdr:rowOff>223520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31353760" y="2712720"/>
          <a:ext cx="2682240" cy="629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 TSS/VSS</a:t>
          </a:r>
          <a:r>
            <a:rPr lang="en-US" sz="1100" baseline="0"/>
            <a:t> vs water </a:t>
          </a:r>
        </a:p>
        <a:p>
          <a:r>
            <a:rPr lang="en-US" sz="1100" baseline="0"/>
            <a:t>water = 22</a:t>
          </a:r>
          <a:endParaRPr lang="en-US" sz="1100"/>
        </a:p>
      </xdr:txBody>
    </xdr:sp>
    <xdr:clientData/>
  </xdr:twoCellAnchor>
  <xdr:twoCellAnchor>
    <xdr:from>
      <xdr:col>32</xdr:col>
      <xdr:colOff>560917</xdr:colOff>
      <xdr:row>13</xdr:row>
      <xdr:rowOff>192615</xdr:rowOff>
    </xdr:from>
    <xdr:to>
      <xdr:col>35</xdr:col>
      <xdr:colOff>252730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9243000" y="2827865"/>
          <a:ext cx="2496397" cy="15007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0.35 gMP/gCOD_broth</a:t>
          </a:r>
        </a:p>
        <a:p>
          <a:endParaRPr lang="en-US" sz="1100"/>
        </a:p>
        <a:p>
          <a:r>
            <a:rPr lang="en-US" sz="1100"/>
            <a:t>0.25 to 0.5 would be the range </a:t>
          </a:r>
        </a:p>
        <a:p>
          <a:endParaRPr lang="en-US" sz="1100"/>
        </a:p>
        <a:p>
          <a:r>
            <a:rPr lang="en-US" sz="1100"/>
            <a:t>find</a:t>
          </a:r>
          <a:r>
            <a:rPr lang="en-US" sz="1100" baseline="0"/>
            <a:t> COD propionate as close axproimation </a:t>
          </a:r>
        </a:p>
        <a:p>
          <a:endParaRPr lang="en-US" sz="1100" baseline="0"/>
        </a:p>
        <a:p>
          <a:r>
            <a:rPr lang="en-US" sz="1100" baseline="0"/>
            <a:t>convert to g/g/</a:t>
          </a:r>
        </a:p>
        <a:p>
          <a:endParaRPr lang="en-US" sz="1100" baseline="0"/>
        </a:p>
        <a:p>
          <a:r>
            <a:rPr lang="en-US" sz="1100" baseline="0"/>
            <a:t>correct mass blanaces </a:t>
          </a:r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619760</xdr:colOff>
      <xdr:row>50</xdr:row>
      <xdr:rowOff>172720</xdr:rowOff>
    </xdr:from>
    <xdr:to>
      <xdr:col>12</xdr:col>
      <xdr:colOff>39437</xdr:colOff>
      <xdr:row>62</xdr:row>
      <xdr:rowOff>182079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14720" y="10424160"/>
          <a:ext cx="6094797" cy="2285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Fermentation time??  ask Michael</a:t>
          </a:r>
          <a:r>
            <a:rPr lang="en-US" sz="1100" baseline="0">
              <a:solidFill>
                <a:srgbClr val="FF0000"/>
              </a:solidFill>
            </a:rPr>
            <a:t> - &gt; open fermentations take more or less 3days (retention time)</a:t>
          </a:r>
        </a:p>
        <a:p>
          <a:endParaRPr lang="en-US" sz="1100" b="0" i="0" u="none" strike="noStrike" baseline="0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SOURCE OF UNCERTAINTY the residence time!!  1day to 3day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</a:t>
          </a: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24h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24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7</xdr:col>
      <xdr:colOff>0</xdr:colOff>
      <xdr:row>29</xdr:row>
      <xdr:rowOff>172720</xdr:rowOff>
    </xdr:from>
    <xdr:to>
      <xdr:col>11</xdr:col>
      <xdr:colOff>162560</xdr:colOff>
      <xdr:row>39</xdr:row>
      <xdr:rowOff>172878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74" r="4175"/>
        <a:stretch/>
      </xdr:blipFill>
      <xdr:spPr>
        <a:xfrm>
          <a:off x="6271260" y="6405880"/>
          <a:ext cx="4734560" cy="1828958"/>
        </a:xfrm>
        <a:prstGeom prst="rect">
          <a:avLst/>
        </a:prstGeom>
      </xdr:spPr>
    </xdr:pic>
    <xdr:clientData/>
  </xdr:twoCellAnchor>
  <xdr:twoCellAnchor>
    <xdr:from>
      <xdr:col>18</xdr:col>
      <xdr:colOff>111760</xdr:colOff>
      <xdr:row>2</xdr:row>
      <xdr:rowOff>91440</xdr:rowOff>
    </xdr:from>
    <xdr:to>
      <xdr:col>20</xdr:col>
      <xdr:colOff>558800</xdr:colOff>
      <xdr:row>6</xdr:row>
      <xdr:rowOff>111760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20431760" y="30480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Considering</a:t>
          </a:r>
          <a:r>
            <a:rPr lang="en-US" sz="1100" baseline="0">
              <a:solidFill>
                <a:srgbClr val="FF0000"/>
              </a:solidFill>
            </a:rPr>
            <a:t> the same extraction efficientcy of water as protein production of proteins from potatopeels!!! process 115</a:t>
          </a:r>
        </a:p>
        <a:p>
          <a:r>
            <a:rPr lang="en-US" sz="1100" baseline="0">
              <a:solidFill>
                <a:srgbClr val="FF0000"/>
              </a:solidFill>
            </a:rPr>
            <a:t>ask michial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406400</xdr:colOff>
      <xdr:row>47</xdr:row>
      <xdr:rowOff>132080</xdr:rowOff>
    </xdr:from>
    <xdr:to>
      <xdr:col>10</xdr:col>
      <xdr:colOff>386080</xdr:colOff>
      <xdr:row>59</xdr:row>
      <xdr:rowOff>172720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442720" y="9763760"/>
          <a:ext cx="8768080" cy="2377440"/>
          <a:chOff x="1168400" y="8321040"/>
          <a:chExt cx="8768080" cy="237744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6096000" y="84328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111760</xdr:colOff>
      <xdr:row>15</xdr:row>
      <xdr:rowOff>152400</xdr:rowOff>
    </xdr:from>
    <xdr:to>
      <xdr:col>20</xdr:col>
      <xdr:colOff>558800</xdr:colOff>
      <xdr:row>18</xdr:row>
      <xdr:rowOff>203200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20431760" y="3271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rgbClr val="FF0000"/>
              </a:solidFill>
            </a:rPr>
            <a:t>start from 1% dry matter </a:t>
          </a:r>
        </a:p>
        <a:p>
          <a:r>
            <a:rPr lang="en-US" sz="1100" baseline="0">
              <a:solidFill>
                <a:srgbClr val="FF0000"/>
              </a:solidFill>
            </a:rPr>
            <a:t>centrifugation -&gt; 10% dry matter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453130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6000" y="661416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10</xdr:col>
      <xdr:colOff>980864</xdr:colOff>
      <xdr:row>34</xdr:row>
      <xdr:rowOff>106779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1720" y="6141720"/>
          <a:ext cx="4879764" cy="113547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388849</xdr:colOff>
      <xdr:row>47</xdr:row>
      <xdr:rowOff>147555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8780" y="705104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691297</xdr:colOff>
      <xdr:row>32</xdr:row>
      <xdr:rowOff>86421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8360" y="6182360"/>
          <a:ext cx="4806097" cy="701101"/>
        </a:xfrm>
        <a:prstGeom prst="rect">
          <a:avLst/>
        </a:prstGeom>
      </xdr:spPr>
    </xdr:pic>
    <xdr:clientData/>
  </xdr:twoCellAnchor>
  <xdr:twoCellAnchor>
    <xdr:from>
      <xdr:col>18</xdr:col>
      <xdr:colOff>40640</xdr:colOff>
      <xdr:row>2</xdr:row>
      <xdr:rowOff>10160</xdr:rowOff>
    </xdr:from>
    <xdr:to>
      <xdr:col>20</xdr:col>
      <xdr:colOff>487680</xdr:colOff>
      <xdr:row>6</xdr:row>
      <xdr:rowOff>30480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20482560" y="223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Considering</a:t>
          </a:r>
          <a:r>
            <a:rPr lang="en-US" sz="1100" baseline="0"/>
            <a:t> the same extraction efficientcy of water as protein production from potatopeels!!! process 119</a:t>
          </a:r>
        </a:p>
        <a:p>
          <a:endParaRPr lang="en-US" sz="1100"/>
        </a:p>
      </xdr:txBody>
    </xdr:sp>
    <xdr:clientData/>
  </xdr:twoCellAnchor>
  <xdr:twoCellAnchor>
    <xdr:from>
      <xdr:col>2</xdr:col>
      <xdr:colOff>396240</xdr:colOff>
      <xdr:row>54</xdr:row>
      <xdr:rowOff>81280</xdr:rowOff>
    </xdr:from>
    <xdr:to>
      <xdr:col>9</xdr:col>
      <xdr:colOff>833120</xdr:colOff>
      <xdr:row>67</xdr:row>
      <xdr:rowOff>30480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965200" y="11186160"/>
          <a:ext cx="8890000" cy="2326640"/>
          <a:chOff x="1168400" y="8321040"/>
          <a:chExt cx="8768080" cy="232664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7559040" y="83820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345722</xdr:colOff>
      <xdr:row>34</xdr:row>
      <xdr:rowOff>53643</xdr:rowOff>
    </xdr:from>
    <xdr:to>
      <xdr:col>4</xdr:col>
      <xdr:colOff>1366378</xdr:colOff>
      <xdr:row>44</xdr:row>
      <xdr:rowOff>73096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89" y="7151532"/>
          <a:ext cx="3244285" cy="1848817"/>
        </a:xfrm>
        <a:prstGeom prst="rect">
          <a:avLst/>
        </a:prstGeom>
      </xdr:spPr>
    </xdr:pic>
    <xdr:clientData/>
  </xdr:twoCellAnchor>
  <xdr:twoCellAnchor editAs="oneCell">
    <xdr:from>
      <xdr:col>8</xdr:col>
      <xdr:colOff>367631</xdr:colOff>
      <xdr:row>34</xdr:row>
      <xdr:rowOff>33421</xdr:rowOff>
    </xdr:from>
    <xdr:to>
      <xdr:col>13</xdr:col>
      <xdr:colOff>115797</xdr:colOff>
      <xdr:row>47</xdr:row>
      <xdr:rowOff>115499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7105" y="7135395"/>
          <a:ext cx="5736885" cy="25134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147736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4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453102</xdr:colOff>
      <xdr:row>59</xdr:row>
      <xdr:rowOff>110160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647349</xdr:colOff>
      <xdr:row>58</xdr:row>
      <xdr:rowOff>148884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13</xdr:col>
      <xdr:colOff>79142</xdr:colOff>
      <xdr:row>143</xdr:row>
      <xdr:rowOff>111731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9167889" y="1180737"/>
          <a:ext cx="3214217" cy="835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40</xdr:row>
      <xdr:rowOff>93799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14203952" y="4303758"/>
          <a:ext cx="3469013" cy="33795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40</xdr:row>
      <xdr:rowOff>96974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17814109" y="4300583"/>
          <a:ext cx="4087503" cy="3385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41</xdr:row>
      <xdr:rowOff>77197</xdr:rowOff>
    </xdr:from>
    <xdr:to>
      <xdr:col>13</xdr:col>
      <xdr:colOff>654506</xdr:colOff>
      <xdr:row>65</xdr:row>
      <xdr:rowOff>59418</xdr:rowOff>
    </xdr:to>
    <xdr:sp macro="" textlink="">
      <xdr:nvSpPr>
        <xdr:cNvPr id="5" name="CuadroTexto 3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14335491" y="7849597"/>
          <a:ext cx="2450555" cy="4653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53</xdr:row>
      <xdr:rowOff>141515</xdr:rowOff>
    </xdr:from>
    <xdr:to>
      <xdr:col>30</xdr:col>
      <xdr:colOff>263523</xdr:colOff>
      <xdr:row>77</xdr:row>
      <xdr:rowOff>73480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1666" y="10390415"/>
          <a:ext cx="9999887" cy="4319814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81</xdr:row>
      <xdr:rowOff>151127</xdr:rowOff>
    </xdr:from>
    <xdr:to>
      <xdr:col>18</xdr:col>
      <xdr:colOff>580729</xdr:colOff>
      <xdr:row>95</xdr:row>
      <xdr:rowOff>54427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pSpPr/>
      </xdr:nvGrpSpPr>
      <xdr:grpSpPr>
        <a:xfrm>
          <a:off x="14361226" y="15294145"/>
          <a:ext cx="2997358" cy="2424827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9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\PycharmProjects\OUTDOOR_USC\examples\Excel_files\potato_peel_case_study.xlsm" TargetMode="External"/><Relationship Id="rId1" Type="http://schemas.openxmlformats.org/officeDocument/2006/relationships/externalLinkPath" Target="potato_peel_case_stud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inding (100)"/>
      <sheetName val="Centrigugation (101)"/>
      <sheetName val="Coagulation.Prot (110)"/>
      <sheetName val="Belt.Filtr.Prot(115)"/>
      <sheetName val="Rotary.drying.prot(119)"/>
      <sheetName val="centrifugal.Siv(120)"/>
      <sheetName val="Belt.Filtr.Fiber(130)"/>
      <sheetName val="Rot.dry.Fiber(135)"/>
      <sheetName val="Starch.Washing(140)"/>
      <sheetName val="Vacu.Fil(145)"/>
      <sheetName val="starch.dry(149)"/>
      <sheetName val="Hydrolysis (200)"/>
      <sheetName val="Ethanol.Ferm,(210)"/>
      <sheetName val="Distillation.ethoh(230)"/>
      <sheetName val="SC-CO2 (300)"/>
      <sheetName val="Phenolic.recv (320)"/>
      <sheetName val="MCF (400)"/>
      <sheetName val="PHA accumulation (420)"/>
      <sheetName val="Centrifuge(430)"/>
      <sheetName val="Digestion(435)"/>
      <sheetName val="Filration(438)"/>
      <sheetName val="Washing (440)"/>
      <sheetName val="Filration(450)"/>
      <sheetName val="Spray.Dry.PHA(490)"/>
      <sheetName val="pasturisation+Decanting (500)"/>
      <sheetName val="MP.Ferm,(510)"/>
      <sheetName val="Dewatering.MP(520)"/>
      <sheetName val="Spray.Dry.MP(550)"/>
      <sheetName val="Template_PhysicalProcess"/>
      <sheetName val="Template_StoichReactor"/>
      <sheetName val="Template_ElGenerator"/>
      <sheetName val="Template_SteamGenerator"/>
      <sheetName val="Anaerobic Digestor (600)"/>
      <sheetName val="BG.upgrad.(610)"/>
      <sheetName val="CHP (700)"/>
      <sheetName val="Composting (800)"/>
      <sheetName val="Extrusion (900)"/>
      <sheetName val="Uncertainty_test_idea"/>
      <sheetName val="Uncertainty_old"/>
      <sheetName val="DataBank"/>
      <sheetName val="Systemblatt"/>
      <sheetName val="Pools"/>
      <sheetName val="Sources"/>
      <sheetName val="Distributor"/>
      <sheetName val="Uncertainty"/>
      <sheetName val="Sensitivity"/>
      <sheetName val="Template_YieldReac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17">
          <cell r="Y17" t="str">
            <v>Split factors (myu)</v>
          </cell>
        </row>
        <row r="19">
          <cell r="Y19" t="str">
            <v>Conversion factor (theta)</v>
          </cell>
        </row>
        <row r="20">
          <cell r="Y20" t="str">
            <v>Stoichiometric factor (gamma)</v>
          </cell>
        </row>
        <row r="22">
          <cell r="Y22" t="str">
            <v>Costs (materialcosts)</v>
          </cell>
        </row>
        <row r="23">
          <cell r="Y23" t="str">
            <v>Price (ProductPrice)</v>
          </cell>
        </row>
        <row r="24">
          <cell r="Y24" t="str">
            <v>electricity_price</v>
          </cell>
        </row>
        <row r="25">
          <cell r="Y25" t="str">
            <v>heat_price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hal.science/hal-01611995/file/separation-efficiency-and-energy-consumption-of-oil-expression%20.pdf" TargetMode="External"/><Relationship Id="rId1" Type="http://schemas.openxmlformats.org/officeDocument/2006/relationships/hyperlink" Target="https://kindle-tech.com/faqs/how-much-energy-does-a-filter-press-use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7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8.xm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www.sigmaaldrich.com/NL/en/product/sigma/c2730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A28" zoomScale="75" zoomScaleNormal="47" workbookViewId="0">
      <selection activeCell="V19" sqref="V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408</v>
      </c>
      <c r="F10" s="198" t="s">
        <v>169</v>
      </c>
      <c r="G10" s="5"/>
      <c r="H10" s="62"/>
      <c r="I10" s="63"/>
      <c r="J10" s="201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5" t="s">
        <v>296</v>
      </c>
      <c r="U10" s="362">
        <v>1</v>
      </c>
      <c r="V10" s="363" t="s">
        <v>412</v>
      </c>
      <c r="W10" s="132">
        <v>11</v>
      </c>
      <c r="X10" s="78">
        <v>888</v>
      </c>
      <c r="Y10" s="133"/>
      <c r="Z10" s="131"/>
      <c r="AA10" s="364" t="s">
        <v>413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198" t="s">
        <v>169</v>
      </c>
      <c r="G11" s="5"/>
      <c r="H11" s="64" t="s">
        <v>64</v>
      </c>
      <c r="I11" s="99">
        <v>0.26300000000000001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6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250</v>
      </c>
      <c r="J12" s="198" t="str">
        <f>J15</f>
        <v>t/h</v>
      </c>
      <c r="K12" s="5"/>
      <c r="L12" s="5"/>
      <c r="M12" s="229" t="s">
        <v>74</v>
      </c>
      <c r="N12" s="225" t="s">
        <v>296</v>
      </c>
      <c r="O12" s="169"/>
      <c r="P12" s="170"/>
      <c r="Q12" s="171"/>
      <c r="R12" s="5"/>
      <c r="S12" s="97">
        <v>888</v>
      </c>
      <c r="T12" s="226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62">
        <v>0.6</v>
      </c>
      <c r="J13" s="198" t="s">
        <v>169</v>
      </c>
      <c r="K13" s="5"/>
      <c r="L13" s="5"/>
      <c r="M13" s="230"/>
      <c r="N13" s="226" t="s">
        <v>163</v>
      </c>
      <c r="O13" s="70"/>
      <c r="P13" s="70"/>
      <c r="Q13" s="65"/>
      <c r="R13" s="5"/>
      <c r="S13" s="97">
        <v>888</v>
      </c>
      <c r="T13" s="226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2017</v>
      </c>
      <c r="J14" s="198" t="s">
        <v>181</v>
      </c>
      <c r="K14" s="5"/>
      <c r="L14" s="5"/>
      <c r="M14" s="231"/>
      <c r="N14" s="226" t="s">
        <v>164</v>
      </c>
      <c r="O14" s="74"/>
      <c r="P14" s="74"/>
      <c r="Q14" s="77"/>
      <c r="R14" s="5"/>
      <c r="S14" s="97">
        <v>888</v>
      </c>
      <c r="T14" s="226" t="s">
        <v>466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226" t="s">
        <v>161</v>
      </c>
      <c r="O15" s="74"/>
      <c r="P15" s="74"/>
      <c r="Q15" s="77"/>
      <c r="R15" s="5"/>
      <c r="S15" s="97">
        <v>888</v>
      </c>
      <c r="T15" s="226" t="s">
        <v>506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226" t="s">
        <v>466</v>
      </c>
      <c r="O16" s="74"/>
      <c r="P16" s="74"/>
      <c r="Q16" s="77"/>
      <c r="R16" s="5"/>
      <c r="S16" s="103">
        <v>888</v>
      </c>
      <c r="T16" s="226" t="s">
        <v>505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226" t="s">
        <v>506</v>
      </c>
      <c r="O17" s="74"/>
      <c r="P17" s="74"/>
      <c r="Q17" s="77"/>
      <c r="R17" s="5"/>
      <c r="S17" s="103">
        <v>888</v>
      </c>
      <c r="T17" s="226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226" t="s">
        <v>505</v>
      </c>
      <c r="O18" s="74"/>
      <c r="P18" s="74"/>
      <c r="Q18" s="77"/>
      <c r="R18" s="5"/>
      <c r="S18" s="103">
        <v>888</v>
      </c>
      <c r="T18" s="226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161</v>
      </c>
      <c r="J19" s="198" t="s">
        <v>169</v>
      </c>
      <c r="K19" s="5"/>
      <c r="L19" s="5"/>
      <c r="M19" s="231"/>
      <c r="N19" s="226" t="s">
        <v>298</v>
      </c>
      <c r="O19" s="74"/>
      <c r="P19" s="74"/>
      <c r="Q19" s="77"/>
      <c r="R19" s="5"/>
      <c r="S19" s="103">
        <v>888</v>
      </c>
      <c r="T19" s="226" t="s">
        <v>507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466</v>
      </c>
      <c r="J20" s="198" t="s">
        <v>169</v>
      </c>
      <c r="K20" s="5"/>
      <c r="L20" s="5"/>
      <c r="M20" s="227"/>
      <c r="N20" s="226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506</v>
      </c>
      <c r="J21" s="198" t="s">
        <v>169</v>
      </c>
      <c r="K21" s="5"/>
      <c r="L21" s="5"/>
      <c r="M21" s="227"/>
      <c r="N21" s="226" t="s">
        <v>507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505</v>
      </c>
      <c r="J22" s="198" t="s">
        <v>169</v>
      </c>
      <c r="K22" s="5"/>
      <c r="L22" s="5"/>
      <c r="M22" s="227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298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6" t="s">
        <v>14</v>
      </c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460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459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1" t="s">
        <v>409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61" t="s">
        <v>411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60" t="s">
        <v>410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A4" zoomScale="58" zoomScaleNormal="58" workbookViewId="0">
      <selection activeCell="I43" sqref="I4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540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232" t="s">
        <v>72</v>
      </c>
      <c r="N10" s="169"/>
      <c r="O10" s="169">
        <v>100</v>
      </c>
      <c r="P10" s="170"/>
      <c r="Q10" s="171"/>
      <c r="R10" s="5" t="s">
        <v>547</v>
      </c>
      <c r="S10" s="97">
        <v>111</v>
      </c>
      <c r="T10" s="98" t="s">
        <v>298</v>
      </c>
      <c r="U10" s="99">
        <v>1</v>
      </c>
      <c r="V10" s="70"/>
      <c r="W10" s="132">
        <v>88</v>
      </c>
      <c r="X10" s="78">
        <v>111</v>
      </c>
      <c r="Y10" s="133"/>
      <c r="Z10" s="131"/>
      <c r="AA10" s="70"/>
      <c r="AB10" s="130" t="s">
        <v>12</v>
      </c>
      <c r="AC10" s="78" t="s">
        <v>565</v>
      </c>
      <c r="AD10" s="133" t="s">
        <v>12</v>
      </c>
      <c r="AE10" s="78" t="s">
        <v>298</v>
      </c>
      <c r="AF10" s="131">
        <f>2/1000</f>
        <v>2E-3</v>
      </c>
      <c r="AG10" s="114"/>
      <c r="AH10" s="379" t="s">
        <v>298</v>
      </c>
      <c r="AI10" s="493">
        <v>14</v>
      </c>
      <c r="AJ10" s="121">
        <v>-1</v>
      </c>
      <c r="AK10" s="109"/>
      <c r="AL10" s="475">
        <v>14</v>
      </c>
      <c r="AM10" s="476" t="s">
        <v>298</v>
      </c>
      <c r="AN10" s="47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198" t="s">
        <v>169</v>
      </c>
      <c r="G11" s="5"/>
      <c r="H11" s="64" t="s">
        <v>64</v>
      </c>
      <c r="I11" s="99">
        <f>75000/1000000</f>
        <v>7.4999999999999997E-2</v>
      </c>
      <c r="J11" s="198" t="s">
        <v>178</v>
      </c>
      <c r="K11" s="74"/>
      <c r="L11" s="74"/>
      <c r="M11" s="233" t="s">
        <v>73</v>
      </c>
      <c r="N11" s="119"/>
      <c r="O11" s="119" t="s">
        <v>118</v>
      </c>
      <c r="P11" s="74"/>
      <c r="Q11" s="121"/>
      <c r="R11" s="5" t="s">
        <v>179</v>
      </c>
      <c r="S11" s="97">
        <v>111</v>
      </c>
      <c r="T11" s="98" t="s">
        <v>466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466</v>
      </c>
      <c r="AN11" s="478">
        <v>0.7</v>
      </c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304">
        <f>H62</f>
        <v>0.1</v>
      </c>
      <c r="J12" s="198" t="str">
        <f>J15</f>
        <v>t/h</v>
      </c>
      <c r="K12" s="74"/>
      <c r="L12" s="74"/>
      <c r="M12" s="229" t="s">
        <v>74</v>
      </c>
      <c r="N12" s="234"/>
      <c r="O12" s="169" t="s">
        <v>14</v>
      </c>
      <c r="P12" s="170"/>
      <c r="Q12" s="171"/>
      <c r="R12" s="108"/>
      <c r="S12" s="97">
        <v>111</v>
      </c>
      <c r="T12" s="119" t="s">
        <v>505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9" t="s">
        <v>466</v>
      </c>
      <c r="AI12" s="435">
        <v>15</v>
      </c>
      <c r="AJ12" s="121">
        <v>-1</v>
      </c>
      <c r="AK12" s="109"/>
      <c r="AL12" s="104">
        <v>16</v>
      </c>
      <c r="AM12" s="6" t="s">
        <v>505</v>
      </c>
      <c r="AN12" s="478">
        <v>0.7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97">
        <v>111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111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9" t="s">
        <v>505</v>
      </c>
      <c r="AI14" s="435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97">
        <v>111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111</v>
      </c>
      <c r="T16" s="70" t="s">
        <v>506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296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97">
        <v>111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173</v>
      </c>
      <c r="G18" s="5"/>
      <c r="H18" s="72"/>
      <c r="I18" s="226" t="s">
        <v>163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111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111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 t="s">
        <v>466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505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506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164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6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6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541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5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6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6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6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6" t="s">
        <v>466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6" t="s">
        <v>506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6" t="s">
        <v>505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6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6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6" t="s">
        <v>507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44" t="s">
        <v>546</v>
      </c>
      <c r="I56" s="445"/>
      <c r="J56" s="445"/>
      <c r="K56" s="446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47">
        <v>3</v>
      </c>
      <c r="I57" s="448" t="s">
        <v>422</v>
      </c>
      <c r="J57" s="448"/>
      <c r="K57" s="449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47">
        <v>1</v>
      </c>
      <c r="I58" s="448" t="s">
        <v>545</v>
      </c>
      <c r="J58" s="448"/>
      <c r="K58" s="449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47">
        <v>30</v>
      </c>
      <c r="I59" s="448" t="s">
        <v>542</v>
      </c>
      <c r="J59" s="448" t="s">
        <v>543</v>
      </c>
      <c r="K59" s="449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47"/>
      <c r="I60" s="448"/>
      <c r="J60" s="448"/>
      <c r="K60" s="449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47" t="s">
        <v>544</v>
      </c>
      <c r="I61" s="448"/>
      <c r="J61" s="448"/>
      <c r="K61" s="449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50">
        <f xml:space="preserve"> H57/H59</f>
        <v>0.1</v>
      </c>
      <c r="I62" s="448" t="s">
        <v>179</v>
      </c>
      <c r="J62" s="448"/>
      <c r="K62" s="449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51"/>
      <c r="I63" s="452"/>
      <c r="J63" s="452"/>
      <c r="K63" s="453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61511D94-4622-4959-B4EF-377E018E3F86}">
          <x14:formula1>
            <xm:f>Sources!$E$7:$L$7</xm:f>
          </x14:formula1>
          <xm:sqref>W11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3692B-218D-4448-B4E5-E221D42A048C}">
  <sheetPr codeName="Tabelle68">
    <tabColor theme="5" tint="0.39997558519241921"/>
  </sheetPr>
  <dimension ref="C1:AS130"/>
  <sheetViews>
    <sheetView topLeftCell="A18" zoomScale="58" zoomScaleNormal="58" workbookViewId="0">
      <selection activeCell="AH12" sqref="AH12:AJ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7.10937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2" width="10.77734375" style="3"/>
    <col min="43" max="43" width="29.6640625" style="3" bestFit="1" customWidth="1"/>
    <col min="44" max="44" width="17.5546875" style="3" bestFit="1" customWidth="1"/>
    <col min="45" max="16384" width="10.77734375" style="3"/>
  </cols>
  <sheetData>
    <row r="1" spans="3:44" ht="10.5" customHeight="1" thickBot="1"/>
    <row r="2" spans="3:44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4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4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4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4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4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4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4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4" ht="18">
      <c r="C10" s="81"/>
      <c r="D10" s="62" t="s">
        <v>1</v>
      </c>
      <c r="E10" s="63" t="s">
        <v>608</v>
      </c>
      <c r="F10" s="198" t="s">
        <v>169</v>
      </c>
      <c r="G10" s="5"/>
      <c r="H10" s="62"/>
      <c r="I10" s="63"/>
      <c r="J10" s="91"/>
      <c r="K10" s="74"/>
      <c r="L10" s="74"/>
      <c r="M10" s="232" t="s">
        <v>72</v>
      </c>
      <c r="N10" s="169">
        <v>4.4000000000000002E-4</v>
      </c>
      <c r="O10" s="169">
        <v>10</v>
      </c>
      <c r="P10" s="170"/>
      <c r="Q10" s="171"/>
      <c r="R10" s="5" t="s">
        <v>578</v>
      </c>
      <c r="S10" s="97">
        <v>230</v>
      </c>
      <c r="T10" s="98" t="s">
        <v>186</v>
      </c>
      <c r="U10" s="99">
        <v>1</v>
      </c>
      <c r="V10" s="100"/>
      <c r="W10" s="132">
        <v>22</v>
      </c>
      <c r="X10" s="78">
        <v>230</v>
      </c>
      <c r="Y10" s="133">
        <v>600</v>
      </c>
      <c r="Z10" s="131"/>
      <c r="AA10" s="70"/>
      <c r="AB10" s="130" t="s">
        <v>12</v>
      </c>
      <c r="AC10" s="78" t="s">
        <v>164</v>
      </c>
      <c r="AD10" s="133" t="s">
        <v>12</v>
      </c>
      <c r="AE10" s="78" t="s">
        <v>14</v>
      </c>
      <c r="AF10" s="131">
        <v>0.2</v>
      </c>
      <c r="AG10" s="114"/>
      <c r="AH10" s="423" t="s">
        <v>164</v>
      </c>
      <c r="AI10" s="437">
        <v>17</v>
      </c>
      <c r="AJ10" s="433">
        <v>-1</v>
      </c>
      <c r="AK10" s="109"/>
      <c r="AL10" s="423">
        <v>17</v>
      </c>
      <c r="AM10" s="476" t="s">
        <v>164</v>
      </c>
      <c r="AN10" s="482">
        <v>0.99</v>
      </c>
      <c r="AO10" s="82"/>
    </row>
    <row r="11" spans="3:44" ht="18.600000000000001" thickBot="1">
      <c r="C11" s="81"/>
      <c r="D11" s="64" t="s">
        <v>3</v>
      </c>
      <c r="E11" s="65">
        <v>210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233" t="s">
        <v>73</v>
      </c>
      <c r="N11" s="119" t="s">
        <v>12</v>
      </c>
      <c r="O11" s="119" t="s">
        <v>119</v>
      </c>
      <c r="P11" s="74"/>
      <c r="Q11" s="121"/>
      <c r="R11" s="5" t="s">
        <v>179</v>
      </c>
      <c r="S11" s="97">
        <v>230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466</v>
      </c>
      <c r="AD11" s="100"/>
      <c r="AE11" s="70"/>
      <c r="AF11" s="102"/>
      <c r="AG11" s="114"/>
      <c r="AH11" s="120" t="s">
        <v>167</v>
      </c>
      <c r="AI11" s="119">
        <v>17</v>
      </c>
      <c r="AJ11" s="121">
        <v>0.1</v>
      </c>
      <c r="AK11" s="109"/>
      <c r="AL11" s="411">
        <v>18</v>
      </c>
      <c r="AM11" s="6" t="s">
        <v>298</v>
      </c>
      <c r="AN11" s="494">
        <v>0.3</v>
      </c>
      <c r="AO11" s="82"/>
      <c r="AP11" s="472">
        <v>17</v>
      </c>
      <c r="AQ11" s="479" t="s">
        <v>581</v>
      </c>
      <c r="AR11" s="473" t="s">
        <v>164</v>
      </c>
    </row>
    <row r="12" spans="3:44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H53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600</v>
      </c>
      <c r="T12" s="98" t="s">
        <v>466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505</v>
      </c>
      <c r="AD12" s="43"/>
      <c r="AE12" s="70"/>
      <c r="AF12" s="102"/>
      <c r="AG12" s="114"/>
      <c r="AH12" s="120" t="s">
        <v>186</v>
      </c>
      <c r="AI12" s="119">
        <v>17</v>
      </c>
      <c r="AJ12" s="368">
        <f>AL46</f>
        <v>0.5</v>
      </c>
      <c r="AK12" s="109"/>
      <c r="AL12" s="411">
        <v>19</v>
      </c>
      <c r="AM12" s="6" t="s">
        <v>505</v>
      </c>
      <c r="AN12" s="494">
        <v>0.2</v>
      </c>
      <c r="AO12" s="82"/>
      <c r="AP12" s="472">
        <v>18</v>
      </c>
      <c r="AQ12" s="479" t="s">
        <v>582</v>
      </c>
      <c r="AR12" s="30" t="s">
        <v>298</v>
      </c>
    </row>
    <row r="13" spans="3:44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20">
        <v>600</v>
      </c>
      <c r="T13" s="119" t="s">
        <v>505</v>
      </c>
      <c r="U13" s="121">
        <v>1</v>
      </c>
      <c r="V13" s="43"/>
      <c r="W13" s="103"/>
      <c r="X13" s="70"/>
      <c r="Y13" s="43"/>
      <c r="Z13" s="30"/>
      <c r="AA13" s="43"/>
      <c r="AB13" s="48"/>
      <c r="AC13" s="70" t="s">
        <v>298</v>
      </c>
      <c r="AD13" s="43"/>
      <c r="AE13" s="70"/>
      <c r="AF13" s="102"/>
      <c r="AG13" s="114"/>
      <c r="AH13" s="120" t="s">
        <v>15</v>
      </c>
      <c r="AI13" s="119">
        <v>17</v>
      </c>
      <c r="AJ13" s="432">
        <f>1-AJ12-AJ11</f>
        <v>0.4</v>
      </c>
      <c r="AK13" s="109"/>
      <c r="AL13" s="411">
        <v>20</v>
      </c>
      <c r="AM13" s="6" t="s">
        <v>466</v>
      </c>
      <c r="AN13" s="494">
        <v>0.1</v>
      </c>
      <c r="AO13" s="82"/>
      <c r="AP13" s="472">
        <v>19</v>
      </c>
      <c r="AQ13" s="479" t="s">
        <v>583</v>
      </c>
      <c r="AR13" s="473" t="s">
        <v>466</v>
      </c>
    </row>
    <row r="14" spans="3:44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114" t="s">
        <v>163</v>
      </c>
      <c r="U14" s="115">
        <v>1</v>
      </c>
      <c r="V14" s="43"/>
      <c r="W14" s="103"/>
      <c r="X14" s="70"/>
      <c r="Y14" s="43"/>
      <c r="Z14" s="30"/>
      <c r="AA14" s="43"/>
      <c r="AB14" s="48"/>
      <c r="AC14" s="70" t="s">
        <v>506</v>
      </c>
      <c r="AD14" s="43"/>
      <c r="AE14" s="70"/>
      <c r="AF14" s="102"/>
      <c r="AG14" s="114"/>
      <c r="AH14" s="411" t="s">
        <v>298</v>
      </c>
      <c r="AI14" s="422">
        <v>18</v>
      </c>
      <c r="AJ14" s="434">
        <v>-1</v>
      </c>
      <c r="AK14" s="109"/>
      <c r="AL14" s="104"/>
      <c r="AM14" s="6"/>
      <c r="AN14" s="77"/>
      <c r="AO14" s="82"/>
      <c r="AP14" s="472">
        <v>20</v>
      </c>
      <c r="AQ14" s="479" t="s">
        <v>584</v>
      </c>
      <c r="AR14" s="473" t="s">
        <v>505</v>
      </c>
    </row>
    <row r="15" spans="3:44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20">
        <v>600</v>
      </c>
      <c r="T15" s="70" t="s">
        <v>296</v>
      </c>
      <c r="U15" s="30">
        <v>1</v>
      </c>
      <c r="V15" s="43"/>
      <c r="W15" s="84"/>
      <c r="X15" s="15"/>
      <c r="Y15" s="15"/>
      <c r="Z15" s="61"/>
      <c r="AA15" s="70"/>
      <c r="AB15" s="103"/>
      <c r="AC15" s="70" t="s">
        <v>507</v>
      </c>
      <c r="AD15" s="70"/>
      <c r="AE15" s="70"/>
      <c r="AF15" s="102"/>
      <c r="AG15" s="114"/>
      <c r="AH15" s="120" t="s">
        <v>167</v>
      </c>
      <c r="AI15" s="100">
        <v>18</v>
      </c>
      <c r="AJ15" s="121">
        <v>0.1</v>
      </c>
      <c r="AK15" s="109"/>
      <c r="AL15" s="104"/>
      <c r="AM15" s="6"/>
      <c r="AN15" s="77"/>
      <c r="AO15" s="82"/>
    </row>
    <row r="16" spans="3:44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70" t="s">
        <v>164</v>
      </c>
      <c r="U16" s="30">
        <v>1</v>
      </c>
      <c r="V16" s="70"/>
      <c r="W16" s="84"/>
      <c r="X16" s="15"/>
      <c r="Y16" s="15"/>
      <c r="Z16" s="61"/>
      <c r="AA16" s="70"/>
      <c r="AB16" s="103"/>
      <c r="AC16" s="70" t="s">
        <v>296</v>
      </c>
      <c r="AD16" s="70"/>
      <c r="AE16" s="70"/>
      <c r="AF16" s="65"/>
      <c r="AG16" s="114"/>
      <c r="AH16" s="120" t="s">
        <v>186</v>
      </c>
      <c r="AI16" s="100">
        <v>18</v>
      </c>
      <c r="AJ16" s="121">
        <v>0.5</v>
      </c>
      <c r="AK16" s="74"/>
      <c r="AL16" s="104"/>
      <c r="AM16" s="6"/>
      <c r="AN16" s="77"/>
      <c r="AO16" s="82"/>
    </row>
    <row r="17" spans="3:45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70" t="s">
        <v>167</v>
      </c>
      <c r="U17" s="65">
        <v>1</v>
      </c>
      <c r="V17" s="70"/>
      <c r="W17" s="84"/>
      <c r="X17" s="15"/>
      <c r="Y17" s="15"/>
      <c r="Z17" s="61"/>
      <c r="AA17" s="70"/>
      <c r="AB17" s="103"/>
      <c r="AC17" s="70" t="s">
        <v>163</v>
      </c>
      <c r="AD17" s="70"/>
      <c r="AE17" s="70"/>
      <c r="AF17" s="65"/>
      <c r="AG17" s="114"/>
      <c r="AH17" s="101" t="s">
        <v>15</v>
      </c>
      <c r="AI17" s="100">
        <v>18</v>
      </c>
      <c r="AJ17" s="102">
        <f>1-AJ16-AJ15</f>
        <v>0.4</v>
      </c>
      <c r="AK17" s="74"/>
      <c r="AL17" s="104"/>
      <c r="AM17" s="6"/>
      <c r="AN17" s="77"/>
      <c r="AO17" s="82"/>
      <c r="AQ17" s="234"/>
      <c r="AR17" s="123"/>
      <c r="AS17" s="420"/>
    </row>
    <row r="18" spans="3:45" ht="18"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>
        <v>600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505</v>
      </c>
      <c r="AI18" s="435">
        <v>19</v>
      </c>
      <c r="AJ18" s="436">
        <v>-1</v>
      </c>
      <c r="AK18" s="74"/>
      <c r="AL18" s="104"/>
      <c r="AM18" s="6"/>
      <c r="AN18" s="77"/>
      <c r="AO18" s="82"/>
      <c r="AQ18" s="101"/>
      <c r="AR18" s="6"/>
      <c r="AS18" s="439"/>
    </row>
    <row r="19" spans="3:45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19</v>
      </c>
      <c r="AJ19" s="121">
        <v>0.1</v>
      </c>
      <c r="AK19" s="74"/>
      <c r="AL19" s="104"/>
      <c r="AM19" s="6"/>
      <c r="AN19" s="77"/>
      <c r="AO19" s="82"/>
      <c r="AQ19" s="101"/>
      <c r="AR19" s="6"/>
      <c r="AS19" s="439"/>
    </row>
    <row r="20" spans="3:45" ht="18"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186</v>
      </c>
      <c r="AI20" s="70">
        <v>19</v>
      </c>
      <c r="AJ20" s="121">
        <v>0.4</v>
      </c>
      <c r="AK20" s="74"/>
      <c r="AL20" s="104"/>
      <c r="AM20" s="6"/>
      <c r="AN20" s="77"/>
      <c r="AO20" s="82"/>
      <c r="AQ20" s="101"/>
      <c r="AR20" s="6"/>
      <c r="AS20" s="439"/>
    </row>
    <row r="21" spans="3:45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19</v>
      </c>
      <c r="AJ21" s="432">
        <f>1-AJ20-AJ19</f>
        <v>0.5</v>
      </c>
      <c r="AK21" s="74"/>
      <c r="AL21" s="104"/>
      <c r="AM21" s="6"/>
      <c r="AN21" s="77"/>
      <c r="AO21" s="82"/>
      <c r="AQ21" s="101"/>
      <c r="AR21" s="6"/>
      <c r="AS21" s="439"/>
    </row>
    <row r="22" spans="3:45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466</v>
      </c>
      <c r="AI22" s="435">
        <v>20</v>
      </c>
      <c r="AJ22" s="436">
        <v>-1</v>
      </c>
      <c r="AK22" s="74"/>
      <c r="AL22" s="104"/>
      <c r="AM22" s="6"/>
      <c r="AN22" s="77"/>
      <c r="AO22" s="82"/>
      <c r="AQ22" s="101"/>
      <c r="AR22" s="6"/>
      <c r="AS22" s="439"/>
    </row>
    <row r="23" spans="3:45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20</v>
      </c>
      <c r="AJ23" s="121">
        <v>0.1</v>
      </c>
      <c r="AK23" s="74"/>
      <c r="AL23" s="104"/>
      <c r="AM23" s="6"/>
      <c r="AN23" s="77"/>
      <c r="AO23" s="82"/>
    </row>
    <row r="24" spans="3:45" ht="18"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186</v>
      </c>
      <c r="AI24" s="70">
        <v>20</v>
      </c>
      <c r="AJ24" s="121">
        <v>0.3</v>
      </c>
      <c r="AK24" s="74"/>
      <c r="AL24" s="104"/>
      <c r="AM24" s="6"/>
      <c r="AN24" s="77"/>
      <c r="AO24" s="82"/>
    </row>
    <row r="25" spans="3:45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20" t="s">
        <v>15</v>
      </c>
      <c r="AI25" s="70">
        <v>20</v>
      </c>
      <c r="AJ25" s="432">
        <f>1-AJ24-AJ23</f>
        <v>0.6</v>
      </c>
      <c r="AK25" s="74"/>
      <c r="AL25" s="104"/>
      <c r="AM25" s="6"/>
      <c r="AN25" s="77"/>
      <c r="AO25" s="82"/>
    </row>
    <row r="26" spans="3:45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/>
      <c r="AI26" s="435"/>
      <c r="AJ26" s="436"/>
      <c r="AK26" s="74"/>
      <c r="AL26" s="104"/>
      <c r="AM26" s="6"/>
      <c r="AN26" s="77"/>
      <c r="AO26" s="82"/>
    </row>
    <row r="27" spans="3:45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/>
      <c r="AI27" s="70"/>
      <c r="AJ27" s="121"/>
      <c r="AK27" s="74"/>
      <c r="AL27" s="105"/>
      <c r="AM27" s="129"/>
      <c r="AN27" s="76"/>
      <c r="AO27" s="82"/>
    </row>
    <row r="28" spans="3:45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/>
      <c r="AI28" s="70"/>
      <c r="AJ28" s="121"/>
      <c r="AK28" s="5"/>
      <c r="AL28" s="5"/>
      <c r="AM28" s="10"/>
      <c r="AN28" s="5"/>
      <c r="AO28" s="82"/>
    </row>
    <row r="29" spans="3:45" ht="18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/>
      <c r="AI29" s="70"/>
      <c r="AJ29" s="432"/>
      <c r="AK29" s="5"/>
      <c r="AL29" s="5"/>
      <c r="AM29" s="10"/>
      <c r="AN29" s="5"/>
      <c r="AO29" s="82"/>
    </row>
    <row r="30" spans="3:45" ht="18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/>
      <c r="AI30" s="435"/>
      <c r="AJ30" s="436"/>
      <c r="AK30" s="5"/>
      <c r="AL30" s="5"/>
      <c r="AM30" s="10"/>
      <c r="AN30" s="5"/>
      <c r="AO30" s="82"/>
    </row>
    <row r="31" spans="3:45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/>
      <c r="AI31" s="70"/>
      <c r="AJ31" s="121"/>
      <c r="AK31" s="5"/>
      <c r="AL31" s="5"/>
      <c r="AM31" s="5"/>
      <c r="AN31" s="5"/>
      <c r="AO31" s="82"/>
    </row>
    <row r="32" spans="3:45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/>
      <c r="AI32" s="70"/>
      <c r="AJ32" s="121"/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/>
      <c r="AI33" s="107"/>
      <c r="AJ33" s="438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 t="s">
        <v>594</v>
      </c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95" t="s">
        <v>510</v>
      </c>
      <c r="AJ44" s="195" t="s">
        <v>511</v>
      </c>
      <c r="AK44" s="15" t="s">
        <v>298</v>
      </c>
      <c r="AL44" s="15" t="s">
        <v>512</v>
      </c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95"/>
      <c r="AJ45" s="195"/>
      <c r="AK45" s="15"/>
      <c r="AL45" s="1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" t="s">
        <v>528</v>
      </c>
      <c r="AI46" s="480">
        <v>0.3</v>
      </c>
      <c r="AJ46" s="480">
        <v>0.4</v>
      </c>
      <c r="AK46" s="480">
        <v>0.5</v>
      </c>
      <c r="AL46" s="480">
        <v>0.5</v>
      </c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ht="15" thickBot="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85">
        <v>48</v>
      </c>
      <c r="I50" s="86" t="s">
        <v>579</v>
      </c>
      <c r="J50" s="86"/>
      <c r="K50" s="91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81">
        <v>30</v>
      </c>
      <c r="I51" s="5" t="s">
        <v>580</v>
      </c>
      <c r="J51" s="5"/>
      <c r="K51" s="82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443" t="s">
        <v>546</v>
      </c>
      <c r="I52" s="5"/>
      <c r="J52" s="5"/>
      <c r="K52" s="82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443">
        <f>H51/H50</f>
        <v>0.625</v>
      </c>
      <c r="I53" s="442" t="s">
        <v>179</v>
      </c>
      <c r="J53" s="5"/>
      <c r="K53" s="82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ht="15" thickBot="1">
      <c r="C54" s="81"/>
      <c r="D54" s="5"/>
      <c r="E54" s="5"/>
      <c r="F54" s="5"/>
      <c r="G54" s="5"/>
      <c r="H54" s="73"/>
      <c r="I54" s="83"/>
      <c r="J54" s="83"/>
      <c r="K54" s="6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R12" xr:uid="{921EF77C-69FC-4963-9311-5E6DB2617BC4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81787B-9D97-42E7-A69A-546FEF64C072}">
          <x14:formula1>
            <xm:f>DataBank!$A$3:$A$11</xm:f>
          </x14:formula1>
          <xm:sqref>N11</xm:sqref>
        </x14:dataValidation>
        <x14:dataValidation type="list" allowBlank="1" showInputMessage="1" showErrorMessage="1" xr:uid="{5506CDAB-A737-48E5-826E-04A08ECAAEAA}">
          <x14:formula1>
            <xm:f>Sources!$E$6:$O$6</xm:f>
          </x14:formula1>
          <xm:sqref>O13:Q13</xm:sqref>
        </x14:dataValidation>
        <x14:dataValidation type="list" allowBlank="1" showInputMessage="1" showErrorMessage="1" xr:uid="{FBEDB54F-405E-44BB-9F18-90428BD313E7}">
          <x14:formula1>
            <xm:f>DataBank!$C$2:$C$7</xm:f>
          </x14:formula1>
          <xm:sqref>I15</xm:sqref>
        </x14:dataValidation>
        <x14:dataValidation type="list" allowBlank="1" showInputMessage="1" showErrorMessage="1" xr:uid="{6BD62C35-19C0-4AEB-B704-9B1D3A5B3AE1}">
          <x14:formula1>
            <xm:f>DataBank!$B$2:$B$3</xm:f>
          </x14:formula1>
          <xm:sqref>J15</xm:sqref>
        </x14:dataValidation>
        <x14:dataValidation type="list" allowBlank="1" showInputMessage="1" showErrorMessage="1" xr:uid="{905061A6-ADBD-434C-B3C3-8B7C5BB03629}">
          <x14:formula1>
            <xm:f>DataBank!$K$17:$K$18</xm:f>
          </x14:formula1>
          <xm:sqref>E26</xm:sqref>
        </x14:dataValidation>
        <x14:dataValidation type="list" allowBlank="1" showInputMessage="1" showErrorMessage="1" xr:uid="{13428E66-7EC4-4A45-83DE-66A1FF4308E7}">
          <x14:formula1>
            <xm:f>DataBank!$A$3:$A$10</xm:f>
          </x14:formula1>
          <xm:sqref>O11:Q11</xm:sqref>
        </x14:dataValidation>
        <x14:dataValidation type="list" allowBlank="1" showInputMessage="1" showErrorMessage="1" xr:uid="{C57AF60B-4F10-4CA0-BF7B-735813C16957}">
          <x14:formula1>
            <xm:f>DataBank!$A$3:$A$4</xm:f>
          </x14:formula1>
          <xm:sqref>AB10 AD10</xm:sqref>
        </x14:dataValidation>
        <x14:dataValidation type="whole" allowBlank="1" showInputMessage="1" showErrorMessage="1" xr:uid="{BDC3E207-A1CF-41C0-9B4B-31C7C2BEE02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36FAB2C-D298-4344-9D1C-3996F50318F0}">
          <x14:formula1>
            <xm:f>Systemblatt!$F$5:$F$37</xm:f>
          </x14:formula1>
          <xm:sqref>AE10:AE27 T10:T27 AH10:AH33 I16:I27 AC10:AC27 N14:Q27 N12:Q12 N13</xm:sqref>
        </x14:dataValidation>
        <x14:dataValidation type="list" allowBlank="1" showInputMessage="1" showErrorMessage="1" xr:uid="{B0A07980-57E7-4743-9D74-AC57667D7F91}">
          <x14:formula1>
            <xm:f>Systemblatt!$N$5:$N$28</xm:f>
          </x14:formula1>
          <xm:sqref>AI10:AI33 AL10:AL13</xm:sqref>
        </x14:dataValidation>
        <x14:dataValidation type="list" allowBlank="1" showInputMessage="1" showErrorMessage="1" xr:uid="{169E426D-F826-4C8B-A2F8-9C92FCFB07F8}">
          <x14:formula1>
            <xm:f>Systemblatt!$P$5:$P$17</xm:f>
          </x14:formula1>
          <xm:sqref>AM15:AM27 AM10:AM13 AR17:AR22</xm:sqref>
        </x14:dataValidation>
        <x14:dataValidation type="list" allowBlank="1" showInputMessage="1" showErrorMessage="1" xr:uid="{0062AFC4-7881-4388-828E-53FEE958F4D4}">
          <x14:formula1>
            <xm:f>Systemblatt!$N$5:$N$17</xm:f>
          </x14:formula1>
          <xm:sqref>AL15:AL27 AQ17:AQ22</xm:sqref>
        </x14:dataValidation>
        <x14:dataValidation type="list" allowBlank="1" showInputMessage="1" showErrorMessage="1" xr:uid="{3A3101F4-7147-4FD2-8159-8DF08A37D3AA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153B-3558-45C9-88F0-0303CB9BFD0C}">
  <sheetPr codeName="Tabelle69">
    <tabColor theme="5" tint="0.59999389629810485"/>
  </sheetPr>
  <dimension ref="A1:AJ144"/>
  <sheetViews>
    <sheetView topLeftCell="Q1" zoomScale="50" zoomScaleNormal="50" workbookViewId="0">
      <selection activeCell="Z35" sqref="Z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8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9.664062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586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v>0.41</v>
      </c>
      <c r="P10" s="170"/>
      <c r="Q10" s="171"/>
      <c r="R10" s="5" t="s">
        <v>302</v>
      </c>
      <c r="S10" s="97">
        <v>2000</v>
      </c>
      <c r="T10" s="98" t="s">
        <v>186</v>
      </c>
      <c r="U10" s="99">
        <v>0.99</v>
      </c>
      <c r="V10" s="79"/>
      <c r="W10" s="132"/>
      <c r="X10" s="78">
        <v>2000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230</v>
      </c>
      <c r="F11" s="198" t="s">
        <v>169</v>
      </c>
      <c r="G11" s="5"/>
      <c r="H11" s="64" t="s">
        <v>64</v>
      </c>
      <c r="I11" s="99">
        <v>0.6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179</v>
      </c>
      <c r="S11" s="97">
        <v>2000</v>
      </c>
      <c r="T11" s="98" t="s">
        <v>14</v>
      </c>
      <c r="U11" s="99">
        <v>0.01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120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198" t="s">
        <v>169</v>
      </c>
      <c r="K13" s="5"/>
      <c r="L13" s="5"/>
      <c r="M13" s="230"/>
      <c r="N13" s="120"/>
      <c r="O13" s="119" t="s">
        <v>186</v>
      </c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2008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35</v>
      </c>
      <c r="F17" s="198" t="s">
        <v>183</v>
      </c>
      <c r="G17" s="5"/>
      <c r="H17" s="71"/>
      <c r="I17" s="226" t="s">
        <v>186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82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ht="18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74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>
        <f>29214447.7  + 7329433</f>
        <v>36543880.700000003</v>
      </c>
      <c r="P45" s="5" t="s">
        <v>587</v>
      </c>
      <c r="Q45" s="5">
        <f xml:space="preserve"> 7329433</f>
        <v>7329433</v>
      </c>
      <c r="R45" s="5" t="s">
        <v>587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1.1999999999999999E-3</v>
      </c>
      <c r="P46" s="5" t="s">
        <v>588</v>
      </c>
      <c r="Q46" s="5">
        <v>1.1999999999999999E-3</v>
      </c>
      <c r="R46" s="5" t="s">
        <v>588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307">
        <f>O45*O46</f>
        <v>43852.656840000003</v>
      </c>
      <c r="P47" s="305" t="s">
        <v>300</v>
      </c>
      <c r="Q47" s="307">
        <f>Q45*Q46</f>
        <v>8795.3195999999989</v>
      </c>
      <c r="R47" s="305" t="s">
        <v>300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307"/>
      <c r="P48" s="5"/>
      <c r="Q48" s="307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387">
        <v>209.19</v>
      </c>
      <c r="P49" s="5" t="s">
        <v>589</v>
      </c>
      <c r="Q49" s="387">
        <v>43.2</v>
      </c>
      <c r="R49" s="5" t="s">
        <v>589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307">
        <f>O47/O49</f>
        <v>209.63075118313498</v>
      </c>
      <c r="P50" s="3" t="s">
        <v>419</v>
      </c>
      <c r="Q50" s="307">
        <f>Q47/Q49</f>
        <v>203.59536111111106</v>
      </c>
      <c r="R50" s="3" t="s">
        <v>419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307">
        <f>O50/1000</f>
        <v>0.20963075118313498</v>
      </c>
      <c r="P51" s="5" t="s">
        <v>302</v>
      </c>
      <c r="Q51" s="307">
        <f>Q50/1000</f>
        <v>0.20359536111111107</v>
      </c>
      <c r="R51" s="5" t="s">
        <v>302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307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442" t="s">
        <v>590</v>
      </c>
      <c r="P54" s="483">
        <f>O51+Q51</f>
        <v>0.41322611229424605</v>
      </c>
      <c r="Q54" s="442" t="s">
        <v>302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 t="s">
        <v>595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>
        <f>80736.54/1000</f>
        <v>80.736539999999991</v>
      </c>
      <c r="I59" s="5" t="s">
        <v>422</v>
      </c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>
        <v>100</v>
      </c>
      <c r="I60" s="5" t="s">
        <v>179</v>
      </c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H62" s="352">
        <f>H60/H59*100</f>
        <v>123.8596551202219</v>
      </c>
      <c r="I62" s="352" t="s">
        <v>179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352" t="s">
        <v>546</v>
      </c>
      <c r="I63" s="352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DF1E357-7B57-4304-8476-42C01D370E48}">
          <x14:formula1>
            <xm:f>DataBank!$A$3:$A$11</xm:f>
          </x14:formula1>
          <xm:sqref>N11</xm:sqref>
        </x14:dataValidation>
        <x14:dataValidation type="list" allowBlank="1" showInputMessage="1" showErrorMessage="1" xr:uid="{A3FBD386-4A9C-4FFF-9E08-A30ED17A678C}">
          <x14:formula1>
            <xm:f>Sources!$E$6:$O$6</xm:f>
          </x14:formula1>
          <xm:sqref>P13:Q13</xm:sqref>
        </x14:dataValidation>
        <x14:dataValidation type="list" allowBlank="1" showInputMessage="1" showErrorMessage="1" xr:uid="{F7D6F346-BBA5-4DB1-9937-FE200BA51AAD}">
          <x14:formula1>
            <xm:f>DataBank!$B$2:$B$3</xm:f>
          </x14:formula1>
          <xm:sqref>J15</xm:sqref>
        </x14:dataValidation>
        <x14:dataValidation type="list" allowBlank="1" showInputMessage="1" showErrorMessage="1" xr:uid="{F2AB6D2E-C0C1-4941-9268-FCF952A29E4D}">
          <x14:formula1>
            <xm:f>Sources!$E$7:$O$7</xm:f>
          </x14:formula1>
          <xm:sqref>W10:W27</xm:sqref>
        </x14:dataValidation>
        <x14:dataValidation type="list" allowBlank="1" showInputMessage="1" showErrorMessage="1" xr:uid="{82338C72-0588-4A5F-9D34-BFF31987EE06}">
          <x14:formula1>
            <xm:f>DataBank!$K$17:$K$18</xm:f>
          </x14:formula1>
          <xm:sqref>E26</xm:sqref>
        </x14:dataValidation>
        <x14:dataValidation type="list" allowBlank="1" showInputMessage="1" showErrorMessage="1" xr:uid="{D5196974-D8B4-430E-8832-DF6F1EE2939B}">
          <x14:formula1>
            <xm:f>DataBank!$A$3:$A$10</xm:f>
          </x14:formula1>
          <xm:sqref>O11:Q11</xm:sqref>
        </x14:dataValidation>
        <x14:dataValidation type="list" allowBlank="1" showInputMessage="1" showErrorMessage="1" xr:uid="{AA61623C-DD6E-40AB-A5D1-AB9081599D2D}">
          <x14:formula1>
            <xm:f>DataBank!$C$2:$C$7</xm:f>
          </x14:formula1>
          <xm:sqref>I15</xm:sqref>
        </x14:dataValidation>
        <x14:dataValidation type="list" allowBlank="1" showInputMessage="1" showErrorMessage="1" xr:uid="{6F3A23C6-F84F-453B-B444-FB4322DC01A2}">
          <x14:formula1>
            <xm:f>DataBank!$A$3:$A$4</xm:f>
          </x14:formula1>
          <xm:sqref>AB10 AD10</xm:sqref>
        </x14:dataValidation>
        <x14:dataValidation type="list" allowBlank="1" showInputMessage="1" showErrorMessage="1" xr:uid="{63BAF0DD-1738-47C5-B3E6-34C05596AF93}">
          <x14:formula1>
            <xm:f>DataBank!$A$3:$A$5</xm:f>
          </x14:formula1>
          <xm:sqref>K15</xm:sqref>
        </x14:dataValidation>
        <x14:dataValidation type="whole" allowBlank="1" showInputMessage="1" showErrorMessage="1" xr:uid="{4B5E968C-3BB9-47B7-8D9D-4E1DFB8DE9D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818467D-C328-49E0-9A11-05896F2C4F99}">
          <x14:formula1>
            <xm:f>Systemblatt!$F$5:$F$17</xm:f>
          </x14:formula1>
          <xm:sqref>K16:K17</xm:sqref>
        </x14:dataValidation>
        <x14:dataValidation type="list" allowBlank="1" showInputMessage="1" showErrorMessage="1" xr:uid="{DDE910D6-A1DB-4FFA-A7BA-83732197AE99}">
          <x14:formula1>
            <xm:f>Systemblatt!$F$5:$F$37</xm:f>
          </x14:formula1>
          <xm:sqref>I16:I27 AE10:AE27 AC10:AC27 T10:T27 N14:Q27 N12:Q12 N13:O13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V6" zoomScale="51" zoomScaleNormal="51" workbookViewId="0">
      <selection activeCell="U39" sqref="U3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80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1:44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421" t="s">
        <v>88</v>
      </c>
      <c r="AM9" s="421" t="s">
        <v>89</v>
      </c>
      <c r="AN9" s="421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448</v>
      </c>
      <c r="F10" s="198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500</v>
      </c>
      <c r="T10" s="98" t="s">
        <v>462</v>
      </c>
      <c r="U10" s="99">
        <v>1</v>
      </c>
      <c r="V10" s="100"/>
      <c r="W10" s="132">
        <v>22</v>
      </c>
      <c r="X10" s="78">
        <v>500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23" t="s">
        <v>296</v>
      </c>
      <c r="AI10" s="437">
        <v>26</v>
      </c>
      <c r="AJ10" s="433">
        <v>-1</v>
      </c>
      <c r="AK10" s="109"/>
      <c r="AL10" s="47">
        <v>13</v>
      </c>
      <c r="AM10" s="42" t="s">
        <v>164</v>
      </c>
      <c r="AN10" s="482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500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40" t="s">
        <v>462</v>
      </c>
      <c r="AI11" s="119">
        <v>26</v>
      </c>
      <c r="AJ11" s="65">
        <f>0.55</f>
        <v>0.55000000000000004</v>
      </c>
      <c r="AK11" s="109"/>
      <c r="AL11" s="472">
        <v>22</v>
      </c>
      <c r="AM11" s="43" t="s">
        <v>298</v>
      </c>
      <c r="AN11" s="439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500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40" t="s">
        <v>167</v>
      </c>
      <c r="AI12" s="119">
        <v>26</v>
      </c>
      <c r="AJ12" s="65">
        <f xml:space="preserve"> 0.1</f>
        <v>0.1</v>
      </c>
      <c r="AK12" s="109"/>
      <c r="AL12" s="472">
        <v>23</v>
      </c>
      <c r="AM12" s="43" t="s">
        <v>466</v>
      </c>
      <c r="AN12" s="439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>
        <v>600</v>
      </c>
      <c r="T13" s="419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507</v>
      </c>
      <c r="AD13" s="43"/>
      <c r="AE13" s="70"/>
      <c r="AF13" s="102"/>
      <c r="AG13" s="114"/>
      <c r="AH13" s="440" t="s">
        <v>15</v>
      </c>
      <c r="AI13" s="119">
        <v>26</v>
      </c>
      <c r="AJ13" s="65">
        <f>1-AJ12-AJ11</f>
        <v>0.35</v>
      </c>
      <c r="AK13" s="109"/>
      <c r="AL13" s="472">
        <v>24</v>
      </c>
      <c r="AM13" s="43" t="s">
        <v>505</v>
      </c>
      <c r="AN13" s="439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9" t="s">
        <v>163</v>
      </c>
      <c r="AI14" s="493">
        <v>25</v>
      </c>
      <c r="AJ14" s="436">
        <v>-1</v>
      </c>
      <c r="AK14" s="109"/>
      <c r="AL14" s="472">
        <v>25</v>
      </c>
      <c r="AM14" s="43" t="s">
        <v>163</v>
      </c>
      <c r="AN14" s="439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40" t="s">
        <v>462</v>
      </c>
      <c r="AI15" s="119">
        <v>25</v>
      </c>
      <c r="AJ15" s="65">
        <f>0.55</f>
        <v>0.55000000000000004</v>
      </c>
      <c r="AK15" s="109"/>
      <c r="AL15" s="472">
        <v>26</v>
      </c>
      <c r="AM15" s="43" t="s">
        <v>296</v>
      </c>
      <c r="AN15" s="439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466</v>
      </c>
      <c r="AD16" s="70"/>
      <c r="AE16" s="70"/>
      <c r="AF16" s="65"/>
      <c r="AG16" s="114"/>
      <c r="AH16" s="440" t="s">
        <v>167</v>
      </c>
      <c r="AI16" s="119">
        <v>25</v>
      </c>
      <c r="AJ16" s="65">
        <f xml:space="preserve"> 0.1</f>
        <v>0.1</v>
      </c>
      <c r="AK16" s="74"/>
      <c r="AL16" s="427"/>
      <c r="AN16" s="508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93" t="s">
        <v>466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505</v>
      </c>
      <c r="AD17" s="70"/>
      <c r="AE17" s="70"/>
      <c r="AF17" s="65"/>
      <c r="AG17" s="114"/>
      <c r="AH17" s="440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600</v>
      </c>
      <c r="T18" s="93" t="s">
        <v>505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9" t="s">
        <v>298</v>
      </c>
      <c r="AI18" s="493">
        <v>22</v>
      </c>
      <c r="AJ18" s="436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600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40" t="s">
        <v>462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40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40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164</v>
      </c>
      <c r="AI22" s="493">
        <v>13</v>
      </c>
      <c r="AJ22" s="436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40" t="s">
        <v>462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40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40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93">
        <v>23</v>
      </c>
      <c r="AJ26" s="436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40" t="s">
        <v>462</v>
      </c>
      <c r="AI27" s="119">
        <v>23</v>
      </c>
      <c r="AJ27" s="65">
        <f>0.55</f>
        <v>0.55000000000000004</v>
      </c>
      <c r="AK27" s="74"/>
      <c r="AL27" s="106"/>
      <c r="AM27" s="441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0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450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0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449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93">
        <v>24</v>
      </c>
      <c r="AJ30" s="436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40" t="s">
        <v>462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40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06" t="s">
        <v>15</v>
      </c>
      <c r="AI33" s="50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452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453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454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23" t="s">
        <v>164</v>
      </c>
      <c r="AR42" s="437">
        <v>2</v>
      </c>
      <c r="AS42" s="433">
        <v>-1</v>
      </c>
      <c r="AV42" s="48">
        <v>13</v>
      </c>
      <c r="AW42" s="43" t="s">
        <v>611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457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72">
        <v>22</v>
      </c>
      <c r="AW43" s="479" t="s">
        <v>610</v>
      </c>
      <c r="AX43" s="30" t="s">
        <v>298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458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72">
        <v>23</v>
      </c>
      <c r="AW44" s="504" t="s">
        <v>612</v>
      </c>
      <c r="AX44" s="30" t="s">
        <v>466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455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1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32">
        <f>1-AS44-AS43</f>
        <v>0.65</v>
      </c>
      <c r="AV45" s="472">
        <v>24</v>
      </c>
      <c r="AW45" s="479" t="s">
        <v>613</v>
      </c>
      <c r="AX45" s="30" t="s">
        <v>505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456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1"/>
      <c r="AI46" s="11"/>
      <c r="AJ46" s="11"/>
      <c r="AK46" s="5"/>
      <c r="AL46" s="5"/>
      <c r="AM46" s="5"/>
      <c r="AN46" s="5"/>
      <c r="AO46" s="82"/>
      <c r="AQ46" s="411" t="s">
        <v>163</v>
      </c>
      <c r="AR46" s="422">
        <v>3</v>
      </c>
      <c r="AS46" s="434">
        <v>-1</v>
      </c>
      <c r="AV46" s="472">
        <v>25</v>
      </c>
      <c r="AW46" s="479" t="s">
        <v>614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74">
        <v>26</v>
      </c>
      <c r="AW47" s="505" t="s">
        <v>615</v>
      </c>
      <c r="AX47" s="29" t="s">
        <v>296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11" t="s">
        <v>296</v>
      </c>
      <c r="AR50" s="435">
        <v>4</v>
      </c>
      <c r="AS50" s="436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32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11" t="s">
        <v>298</v>
      </c>
      <c r="AR54" s="435">
        <v>7</v>
      </c>
      <c r="AS54" s="436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32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11" t="s">
        <v>466</v>
      </c>
      <c r="AR58" s="435">
        <v>5</v>
      </c>
      <c r="AS58" s="436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461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32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11" t="s">
        <v>505</v>
      </c>
      <c r="AR62" s="435">
        <v>6</v>
      </c>
      <c r="AS62" s="436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38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451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11" t="s">
        <v>167</v>
      </c>
      <c r="AR66" s="225">
        <v>21</v>
      </c>
      <c r="AS66" s="436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538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6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6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81">
        <v>21</v>
      </c>
      <c r="AS69" s="438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0E53-FF17-4C00-A3B4-0B3B123BFBA4}">
  <sheetPr codeName="Tabelle61">
    <tabColor theme="5" tint="0.79998168889431442"/>
  </sheetPr>
  <dimension ref="A1:AJ144"/>
  <sheetViews>
    <sheetView topLeftCell="N1" zoomScale="90" zoomScaleNormal="90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497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f>E18-E17</f>
        <v>33</v>
      </c>
      <c r="P10" s="170"/>
      <c r="Q10" s="171"/>
      <c r="R10" s="5" t="s">
        <v>441</v>
      </c>
      <c r="S10" s="484">
        <v>510</v>
      </c>
      <c r="T10" s="98" t="s">
        <v>462</v>
      </c>
      <c r="U10" s="99">
        <v>0.85</v>
      </c>
      <c r="V10" s="79"/>
      <c r="W10" s="132"/>
      <c r="X10" s="78">
        <v>510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500</v>
      </c>
      <c r="F11" s="198" t="s">
        <v>169</v>
      </c>
      <c r="G11" s="5"/>
      <c r="H11" s="64" t="s">
        <v>64</v>
      </c>
      <c r="I11" s="99">
        <f>37500/1000000*0.96</f>
        <v>3.5999999999999997E-2</v>
      </c>
      <c r="J11" s="198" t="s">
        <v>178</v>
      </c>
      <c r="K11" s="5"/>
      <c r="L11" s="5"/>
      <c r="M11" s="71" t="s">
        <v>73</v>
      </c>
      <c r="N11" s="119"/>
      <c r="O11" s="119" t="s">
        <v>118</v>
      </c>
      <c r="P11" s="74"/>
      <c r="Q11" s="121"/>
      <c r="R11" s="5" t="s">
        <v>179</v>
      </c>
      <c r="S11" s="484">
        <v>510</v>
      </c>
      <c r="T11" s="98" t="s">
        <v>14</v>
      </c>
      <c r="U11" s="99">
        <v>0.85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H42</f>
        <v>6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379">
        <v>600</v>
      </c>
      <c r="T12" s="119" t="s">
        <v>167</v>
      </c>
      <c r="U12" s="121">
        <v>0.95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498">
        <v>600</v>
      </c>
      <c r="T13" s="114" t="s">
        <v>298</v>
      </c>
      <c r="U13" s="115">
        <v>0.15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9">
        <v>600</v>
      </c>
      <c r="T14" s="70" t="s">
        <v>466</v>
      </c>
      <c r="U14" s="30">
        <v>0.15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9">
        <v>600</v>
      </c>
      <c r="T15" s="70" t="s">
        <v>505</v>
      </c>
      <c r="U15" s="30">
        <v>0.15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499">
        <v>600</v>
      </c>
      <c r="T16" s="70" t="s">
        <v>506</v>
      </c>
      <c r="U16" s="65">
        <v>0.15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462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63</v>
      </c>
      <c r="F18" s="198" t="s">
        <v>183</v>
      </c>
      <c r="G18" s="5"/>
      <c r="H18" s="72"/>
      <c r="I18" s="226" t="s">
        <v>167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 t="s">
        <v>469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E36" s="5"/>
      <c r="F36" s="5"/>
      <c r="G36" s="5"/>
      <c r="H36" s="5"/>
      <c r="I36" s="5"/>
      <c r="J36" s="5"/>
      <c r="K36" s="5"/>
      <c r="L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470</v>
      </c>
      <c r="I39" s="5"/>
      <c r="J39" s="5"/>
      <c r="K39" s="5"/>
      <c r="L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600</v>
      </c>
      <c r="J41" s="5"/>
      <c r="K41" s="5"/>
      <c r="L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 t="s">
        <v>498</v>
      </c>
      <c r="E44" s="5"/>
      <c r="F44" s="5"/>
      <c r="G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C2AA8D9-57AB-4BF6-9A70-5ED48AC3B06C}">
          <x14:formula1>
            <xm:f>DataBank!$A$3:$A$11</xm:f>
          </x14:formula1>
          <xm:sqref>N11</xm:sqref>
        </x14:dataValidation>
        <x14:dataValidation type="list" allowBlank="1" showInputMessage="1" showErrorMessage="1" xr:uid="{8BC3BB79-9904-42E9-A0DD-56F2C8876585}">
          <x14:formula1>
            <xm:f>Sources!$E$6:$O$6</xm:f>
          </x14:formula1>
          <xm:sqref>O13:Q13</xm:sqref>
        </x14:dataValidation>
        <x14:dataValidation type="list" allowBlank="1" showInputMessage="1" showErrorMessage="1" xr:uid="{52192CAE-C695-457D-A773-2E92EDCDAF49}">
          <x14:formula1>
            <xm:f>DataBank!$B$2:$B$3</xm:f>
          </x14:formula1>
          <xm:sqref>J15</xm:sqref>
        </x14:dataValidation>
        <x14:dataValidation type="list" allowBlank="1" showInputMessage="1" showErrorMessage="1" xr:uid="{262559C0-AD27-4EAE-B843-15B04539FE1E}">
          <x14:formula1>
            <xm:f>Sources!$E$7:$O$7</xm:f>
          </x14:formula1>
          <xm:sqref>W10:W27</xm:sqref>
        </x14:dataValidation>
        <x14:dataValidation type="list" allowBlank="1" showInputMessage="1" showErrorMessage="1" xr:uid="{F9B27103-EB5D-408B-BB33-C4B2B878F6EE}">
          <x14:formula1>
            <xm:f>DataBank!$K$17:$K$18</xm:f>
          </x14:formula1>
          <xm:sqref>E26</xm:sqref>
        </x14:dataValidation>
        <x14:dataValidation type="list" allowBlank="1" showInputMessage="1" showErrorMessage="1" xr:uid="{8E43A752-8113-4468-BC15-95E1F7A8EB43}">
          <x14:formula1>
            <xm:f>DataBank!$A$3:$A$10</xm:f>
          </x14:formula1>
          <xm:sqref>O11:Q11</xm:sqref>
        </x14:dataValidation>
        <x14:dataValidation type="list" allowBlank="1" showInputMessage="1" showErrorMessage="1" xr:uid="{7D3B5121-590B-4550-AEC7-B043C0FD388D}">
          <x14:formula1>
            <xm:f>DataBank!$C$2:$C$7</xm:f>
          </x14:formula1>
          <xm:sqref>I15</xm:sqref>
        </x14:dataValidation>
        <x14:dataValidation type="list" allowBlank="1" showInputMessage="1" showErrorMessage="1" xr:uid="{ABE02FC3-CE8F-4B80-AC2B-117168B7779C}">
          <x14:formula1>
            <xm:f>DataBank!$A$3:$A$4</xm:f>
          </x14:formula1>
          <xm:sqref>AB10 AD10</xm:sqref>
        </x14:dataValidation>
        <x14:dataValidation type="list" allowBlank="1" showInputMessage="1" showErrorMessage="1" xr:uid="{5BEB23DB-D9D1-43B3-A44F-148B593006DB}">
          <x14:formula1>
            <xm:f>DataBank!$A$3:$A$5</xm:f>
          </x14:formula1>
          <xm:sqref>K15</xm:sqref>
        </x14:dataValidation>
        <x14:dataValidation type="whole" allowBlank="1" showInputMessage="1" showErrorMessage="1" xr:uid="{98E79486-1584-43EA-BBF9-B4D4AEAF41E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338CE01-EF05-4C5A-A514-1FE59420A06E}">
          <x14:formula1>
            <xm:f>Systemblatt!$F$5:$F$17</xm:f>
          </x14:formula1>
          <xm:sqref>K16:K17</xm:sqref>
        </x14:dataValidation>
        <x14:dataValidation type="list" allowBlank="1" showInputMessage="1" showErrorMessage="1" xr:uid="{C7C47C7D-BDCF-445F-AA79-7C4913D0291D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56D5C-7347-473E-BC89-1EF8E39BA59C}">
  <sheetPr codeName="Tabelle62">
    <tabColor theme="5" tint="0.79998168889431442"/>
  </sheetPr>
  <dimension ref="A1:AN144"/>
  <sheetViews>
    <sheetView topLeftCell="X7" zoomScale="72" zoomScaleNormal="72" workbookViewId="0">
      <selection activeCell="AH11" sqref="AH11:AJ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10.77734375" style="3"/>
    <col min="34" max="34" width="16.109375" style="3" bestFit="1" customWidth="1"/>
    <col min="35" max="35" width="14" style="3" bestFit="1" customWidth="1"/>
    <col min="36" max="37" width="10.77734375" style="3"/>
    <col min="38" max="38" width="14" style="3" bestFit="1" customWidth="1"/>
    <col min="39" max="39" width="19.33203125" style="3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61" t="s">
        <v>5</v>
      </c>
      <c r="AI8" s="562"/>
      <c r="AJ8" s="563"/>
      <c r="AK8" s="93"/>
      <c r="AL8" s="561" t="s">
        <v>6</v>
      </c>
      <c r="AM8" s="562"/>
      <c r="AN8" s="563"/>
    </row>
    <row r="9" spans="1:40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499</v>
      </c>
      <c r="F10" s="198" t="s">
        <v>169</v>
      </c>
      <c r="G10" s="5"/>
      <c r="H10" s="62"/>
      <c r="I10" s="63"/>
      <c r="J10" s="91"/>
      <c r="K10" s="5"/>
      <c r="L10" s="5"/>
      <c r="M10" s="62" t="s">
        <v>72</v>
      </c>
      <c r="N10" s="169">
        <v>4.4000000000000002E-4</v>
      </c>
      <c r="O10" s="169"/>
      <c r="P10" s="170"/>
      <c r="Q10" s="171"/>
      <c r="R10" s="5" t="s">
        <v>302</v>
      </c>
      <c r="S10" s="97">
        <v>520</v>
      </c>
      <c r="T10" s="98" t="s">
        <v>14</v>
      </c>
      <c r="U10" s="99">
        <v>1</v>
      </c>
      <c r="V10" s="79"/>
      <c r="W10" s="132"/>
      <c r="X10" s="78">
        <v>520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120" t="s">
        <v>462</v>
      </c>
      <c r="AI10" s="119">
        <v>11</v>
      </c>
      <c r="AJ10" s="121">
        <v>-1</v>
      </c>
      <c r="AK10" s="109"/>
      <c r="AL10" s="122">
        <v>11</v>
      </c>
      <c r="AM10" s="123" t="s">
        <v>462</v>
      </c>
      <c r="AN10" s="124">
        <v>0.9</v>
      </c>
    </row>
    <row r="11" spans="1:40" ht="18.600000000000001" thickBot="1">
      <c r="A11" s="5"/>
      <c r="B11" s="5"/>
      <c r="C11" s="81"/>
      <c r="D11" s="64" t="s">
        <v>3</v>
      </c>
      <c r="E11" s="65">
        <v>510</v>
      </c>
      <c r="F11" s="198" t="s">
        <v>169</v>
      </c>
      <c r="G11" s="5"/>
      <c r="H11" s="64" t="s">
        <v>64</v>
      </c>
      <c r="I11" s="303">
        <f>185559/1000000</f>
        <v>0.185559</v>
      </c>
      <c r="J11" s="82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520</v>
      </c>
      <c r="T11" s="98" t="s">
        <v>500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120" t="s">
        <v>500</v>
      </c>
      <c r="AI11" s="119">
        <v>11</v>
      </c>
      <c r="AJ11" s="524">
        <f>1*0.35</f>
        <v>0.35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454">
        <f xml:space="preserve"> 30/78</f>
        <v>0.38461538461538464</v>
      </c>
      <c r="J12" s="82" t="str">
        <f>J15</f>
        <v>t/h</v>
      </c>
      <c r="K12" s="5"/>
      <c r="L12" s="5"/>
      <c r="M12" s="229" t="s">
        <v>74</v>
      </c>
      <c r="N12" s="234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15</v>
      </c>
      <c r="AI12" s="119">
        <v>11</v>
      </c>
      <c r="AJ12" s="368">
        <f>1-AJ11</f>
        <v>0.65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298</v>
      </c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161</v>
      </c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6" t="s">
        <v>462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428"/>
      <c r="T27" s="429"/>
      <c r="U27" s="430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28"/>
      <c r="AI27" s="107"/>
      <c r="AJ27" s="67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81"/>
      <c r="T28" s="5"/>
      <c r="U28" s="82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81"/>
      <c r="T29" s="5"/>
      <c r="U29" s="82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I29" s="82"/>
      <c r="AJ29" s="5"/>
    </row>
    <row r="30" spans="1:40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81"/>
      <c r="T30" s="5"/>
      <c r="U30" s="82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81"/>
      <c r="T31" s="5"/>
      <c r="U31" s="82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81"/>
      <c r="T32" s="5"/>
      <c r="U32" s="82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73"/>
      <c r="T33" s="83"/>
      <c r="U33" s="6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3593A6B-FA49-4432-91EE-264303F00F67}">
          <x14:formula1>
            <xm:f>DataBank!$A$3:$A$11</xm:f>
          </x14:formula1>
          <xm:sqref>N11</xm:sqref>
        </x14:dataValidation>
        <x14:dataValidation type="list" allowBlank="1" showInputMessage="1" showErrorMessage="1" xr:uid="{B96EB356-9F9C-4A76-8956-D37DD78033AF}">
          <x14:formula1>
            <xm:f>Sources!$E$6:$O$6</xm:f>
          </x14:formula1>
          <xm:sqref>O13:Q13</xm:sqref>
        </x14:dataValidation>
        <x14:dataValidation type="list" allowBlank="1" showInputMessage="1" showErrorMessage="1" xr:uid="{596B9A47-EFB1-451C-A67F-BEDCA94431D0}">
          <x14:formula1>
            <xm:f>DataBank!$B$2:$B$3</xm:f>
          </x14:formula1>
          <xm:sqref>J15</xm:sqref>
        </x14:dataValidation>
        <x14:dataValidation type="list" allowBlank="1" showInputMessage="1" showErrorMessage="1" xr:uid="{07DFBDB2-E344-4DC2-8869-470900C0DDEC}">
          <x14:formula1>
            <xm:f>Sources!$E$7:$O$7</xm:f>
          </x14:formula1>
          <xm:sqref>W10:W27</xm:sqref>
        </x14:dataValidation>
        <x14:dataValidation type="list" allowBlank="1" showInputMessage="1" showErrorMessage="1" xr:uid="{39D128A3-C236-49B8-97B9-9D6C8AC39BF3}">
          <x14:formula1>
            <xm:f>DataBank!$K$17:$K$18</xm:f>
          </x14:formula1>
          <xm:sqref>E26</xm:sqref>
        </x14:dataValidation>
        <x14:dataValidation type="list" allowBlank="1" showInputMessage="1" showErrorMessage="1" xr:uid="{F77B91FF-10E8-45CD-92F7-BE19C86D9D0B}">
          <x14:formula1>
            <xm:f>DataBank!$A$3:$A$10</xm:f>
          </x14:formula1>
          <xm:sqref>O11:Q11</xm:sqref>
        </x14:dataValidation>
        <x14:dataValidation type="list" allowBlank="1" showInputMessage="1" showErrorMessage="1" xr:uid="{ACA79D8A-923C-4837-8C5E-FB3D51A5993D}">
          <x14:formula1>
            <xm:f>DataBank!$C$2:$C$7</xm:f>
          </x14:formula1>
          <xm:sqref>I15</xm:sqref>
        </x14:dataValidation>
        <x14:dataValidation type="list" allowBlank="1" showInputMessage="1" showErrorMessage="1" xr:uid="{1F8734D8-A881-49A8-9E24-86C96CEB5939}">
          <x14:formula1>
            <xm:f>DataBank!$A$3:$A$4</xm:f>
          </x14:formula1>
          <xm:sqref>AB10 AD10</xm:sqref>
        </x14:dataValidation>
        <x14:dataValidation type="list" allowBlank="1" showInputMessage="1" showErrorMessage="1" xr:uid="{E0B0AD6A-BECD-4D8D-851A-F65452EDC45D}">
          <x14:formula1>
            <xm:f>DataBank!$A$3:$A$5</xm:f>
          </x14:formula1>
          <xm:sqref>K15</xm:sqref>
        </x14:dataValidation>
        <x14:dataValidation type="whole" allowBlank="1" showInputMessage="1" showErrorMessage="1" xr:uid="{3C1FFA36-D016-4BAB-B2B7-7F426130FA4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68AF21F-9CAA-455B-A235-86E00ECBB71D}">
          <x14:formula1>
            <xm:f>Systemblatt!$F$5:$F$17</xm:f>
          </x14:formula1>
          <xm:sqref>K16:K17</xm:sqref>
        </x14:dataValidation>
        <x14:dataValidation type="list" allowBlank="1" showInputMessage="1" showErrorMessage="1" xr:uid="{81E0FB1D-B6BA-4AA3-9C8F-2C64A44681D5}">
          <x14:formula1>
            <xm:f>Systemblatt!$F$5:$F$37</xm:f>
          </x14:formula1>
          <xm:sqref>AE10:AE27 AH10:AH27 O12:Q12 AC10:AC27 T10:T27 N14:Q27 I16:I27 N12:N13</xm:sqref>
        </x14:dataValidation>
        <x14:dataValidation type="list" allowBlank="1" showInputMessage="1" showErrorMessage="1" xr:uid="{5B497F79-781E-4017-9732-60CE3C7C6FD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4484FE11-BCCF-4D5D-8531-456895EC500D}">
          <x14:formula1>
            <xm:f>Systemblatt!$P$5:$P$17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BFC3-7DD8-4924-B0A9-613C6747B16C}">
  <sheetPr codeName="Tabelle63">
    <tabColor theme="5" tint="0.79998168889431442"/>
  </sheetPr>
  <dimension ref="A1:AJ144"/>
  <sheetViews>
    <sheetView topLeftCell="K1" zoomScale="75" zoomScaleNormal="47" workbookViewId="0">
      <selection activeCell="U10" sqref="U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502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f>30/1000</f>
        <v>0.03</v>
      </c>
      <c r="O10" s="169"/>
      <c r="P10" s="170"/>
      <c r="Q10" s="171"/>
      <c r="R10" s="5" t="s">
        <v>302</v>
      </c>
      <c r="S10" s="97">
        <v>550</v>
      </c>
      <c r="T10" s="98" t="s">
        <v>14</v>
      </c>
      <c r="U10" s="495">
        <v>0.26100000000000001</v>
      </c>
      <c r="V10" s="79"/>
      <c r="W10" s="132"/>
      <c r="X10" s="78">
        <v>550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520</v>
      </c>
      <c r="F11" s="198" t="s">
        <v>169</v>
      </c>
      <c r="G11" s="5"/>
      <c r="H11" s="64" t="s">
        <v>64</v>
      </c>
      <c r="I11" s="99">
        <v>0.2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550</v>
      </c>
      <c r="T11" s="98" t="s">
        <v>500</v>
      </c>
      <c r="U11" s="495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f>10/1000</f>
        <v>0.01</v>
      </c>
      <c r="J12" s="198" t="str">
        <f>J15</f>
        <v>MW</v>
      </c>
      <c r="K12" s="5"/>
      <c r="L12" s="5"/>
      <c r="M12" s="229" t="s">
        <v>74</v>
      </c>
      <c r="N12" s="234" t="s">
        <v>500</v>
      </c>
      <c r="O12" s="169"/>
      <c r="P12" s="170"/>
      <c r="Q12" s="171"/>
      <c r="R12" s="5"/>
      <c r="S12" s="120"/>
      <c r="T12" s="119"/>
      <c r="U12" s="369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0.54</v>
      </c>
      <c r="J13" s="198" t="s">
        <v>169</v>
      </c>
      <c r="K13" s="5"/>
      <c r="L13" s="5"/>
      <c r="M13" s="230"/>
      <c r="N13" s="120" t="s">
        <v>14</v>
      </c>
      <c r="O13" s="70"/>
      <c r="P13" s="70"/>
      <c r="Q13" s="65"/>
      <c r="R13" s="5"/>
      <c r="S13" s="113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3"/>
      <c r="O14" s="74"/>
      <c r="P14" s="74"/>
      <c r="Q14" s="77"/>
      <c r="R14" s="5"/>
      <c r="S14" s="48"/>
      <c r="T14" s="70"/>
      <c r="U14" s="371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25</v>
      </c>
      <c r="J15" s="198" t="s">
        <v>180</v>
      </c>
      <c r="K15" s="5"/>
      <c r="L15" s="5"/>
      <c r="M15" s="231"/>
      <c r="N15" s="103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500</v>
      </c>
      <c r="J16" s="201" t="s">
        <v>169</v>
      </c>
      <c r="K16" s="5"/>
      <c r="L16" s="5"/>
      <c r="M16" s="231"/>
      <c r="N16" s="103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 t="s">
        <v>14</v>
      </c>
      <c r="J17" s="198" t="s">
        <v>169</v>
      </c>
      <c r="K17" s="5"/>
      <c r="L17" s="5"/>
      <c r="M17" s="231"/>
      <c r="N17" s="103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81" t="s">
        <v>427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96" t="s">
        <v>428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 t="s">
        <v>435</v>
      </c>
      <c r="N31" s="5"/>
      <c r="O31" s="5" t="s">
        <v>436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 t="s">
        <v>429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30</v>
      </c>
      <c r="N33" s="5" t="s">
        <v>419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 t="s">
        <v>433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 t="s">
        <v>432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434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296" t="s">
        <v>430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t="s">
        <v>431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M30" r:id="rId1" display="https://kindle-tech.com/faqs/how-much-energy-does-a-filter-press-use" xr:uid="{28A2A80A-50C7-4822-859A-707565074201}"/>
    <hyperlink ref="M38" r:id="rId2" xr:uid="{DE65F90D-C744-4BC9-9177-CAE6A812B0D2}"/>
  </hyperlinks>
  <pageMargins left="0.7" right="0.7" top="0.78740157499999996" bottom="0.78740157499999996" header="0.3" footer="0.3"/>
  <pageSetup paperSize="0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FADAC0C-645A-4EC3-A53B-478D5CE3ADCD}">
          <x14:formula1>
            <xm:f>DataBank!$A$3:$A$11</xm:f>
          </x14:formula1>
          <xm:sqref>N11</xm:sqref>
        </x14:dataValidation>
        <x14:dataValidation type="list" allowBlank="1" showInputMessage="1" showErrorMessage="1" xr:uid="{7D0B4A98-C618-470F-B0D0-B51C1BB06EA1}">
          <x14:formula1>
            <xm:f>Sources!$E$6:$O$6</xm:f>
          </x14:formula1>
          <xm:sqref>O13:Q13</xm:sqref>
        </x14:dataValidation>
        <x14:dataValidation type="list" allowBlank="1" showInputMessage="1" showErrorMessage="1" xr:uid="{FB8F4C10-1B88-4FB2-BC30-67D95E27080F}">
          <x14:formula1>
            <xm:f>DataBank!$B$2:$B$3</xm:f>
          </x14:formula1>
          <xm:sqref>J15</xm:sqref>
        </x14:dataValidation>
        <x14:dataValidation type="list" allowBlank="1" showInputMessage="1" showErrorMessage="1" xr:uid="{F7824200-B89F-4C9E-A10B-B72F7BAE59ED}">
          <x14:formula1>
            <xm:f>Sources!$E$7:$O$7</xm:f>
          </x14:formula1>
          <xm:sqref>W10:W27</xm:sqref>
        </x14:dataValidation>
        <x14:dataValidation type="list" allowBlank="1" showInputMessage="1" showErrorMessage="1" xr:uid="{A0D82E76-463C-41A0-AD76-8F70CA82E8A9}">
          <x14:formula1>
            <xm:f>DataBank!$K$17:$K$18</xm:f>
          </x14:formula1>
          <xm:sqref>E26</xm:sqref>
        </x14:dataValidation>
        <x14:dataValidation type="list" allowBlank="1" showInputMessage="1" showErrorMessage="1" xr:uid="{0B9CD694-66BF-4BD3-9A4A-02D236ACC7C9}">
          <x14:formula1>
            <xm:f>DataBank!$A$3:$A$10</xm:f>
          </x14:formula1>
          <xm:sqref>O11:Q11</xm:sqref>
        </x14:dataValidation>
        <x14:dataValidation type="list" allowBlank="1" showInputMessage="1" showErrorMessage="1" xr:uid="{D87CD2DD-5B57-42DE-AB1B-C92DA7100FCD}">
          <x14:formula1>
            <xm:f>DataBank!$C$2:$C$7</xm:f>
          </x14:formula1>
          <xm:sqref>I15</xm:sqref>
        </x14:dataValidation>
        <x14:dataValidation type="list" allowBlank="1" showInputMessage="1" showErrorMessage="1" xr:uid="{DFBF7608-D1B3-4D05-A10D-5350FE390F7D}">
          <x14:formula1>
            <xm:f>DataBank!$A$3:$A$4</xm:f>
          </x14:formula1>
          <xm:sqref>AB10 AD10</xm:sqref>
        </x14:dataValidation>
        <x14:dataValidation type="list" allowBlank="1" showInputMessage="1" showErrorMessage="1" xr:uid="{1C684E60-9E3B-4EF6-930C-AD9CBD5627AB}">
          <x14:formula1>
            <xm:f>DataBank!$A$3:$A$5</xm:f>
          </x14:formula1>
          <xm:sqref>K15</xm:sqref>
        </x14:dataValidation>
        <x14:dataValidation type="whole" allowBlank="1" showInputMessage="1" showErrorMessage="1" xr:uid="{F5452985-FAA3-462E-BDCA-EE58AB5C49E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4D1E23E-53B3-4558-9104-2ECF8EFC11BC}">
          <x14:formula1>
            <xm:f>Systemblatt!$F$5:$F$17</xm:f>
          </x14:formula1>
          <xm:sqref>K16:K17</xm:sqref>
        </x14:dataValidation>
        <x14:dataValidation type="list" allowBlank="1" showInputMessage="1" showErrorMessage="1" xr:uid="{85CD2946-BA1F-423E-AC24-686FC574419A}">
          <x14:formula1>
            <xm:f>Systemblatt!$F$5:$F$37</xm:f>
          </x14:formula1>
          <xm:sqref>AE10:AE27 N14:Q27 N12:Q12 N13 I16:I27 AC10:AC27 T10:T27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7E05-2171-4176-BEE9-0F3EAA65ACD6}">
  <sheetPr codeName="Tabelle66">
    <tabColor theme="5" tint="0.79998168889431442"/>
  </sheetPr>
  <dimension ref="A1:AJ144"/>
  <sheetViews>
    <sheetView topLeftCell="F4" zoomScale="75" zoomScaleNormal="47" workbookViewId="0">
      <selection activeCell="O10" sqref="O10:O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9" width="17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503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374">
        <f>M39</f>
        <v>0.70905555555555555</v>
      </c>
      <c r="P10" s="170"/>
      <c r="Q10" s="171"/>
      <c r="R10" s="5" t="s">
        <v>438</v>
      </c>
      <c r="S10" s="97">
        <v>9700</v>
      </c>
      <c r="T10" s="98" t="s">
        <v>500</v>
      </c>
      <c r="U10" s="99">
        <v>1</v>
      </c>
      <c r="V10" s="79"/>
      <c r="W10" s="132"/>
      <c r="X10" s="78">
        <v>9700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550</v>
      </c>
      <c r="F11" s="198" t="s">
        <v>169</v>
      </c>
      <c r="G11" s="5"/>
      <c r="H11" s="64" t="s">
        <v>64</v>
      </c>
      <c r="I11" s="303">
        <f>0.238 *0.93</f>
        <v>0.22134000000000001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486</v>
      </c>
      <c r="S11" s="97">
        <v>9700</v>
      </c>
      <c r="T11" s="98" t="s">
        <v>14</v>
      </c>
      <c r="U11" s="30">
        <v>7.0000000000000007E-2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J53/1000</f>
        <v>0.6350333293890269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0.65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500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1" t="s">
        <v>488</v>
      </c>
      <c r="N30" s="385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487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1" t="s">
        <v>489</v>
      </c>
      <c r="N35" s="385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490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438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86"/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87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38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440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439</v>
      </c>
      <c r="J52" s="10">
        <v>10</v>
      </c>
      <c r="K52" s="10" t="s">
        <v>439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437</v>
      </c>
      <c r="J53" s="372">
        <f>H53/H52*J52</f>
        <v>635.0333293890269</v>
      </c>
      <c r="K53" s="10" t="s">
        <v>437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138BAA0F-EAE6-441C-93F2-B5162A8D7B6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30822CE-2806-4314-A742-79AEC2E26FC1}">
          <x14:formula1>
            <xm:f>DataBank!$A$3:$A$5</xm:f>
          </x14:formula1>
          <xm:sqref>K15</xm:sqref>
        </x14:dataValidation>
        <x14:dataValidation type="list" allowBlank="1" showInputMessage="1" showErrorMessage="1" xr:uid="{2CDABDC5-2FA8-4803-8E96-D3BE1B6BDD34}">
          <x14:formula1>
            <xm:f>DataBank!$A$3:$A$4</xm:f>
          </x14:formula1>
          <xm:sqref>AB10 AD10</xm:sqref>
        </x14:dataValidation>
        <x14:dataValidation type="list" allowBlank="1" showInputMessage="1" showErrorMessage="1" xr:uid="{FEF8209B-AC53-4FCF-864F-DC58F66CCB93}">
          <x14:formula1>
            <xm:f>DataBank!$C$2:$C$7</xm:f>
          </x14:formula1>
          <xm:sqref>I15</xm:sqref>
        </x14:dataValidation>
        <x14:dataValidation type="list" allowBlank="1" showInputMessage="1" showErrorMessage="1" xr:uid="{24BB52C4-CA1D-4D70-832E-7841DC647B58}">
          <x14:formula1>
            <xm:f>DataBank!$A$3:$A$10</xm:f>
          </x14:formula1>
          <xm:sqref>O11:Q11</xm:sqref>
        </x14:dataValidation>
        <x14:dataValidation type="list" allowBlank="1" showInputMessage="1" showErrorMessage="1" xr:uid="{1493FBDB-5D13-4213-BCAC-C9986FFBB619}">
          <x14:formula1>
            <xm:f>DataBank!$K$17:$K$18</xm:f>
          </x14:formula1>
          <xm:sqref>E26</xm:sqref>
        </x14:dataValidation>
        <x14:dataValidation type="list" allowBlank="1" showInputMessage="1" showErrorMessage="1" xr:uid="{40905D62-7EFC-44C1-86E2-0D247B9513E4}">
          <x14:formula1>
            <xm:f>Sources!$E$7:$O$7</xm:f>
          </x14:formula1>
          <xm:sqref>W10:W27</xm:sqref>
        </x14:dataValidation>
        <x14:dataValidation type="list" allowBlank="1" showInputMessage="1" showErrorMessage="1" xr:uid="{E5B44C95-D0A5-411E-9BEB-503C067C45BA}">
          <x14:formula1>
            <xm:f>DataBank!$B$2:$B$3</xm:f>
          </x14:formula1>
          <xm:sqref>J15</xm:sqref>
        </x14:dataValidation>
        <x14:dataValidation type="list" allowBlank="1" showInputMessage="1" showErrorMessage="1" xr:uid="{3A467B82-4AF4-45C7-962B-28A49B398D22}">
          <x14:formula1>
            <xm:f>Sources!$E$6:$O$6</xm:f>
          </x14:formula1>
          <xm:sqref>O13:Q13</xm:sqref>
        </x14:dataValidation>
        <x14:dataValidation type="list" allowBlank="1" showInputMessage="1" showErrorMessage="1" xr:uid="{B3F7DB94-37A2-49AD-8CBD-6116B0F7EFC4}">
          <x14:formula1>
            <xm:f>DataBank!$A$3:$A$11</xm:f>
          </x14:formula1>
          <xm:sqref>N11</xm:sqref>
        </x14:dataValidation>
        <x14:dataValidation type="list" allowBlank="1" showInputMessage="1" showErrorMessage="1" xr:uid="{75BA52BE-5E26-43D6-926B-C9D9B50F19FD}">
          <x14:formula1>
            <xm:f>Systemblatt!$F$5:$F$17</xm:f>
          </x14:formula1>
          <xm:sqref>K16:K17</xm:sqref>
        </x14:dataValidation>
        <x14:dataValidation type="list" allowBlank="1" showInputMessage="1" showErrorMessage="1" xr:uid="{5D5864BA-04B0-45FF-958A-CC53C55DC624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201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/>
      <c r="J12" s="198" t="str">
        <f>J15</f>
        <v>t/h</v>
      </c>
      <c r="K12" s="5"/>
      <c r="L12" s="5"/>
      <c r="M12" s="229" t="s">
        <v>74</v>
      </c>
      <c r="N12" s="234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4" t="s">
        <v>2</v>
      </c>
      <c r="I10" s="65"/>
      <c r="J10" s="201" t="s">
        <v>169</v>
      </c>
      <c r="K10" s="74"/>
      <c r="L10" s="74"/>
      <c r="M10" s="23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74"/>
      <c r="L11" s="74"/>
      <c r="M11" s="233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/>
      <c r="J12" s="198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156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5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23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198" t="s">
        <v>169</v>
      </c>
      <c r="G21" s="5"/>
      <c r="H21" s="104"/>
      <c r="I21" s="226"/>
      <c r="J21" s="198" t="s">
        <v>169</v>
      </c>
      <c r="K21" s="5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5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5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J1" zoomScale="68" zoomScaleNormal="68" workbookViewId="0">
      <selection activeCell="R33" sqref="R3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402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7" t="s">
        <v>324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62" t="s">
        <v>72</v>
      </c>
      <c r="N10" s="356">
        <f>E55</f>
        <v>1.0153846153846154E-2</v>
      </c>
      <c r="O10" s="356">
        <f>E56</f>
        <v>0.12692307692307692</v>
      </c>
      <c r="P10" s="170"/>
      <c r="Q10" s="171"/>
      <c r="R10" s="5" t="s">
        <v>302</v>
      </c>
      <c r="S10" s="120">
        <v>700</v>
      </c>
      <c r="T10" s="119" t="s">
        <v>166</v>
      </c>
      <c r="U10" s="121">
        <v>1</v>
      </c>
      <c r="V10" s="100"/>
      <c r="W10" s="132"/>
      <c r="X10" s="78">
        <v>700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23" t="s">
        <v>164</v>
      </c>
      <c r="AI10" s="437">
        <v>2</v>
      </c>
      <c r="AJ10" s="433">
        <v>-1</v>
      </c>
      <c r="AK10" s="109"/>
      <c r="AL10" s="122">
        <v>2</v>
      </c>
      <c r="AM10" s="123" t="s">
        <v>164</v>
      </c>
      <c r="AN10" s="420">
        <v>0.99</v>
      </c>
      <c r="AO10" s="82"/>
    </row>
    <row r="11" spans="3:41" ht="18">
      <c r="C11" s="81"/>
      <c r="D11" s="64" t="s">
        <v>3</v>
      </c>
      <c r="E11" s="65">
        <v>600</v>
      </c>
      <c r="F11" s="198" t="s">
        <v>169</v>
      </c>
      <c r="G11" s="5"/>
      <c r="H11" s="64" t="s">
        <v>64</v>
      </c>
      <c r="I11" s="99">
        <v>0.7</v>
      </c>
      <c r="J11" s="198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700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39">
        <v>0.7</v>
      </c>
      <c r="AO11" s="82"/>
    </row>
    <row r="12" spans="3:41" ht="18">
      <c r="C12" s="81"/>
      <c r="D12" s="64" t="s">
        <v>39</v>
      </c>
      <c r="E12" s="236" t="s">
        <v>205</v>
      </c>
      <c r="F12" s="198" t="s">
        <v>169</v>
      </c>
      <c r="G12" s="5"/>
      <c r="H12" s="64" t="s">
        <v>65</v>
      </c>
      <c r="I12" s="304">
        <f>260/(55*24)</f>
        <v>0.19696969696969696</v>
      </c>
      <c r="J12" s="198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39">
        <v>0.77500000000000002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0.67</v>
      </c>
      <c r="J13" s="198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32">
        <f>1-AJ12-AJ11</f>
        <v>0.65</v>
      </c>
      <c r="AK13" s="109"/>
      <c r="AL13" s="111">
        <v>7</v>
      </c>
      <c r="AM13" s="6" t="s">
        <v>298</v>
      </c>
      <c r="AN13" s="439">
        <v>0.9</v>
      </c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2005</v>
      </c>
      <c r="J14" s="198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11" t="s">
        <v>163</v>
      </c>
      <c r="AI14" s="422">
        <v>3</v>
      </c>
      <c r="AJ14" s="434">
        <v>-1</v>
      </c>
      <c r="AK14" s="109"/>
      <c r="AL14" s="111">
        <v>5</v>
      </c>
      <c r="AM14" s="6" t="s">
        <v>466</v>
      </c>
      <c r="AN14" s="439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505</v>
      </c>
      <c r="AN15" s="439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3" t="s">
        <v>52</v>
      </c>
      <c r="I16" s="63" t="s">
        <v>164</v>
      </c>
      <c r="J16" s="198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466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39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198" t="s">
        <v>173</v>
      </c>
      <c r="G17" s="5"/>
      <c r="H17" s="202"/>
      <c r="I17" s="65" t="s">
        <v>161</v>
      </c>
      <c r="J17" s="198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505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198" t="s">
        <v>173</v>
      </c>
      <c r="G18" s="5"/>
      <c r="H18" s="72"/>
      <c r="I18" s="65" t="s">
        <v>296</v>
      </c>
      <c r="J18" s="198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296</v>
      </c>
      <c r="AI18" s="435">
        <v>4</v>
      </c>
      <c r="AJ18" s="436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>
      <c r="C19" s="81"/>
      <c r="D19" s="64" t="s">
        <v>59</v>
      </c>
      <c r="E19" s="65"/>
      <c r="F19" s="198" t="s">
        <v>173</v>
      </c>
      <c r="G19" s="5"/>
      <c r="H19" s="72"/>
      <c r="I19" s="65" t="s">
        <v>163</v>
      </c>
      <c r="J19" s="198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>
      <c r="C20" s="81"/>
      <c r="D20" s="66" t="s">
        <v>60</v>
      </c>
      <c r="E20" s="65"/>
      <c r="F20" s="198" t="s">
        <v>173</v>
      </c>
      <c r="G20" s="5"/>
      <c r="H20" s="72"/>
      <c r="I20" s="65"/>
      <c r="J20" s="198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507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535</v>
      </c>
      <c r="AR20" s="30" t="s">
        <v>466</v>
      </c>
    </row>
    <row r="21" spans="3:44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65"/>
      <c r="J21" s="198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32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536</v>
      </c>
      <c r="AR21" s="30" t="s">
        <v>505</v>
      </c>
    </row>
    <row r="22" spans="3:44" ht="18">
      <c r="C22" s="81"/>
      <c r="D22" s="66" t="s">
        <v>62</v>
      </c>
      <c r="E22" s="65"/>
      <c r="F22" s="198" t="s">
        <v>169</v>
      </c>
      <c r="G22" s="5"/>
      <c r="H22" s="104"/>
      <c r="I22" s="65"/>
      <c r="J22" s="198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298</v>
      </c>
      <c r="AI22" s="435">
        <v>7</v>
      </c>
      <c r="AJ22" s="436">
        <v>-1</v>
      </c>
      <c r="AK22" s="74"/>
      <c r="AL22" s="104"/>
      <c r="AM22" s="6"/>
      <c r="AN22" s="77"/>
      <c r="AO22" s="82"/>
      <c r="AP22" s="48">
        <v>7</v>
      </c>
      <c r="AQ22" s="43" t="s">
        <v>537</v>
      </c>
      <c r="AR22" s="30" t="s">
        <v>298</v>
      </c>
    </row>
    <row r="23" spans="3:44" ht="18">
      <c r="C23" s="81"/>
      <c r="D23" s="66" t="s">
        <v>63</v>
      </c>
      <c r="E23" s="65"/>
      <c r="F23" s="198" t="s">
        <v>169</v>
      </c>
      <c r="G23" s="5"/>
      <c r="H23" s="104"/>
      <c r="I23" s="77"/>
      <c r="J23" s="198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198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198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32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77"/>
      <c r="J26" s="198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35">
        <v>5</v>
      </c>
      <c r="AJ26" s="436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1" t="s">
        <v>197</v>
      </c>
      <c r="E27" s="212">
        <f>Systemblatt!C11</f>
        <v>8000</v>
      </c>
      <c r="F27" s="213" t="s">
        <v>171</v>
      </c>
      <c r="G27" s="5"/>
      <c r="H27" s="105"/>
      <c r="I27" s="76"/>
      <c r="J27" s="199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396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32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395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35">
        <v>6</v>
      </c>
      <c r="AJ30" s="436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38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11" t="s">
        <v>167</v>
      </c>
      <c r="AI34" s="225">
        <v>21</v>
      </c>
      <c r="AJ34" s="436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6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6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81">
        <v>21</v>
      </c>
      <c r="AJ37" s="438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307</v>
      </c>
      <c r="E45" s="308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12" t="s">
        <v>523</v>
      </c>
      <c r="AG45" s="413"/>
      <c r="AH45" s="413"/>
      <c r="AI45" s="413"/>
      <c r="AJ45" s="413"/>
      <c r="AK45" s="413"/>
      <c r="AL45" s="413"/>
      <c r="AM45" s="414"/>
      <c r="AN45" s="413"/>
      <c r="AO45" s="413"/>
    </row>
    <row r="46" spans="3:41" ht="23.4">
      <c r="C46" s="81"/>
      <c r="D46" s="5" t="s">
        <v>306</v>
      </c>
      <c r="E46" s="308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15" t="s">
        <v>524</v>
      </c>
      <c r="AG46" s="415"/>
      <c r="AH46" s="416"/>
      <c r="AI46" s="416"/>
      <c r="AJ46" s="416"/>
      <c r="AK46" s="416"/>
      <c r="AL46" s="416"/>
      <c r="AM46" s="416"/>
      <c r="AN46" s="416"/>
      <c r="AO46" s="416"/>
    </row>
    <row r="47" spans="3:41" ht="15.6">
      <c r="C47" s="81"/>
      <c r="D47" s="5" t="s">
        <v>308</v>
      </c>
      <c r="E47" s="308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17" t="s">
        <v>525</v>
      </c>
      <c r="AG47" s="418" t="s">
        <v>507</v>
      </c>
      <c r="AH47" s="418" t="s">
        <v>508</v>
      </c>
      <c r="AI47" s="418" t="s">
        <v>163</v>
      </c>
      <c r="AJ47" s="418" t="s">
        <v>509</v>
      </c>
      <c r="AK47" s="418" t="s">
        <v>510</v>
      </c>
      <c r="AL47" s="418" t="s">
        <v>511</v>
      </c>
      <c r="AM47" s="418" t="s">
        <v>298</v>
      </c>
      <c r="AN47" s="418" t="s">
        <v>512</v>
      </c>
      <c r="AO47" s="418" t="s">
        <v>513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526</v>
      </c>
      <c r="AH48" s="387">
        <v>0.33</v>
      </c>
      <c r="AI48" s="387">
        <v>0.56000000000000005</v>
      </c>
      <c r="AK48" s="387">
        <v>0.2</v>
      </c>
      <c r="AL48" s="387">
        <v>0.15</v>
      </c>
      <c r="AM48" s="387">
        <v>0.25</v>
      </c>
      <c r="AN48" s="387">
        <v>0.25</v>
      </c>
      <c r="AO48" s="387">
        <f>AVERAGE(AK48:AN48)</f>
        <v>0.21249999999999999</v>
      </c>
    </row>
    <row r="49" spans="3:41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527</v>
      </c>
      <c r="AH49" s="387"/>
      <c r="AI49" s="387"/>
      <c r="AK49" s="387">
        <v>0.3</v>
      </c>
      <c r="AL49" s="387">
        <v>0.4</v>
      </c>
      <c r="AM49" s="387">
        <v>0.5</v>
      </c>
      <c r="AN49" s="387">
        <v>0.5</v>
      </c>
      <c r="AO49" s="387">
        <f>AVERAGE(AK49:AN49)</f>
        <v>0.42499999999999999</v>
      </c>
    </row>
    <row r="50" spans="3:41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528</v>
      </c>
      <c r="AH50" s="387"/>
      <c r="AI50" s="387"/>
      <c r="AK50" s="387">
        <v>0.12</v>
      </c>
      <c r="AL50" s="387">
        <v>0</v>
      </c>
      <c r="AM50" s="387">
        <v>0.27</v>
      </c>
      <c r="AN50" s="387">
        <v>0.27</v>
      </c>
      <c r="AO50" s="387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529</v>
      </c>
      <c r="AH51" s="387"/>
      <c r="AI51" s="387">
        <v>0.9</v>
      </c>
      <c r="AK51" s="387"/>
      <c r="AL51" s="387"/>
      <c r="AM51" s="387"/>
      <c r="AN51" s="387"/>
    </row>
    <row r="52" spans="3:41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530</v>
      </c>
      <c r="AH52" s="387"/>
      <c r="AI52" s="387"/>
      <c r="AK52" s="387">
        <v>0</v>
      </c>
      <c r="AL52" s="387">
        <v>0</v>
      </c>
      <c r="AM52" s="387">
        <v>0.3</v>
      </c>
      <c r="AN52" s="387">
        <v>0.3</v>
      </c>
      <c r="AO52" s="3">
        <v>0</v>
      </c>
    </row>
    <row r="53" spans="3:41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531</v>
      </c>
      <c r="AH53" s="387"/>
      <c r="AI53" s="387"/>
      <c r="AK53" s="387">
        <v>0.15</v>
      </c>
      <c r="AL53" s="387">
        <v>0.2</v>
      </c>
      <c r="AM53" s="387">
        <v>0.3</v>
      </c>
      <c r="AN53" s="387">
        <v>0.3</v>
      </c>
      <c r="AO53" s="387">
        <f>AVERAGE(AK53:AN53)</f>
        <v>0.23749999999999999</v>
      </c>
    </row>
    <row r="54" spans="3:41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532</v>
      </c>
      <c r="AH54" s="387"/>
      <c r="AI54" s="387"/>
      <c r="AK54" s="387">
        <v>0.3</v>
      </c>
      <c r="AL54" s="387">
        <v>0.4</v>
      </c>
      <c r="AM54" s="387">
        <v>0.5</v>
      </c>
      <c r="AN54" s="387">
        <v>0.5</v>
      </c>
      <c r="AO54" s="387">
        <f>AVERAGE(AK54:AN54)</f>
        <v>0.42499999999999999</v>
      </c>
    </row>
    <row r="55" spans="3:41">
      <c r="C55" s="81"/>
      <c r="D55" s="5" t="s">
        <v>310</v>
      </c>
      <c r="E55" s="306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533</v>
      </c>
      <c r="AH55" s="387">
        <v>0.4</v>
      </c>
      <c r="AI55" s="387">
        <v>0.8</v>
      </c>
      <c r="AJ55" s="387">
        <v>0.5</v>
      </c>
      <c r="AK55" s="387">
        <v>0.35</v>
      </c>
      <c r="AL55" s="387">
        <v>0.45</v>
      </c>
      <c r="AM55" s="387">
        <v>0.7</v>
      </c>
      <c r="AN55" s="387">
        <v>0.7</v>
      </c>
      <c r="AO55" s="387">
        <f>AVERAGE(AK55:AN55)</f>
        <v>0.55000000000000004</v>
      </c>
    </row>
    <row r="56" spans="3:41">
      <c r="C56" s="81"/>
      <c r="D56" s="5" t="s">
        <v>311</v>
      </c>
      <c r="E56" s="309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2" t="s">
        <v>316</v>
      </c>
    </row>
    <row r="77" spans="3:41">
      <c r="D77" s="3" t="s">
        <v>323</v>
      </c>
    </row>
    <row r="95" spans="4:6">
      <c r="D95" s="3" t="s">
        <v>305</v>
      </c>
    </row>
    <row r="96" spans="4:6">
      <c r="D96" s="3" t="s">
        <v>317</v>
      </c>
      <c r="E96" s="3">
        <v>7.1699999999999997E-4</v>
      </c>
      <c r="F96" s="3" t="s">
        <v>318</v>
      </c>
    </row>
    <row r="97" spans="4:6">
      <c r="D97" s="3" t="s">
        <v>319</v>
      </c>
      <c r="E97" s="3">
        <v>190</v>
      </c>
      <c r="F97" s="3" t="s">
        <v>320</v>
      </c>
    </row>
    <row r="98" spans="4:6">
      <c r="D98" s="3" t="s">
        <v>321</v>
      </c>
      <c r="E98" s="3">
        <f>E97*E96</f>
        <v>0.13622999999999999</v>
      </c>
      <c r="F98" s="3" t="s">
        <v>322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D1" zoomScale="58" zoomScaleNormal="58" workbookViewId="0">
      <selection activeCell="I11" sqref="I11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406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19" t="s">
        <v>166</v>
      </c>
      <c r="AN10" s="420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198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405</v>
      </c>
      <c r="F12" s="198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355" t="s">
        <v>12</v>
      </c>
      <c r="J15" s="82" t="s">
        <v>180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18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24"/>
      <c r="AI27" s="425"/>
      <c r="AJ27" s="426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31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31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31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8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495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616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2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5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N10" sqref="N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7" t="s">
        <v>391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491</v>
      </c>
      <c r="U10" s="99">
        <v>1</v>
      </c>
      <c r="V10" s="100"/>
      <c r="W10" s="132">
        <v>11</v>
      </c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491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9">
        <v>800</v>
      </c>
      <c r="F11" s="198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303">
        <f>50*100/(365*24)</f>
        <v>0.57077625570776258</v>
      </c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9">
        <v>20</v>
      </c>
      <c r="F14" s="198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161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14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393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392</v>
      </c>
      <c r="E31" s="5"/>
      <c r="F31" s="5"/>
      <c r="G31" s="5"/>
      <c r="H31" s="5" t="s">
        <v>492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2D02-87C9-497B-B06F-12ACCAEE64DF}">
  <sheetPr codeName="Tabelle15">
    <tabColor theme="1" tint="0.34998626667073579"/>
  </sheetPr>
  <dimension ref="A1:AO137"/>
  <sheetViews>
    <sheetView topLeftCell="T6" zoomScale="50" zoomScaleNormal="50" workbookViewId="0">
      <selection activeCell="AB10" sqref="AB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0.8867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37.21875" style="3" bestFit="1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 t="s">
        <v>407</v>
      </c>
      <c r="F10" s="198" t="s">
        <v>169</v>
      </c>
      <c r="G10" s="5"/>
      <c r="H10" s="62"/>
      <c r="I10" s="63"/>
      <c r="J10" s="91" t="s">
        <v>169</v>
      </c>
      <c r="K10" s="74"/>
      <c r="L10" s="74"/>
      <c r="M10" s="62" t="s">
        <v>401</v>
      </c>
      <c r="N10" s="374">
        <f>110.25/1667</f>
        <v>6.6136772645470909E-2</v>
      </c>
      <c r="O10" s="374">
        <v>0.70905555555555555</v>
      </c>
      <c r="P10" s="170"/>
      <c r="Q10" s="171"/>
      <c r="R10" s="5" t="s">
        <v>493</v>
      </c>
      <c r="S10" s="97">
        <v>7000</v>
      </c>
      <c r="T10" s="98" t="s">
        <v>403</v>
      </c>
      <c r="U10" s="99">
        <v>1</v>
      </c>
      <c r="V10" s="100"/>
      <c r="W10" s="132"/>
      <c r="X10" s="78">
        <v>7000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403</v>
      </c>
      <c r="AI10" s="78">
        <v>0.59899999999999998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>
        <v>900</v>
      </c>
      <c r="F11" s="198" t="s">
        <v>169</v>
      </c>
      <c r="G11" s="5"/>
      <c r="H11" s="64" t="s">
        <v>64</v>
      </c>
      <c r="I11" s="303">
        <v>0.47099999999999997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74"/>
      <c r="Q11" s="121"/>
      <c r="R11" s="5" t="s">
        <v>179</v>
      </c>
      <c r="S11" s="97">
        <v>7000</v>
      </c>
      <c r="T11" s="98" t="s">
        <v>14</v>
      </c>
      <c r="U11" s="99">
        <v>0.1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>
        <v>1.667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234" t="s">
        <v>14</v>
      </c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51">
        <v>0.6</v>
      </c>
      <c r="J13" s="82" t="s">
        <v>169</v>
      </c>
      <c r="K13" s="74"/>
      <c r="L13" s="74"/>
      <c r="M13" s="230"/>
      <c r="N13" s="120" t="s">
        <v>163</v>
      </c>
      <c r="O13" s="12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10</v>
      </c>
      <c r="F14" s="198" t="s">
        <v>169</v>
      </c>
      <c r="G14" s="5"/>
      <c r="H14" s="64" t="s">
        <v>67</v>
      </c>
      <c r="I14" s="99">
        <v>2014</v>
      </c>
      <c r="J14" s="82" t="s">
        <v>181</v>
      </c>
      <c r="K14" s="74"/>
      <c r="L14" s="74"/>
      <c r="M14" s="231"/>
      <c r="N14" s="103" t="s">
        <v>164</v>
      </c>
      <c r="O14" s="103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14</v>
      </c>
      <c r="O15" s="103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3"/>
      <c r="O16" s="70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357">
        <v>50</v>
      </c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35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352"/>
      <c r="J30" s="353" t="s">
        <v>398</v>
      </c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 t="s">
        <v>400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354" t="s">
        <v>399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586304C-E7AF-4939-B40A-7984F27F8F2C}">
          <x14:formula1>
            <xm:f>DataBank!$A$3:$A$11</xm:f>
          </x14:formula1>
          <xm:sqref>N11</xm:sqref>
        </x14:dataValidation>
        <x14:dataValidation type="list" allowBlank="1" showInputMessage="1" showErrorMessage="1" xr:uid="{5FDEF103-74DE-4B1B-BC8D-17B7FC81503E}">
          <x14:formula1>
            <xm:f>Sources!$E$6:$O$6</xm:f>
          </x14:formula1>
          <xm:sqref>P13:Q13</xm:sqref>
        </x14:dataValidation>
        <x14:dataValidation type="list" allowBlank="1" showInputMessage="1" showErrorMessage="1" xr:uid="{F0A375E8-5ABF-4650-854E-598C0AD76F23}">
          <x14:formula1>
            <xm:f>DataBank!$B$2:$B$3</xm:f>
          </x14:formula1>
          <xm:sqref>J15</xm:sqref>
        </x14:dataValidation>
        <x14:dataValidation type="list" allowBlank="1" showInputMessage="1" showErrorMessage="1" xr:uid="{5B0F3163-2B4E-4EEF-B2A8-1968B4DA3F1C}">
          <x14:formula1>
            <xm:f>DataBank!$C$2:$C$7</xm:f>
          </x14:formula1>
          <xm:sqref>I15</xm:sqref>
        </x14:dataValidation>
        <x14:dataValidation type="list" allowBlank="1" showInputMessage="1" showErrorMessage="1" xr:uid="{61892628-628C-4FF7-9ECA-98D7C57F6CA0}">
          <x14:formula1>
            <xm:f>Sources!$E$7:$O$7</xm:f>
          </x14:formula1>
          <xm:sqref>W10:W27</xm:sqref>
        </x14:dataValidation>
        <x14:dataValidation type="list" allowBlank="1" showInputMessage="1" showErrorMessage="1" xr:uid="{00B8121A-515D-4670-A457-4AE76B415202}">
          <x14:formula1>
            <xm:f>DataBank!$K$17:$K$18</xm:f>
          </x14:formula1>
          <xm:sqref>E26</xm:sqref>
        </x14:dataValidation>
        <x14:dataValidation type="list" allowBlank="1" showInputMessage="1" showErrorMessage="1" xr:uid="{3B726EC9-B3D9-4B0C-9266-700D3A35A0D2}">
          <x14:formula1>
            <xm:f>DataBank!$A$3:$A$10</xm:f>
          </x14:formula1>
          <xm:sqref>O11:Q11</xm:sqref>
        </x14:dataValidation>
        <x14:dataValidation type="list" allowBlank="1" showInputMessage="1" showErrorMessage="1" xr:uid="{4C5C27B8-BB68-4E0A-B53A-BECE897A8824}">
          <x14:formula1>
            <xm:f>DataBank!$A$3:$A$4</xm:f>
          </x14:formula1>
          <xm:sqref>AB10 AD10</xm:sqref>
        </x14:dataValidation>
        <x14:dataValidation type="whole" allowBlank="1" showInputMessage="1" showErrorMessage="1" xr:uid="{8B4AB15F-5FD7-40CE-B289-5E1C35FAB1B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3EF004C-C65D-4173-9CD1-A23B8A0BEFDE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BE98172A-C479-4088-9FFE-A366826EDF41}">
          <x14:formula1>
            <xm:f>Systemblatt!$F$5:$F$37</xm:f>
          </x14:formula1>
          <xm:sqref>AH10:AH27 N12:Q12 N14:Q27 T10:T27 AE10:AE27 AC10:AC27 AJ10:AJ27 N13:O13 I16:I27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3" t="s">
        <v>216</v>
      </c>
      <c r="D6" s="246" t="s">
        <v>220</v>
      </c>
      <c r="E6" s="195"/>
      <c r="F6" s="251" t="s">
        <v>217</v>
      </c>
      <c r="G6" s="251" t="s">
        <v>221</v>
      </c>
      <c r="H6" s="251" t="s">
        <v>219</v>
      </c>
      <c r="I6" s="195"/>
      <c r="J6" s="241" t="s">
        <v>217</v>
      </c>
      <c r="K6" s="241" t="s">
        <v>221</v>
      </c>
      <c r="L6" s="241" t="s">
        <v>219</v>
      </c>
      <c r="M6" s="238"/>
      <c r="N6" s="241" t="s">
        <v>217</v>
      </c>
      <c r="O6" s="245" t="s">
        <v>218</v>
      </c>
      <c r="P6" s="241" t="s">
        <v>219</v>
      </c>
      <c r="Q6" s="195"/>
      <c r="R6" s="11"/>
      <c r="S6" s="11"/>
      <c r="T6" s="11"/>
    </row>
    <row r="7" spans="3:20">
      <c r="C7" s="255" t="s">
        <v>208</v>
      </c>
      <c r="D7" s="256">
        <f>1/8</f>
        <v>0.125</v>
      </c>
      <c r="E7" s="195"/>
      <c r="F7" s="257">
        <v>11</v>
      </c>
      <c r="G7" s="252">
        <v>0.15</v>
      </c>
      <c r="H7" s="258" t="s">
        <v>164</v>
      </c>
      <c r="I7" s="195"/>
      <c r="J7" s="255">
        <v>11</v>
      </c>
      <c r="K7" s="266"/>
      <c r="L7" s="270" t="s">
        <v>161</v>
      </c>
      <c r="M7" s="195"/>
      <c r="N7" s="195"/>
      <c r="O7" s="195"/>
      <c r="P7" s="195"/>
      <c r="Q7" s="195"/>
      <c r="R7" s="11"/>
      <c r="S7" s="11"/>
      <c r="T7" s="11"/>
    </row>
    <row r="8" spans="3:20">
      <c r="C8" s="172" t="s">
        <v>209</v>
      </c>
      <c r="D8" s="259">
        <f t="shared" ref="D8:D14" si="0">1/8</f>
        <v>0.125</v>
      </c>
      <c r="E8" s="195"/>
      <c r="F8" s="260">
        <v>11</v>
      </c>
      <c r="G8" s="253">
        <v>0.15</v>
      </c>
      <c r="H8" s="261" t="s">
        <v>164</v>
      </c>
      <c r="I8" s="195"/>
      <c r="J8" s="172">
        <v>11</v>
      </c>
      <c r="K8" s="195"/>
      <c r="L8" s="268"/>
      <c r="M8" s="195"/>
      <c r="N8" s="195"/>
      <c r="O8" s="195"/>
      <c r="P8" s="195"/>
      <c r="Q8" s="195"/>
      <c r="R8" s="11"/>
      <c r="S8" s="11"/>
      <c r="T8" s="11"/>
    </row>
    <row r="9" spans="3:20">
      <c r="C9" s="172" t="s">
        <v>210</v>
      </c>
      <c r="D9" s="259">
        <f t="shared" si="0"/>
        <v>0.125</v>
      </c>
      <c r="E9" s="195"/>
      <c r="F9" s="260">
        <v>11</v>
      </c>
      <c r="G9" s="253">
        <v>-0.15</v>
      </c>
      <c r="H9" s="261" t="s">
        <v>164</v>
      </c>
      <c r="I9" s="195"/>
      <c r="J9" s="172">
        <v>11</v>
      </c>
      <c r="K9" s="195"/>
      <c r="L9" s="268"/>
      <c r="M9" s="195"/>
      <c r="N9" s="195"/>
      <c r="O9" s="195"/>
      <c r="P9" s="195"/>
      <c r="Q9" s="195"/>
      <c r="R9" s="11"/>
      <c r="S9" s="11"/>
      <c r="T9" s="11"/>
    </row>
    <row r="10" spans="3:20">
      <c r="C10" s="172" t="s">
        <v>211</v>
      </c>
      <c r="D10" s="259">
        <f t="shared" si="0"/>
        <v>0.125</v>
      </c>
      <c r="E10" s="195"/>
      <c r="F10" s="260">
        <v>11</v>
      </c>
      <c r="G10" s="253">
        <v>-0.15</v>
      </c>
      <c r="H10" s="261" t="s">
        <v>164</v>
      </c>
      <c r="I10" s="195"/>
      <c r="J10" s="172">
        <v>11</v>
      </c>
      <c r="K10" s="195"/>
      <c r="L10" s="268"/>
      <c r="M10" s="195"/>
      <c r="N10" s="195"/>
      <c r="O10" s="195"/>
      <c r="P10" s="195"/>
      <c r="Q10" s="195"/>
      <c r="R10" s="11"/>
      <c r="S10" s="11"/>
      <c r="T10" s="11"/>
    </row>
    <row r="11" spans="3:20">
      <c r="C11" s="172" t="s">
        <v>212</v>
      </c>
      <c r="D11" s="259">
        <f t="shared" si="0"/>
        <v>0.125</v>
      </c>
      <c r="E11" s="195"/>
      <c r="F11" s="260">
        <v>11</v>
      </c>
      <c r="G11" s="253">
        <v>0.15</v>
      </c>
      <c r="H11" s="261" t="s">
        <v>164</v>
      </c>
      <c r="I11" s="195"/>
      <c r="J11" s="172">
        <v>11</v>
      </c>
      <c r="K11" s="195"/>
      <c r="L11" s="268"/>
      <c r="M11" s="195"/>
      <c r="N11" s="195"/>
      <c r="O11" s="195"/>
      <c r="P11" s="195"/>
      <c r="Q11" s="195"/>
      <c r="R11" s="11"/>
      <c r="S11" s="11"/>
      <c r="T11" s="11"/>
    </row>
    <row r="12" spans="3:20">
      <c r="C12" s="172" t="s">
        <v>213</v>
      </c>
      <c r="D12" s="259">
        <f>1/8</f>
        <v>0.125</v>
      </c>
      <c r="E12" s="195"/>
      <c r="F12" s="260">
        <v>11</v>
      </c>
      <c r="G12" s="253">
        <v>0.15</v>
      </c>
      <c r="H12" s="261" t="s">
        <v>164</v>
      </c>
      <c r="I12" s="195"/>
      <c r="J12" s="172">
        <v>11</v>
      </c>
      <c r="K12" s="195"/>
      <c r="L12" s="268"/>
      <c r="M12" s="195"/>
      <c r="N12" s="195"/>
      <c r="O12" s="195"/>
      <c r="P12" s="195"/>
      <c r="Q12" s="195"/>
      <c r="R12" s="11"/>
      <c r="S12" s="11"/>
      <c r="T12" s="11"/>
    </row>
    <row r="13" spans="3:20">
      <c r="C13" s="172" t="s">
        <v>214</v>
      </c>
      <c r="D13" s="259">
        <f t="shared" si="0"/>
        <v>0.125</v>
      </c>
      <c r="E13" s="195"/>
      <c r="F13" s="260">
        <v>11</v>
      </c>
      <c r="G13" s="253">
        <v>-0.15</v>
      </c>
      <c r="H13" s="261" t="s">
        <v>164</v>
      </c>
      <c r="I13" s="195"/>
      <c r="J13" s="172">
        <v>11</v>
      </c>
      <c r="K13" s="195"/>
      <c r="L13" s="268"/>
      <c r="M13" s="195"/>
      <c r="N13" s="195"/>
      <c r="O13" s="195"/>
      <c r="P13" s="195"/>
      <c r="Q13" s="195"/>
      <c r="R13" s="11"/>
      <c r="S13" s="11"/>
      <c r="T13" s="11"/>
    </row>
    <row r="14" spans="3:20" ht="15" thickBot="1">
      <c r="C14" s="262" t="s">
        <v>215</v>
      </c>
      <c r="D14" s="263">
        <f t="shared" si="0"/>
        <v>0.125</v>
      </c>
      <c r="E14" s="195"/>
      <c r="F14" s="264">
        <v>11</v>
      </c>
      <c r="G14" s="254">
        <v>-0.15</v>
      </c>
      <c r="H14" s="265" t="s">
        <v>164</v>
      </c>
      <c r="I14" s="195"/>
      <c r="J14" s="262">
        <v>11</v>
      </c>
      <c r="K14" s="155"/>
      <c r="L14" s="269"/>
      <c r="M14" s="195"/>
      <c r="N14" s="195"/>
      <c r="O14" s="195"/>
      <c r="P14" s="195"/>
      <c r="Q14" s="195"/>
      <c r="R14" s="11"/>
      <c r="S14" s="11"/>
      <c r="T14" s="11"/>
    </row>
    <row r="15" spans="3:20"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1"/>
      <c r="S15" s="11"/>
      <c r="T15" s="11"/>
    </row>
    <row r="16" spans="3:20"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566" t="s">
        <v>222</v>
      </c>
      <c r="D22" s="567"/>
      <c r="E22" s="567"/>
      <c r="F22" s="56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7" t="s">
        <v>223</v>
      </c>
      <c r="D23" s="248" t="s">
        <v>224</v>
      </c>
      <c r="E23" s="247" t="s">
        <v>225</v>
      </c>
      <c r="F23" s="240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1">
        <v>11</v>
      </c>
      <c r="D24" s="272" t="s">
        <v>164</v>
      </c>
      <c r="E24" s="272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49" t="s">
        <v>161</v>
      </c>
      <c r="E25" s="195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49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49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49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49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49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49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49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2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566" t="s">
        <v>230</v>
      </c>
      <c r="C3" s="568"/>
      <c r="D3" s="11"/>
      <c r="E3" s="240" t="s">
        <v>237</v>
      </c>
      <c r="F3" s="275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0" t="s">
        <v>231</v>
      </c>
      <c r="C4" s="286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232</v>
      </c>
      <c r="C5" s="282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3" t="s">
        <v>241</v>
      </c>
      <c r="S5" s="244"/>
      <c r="T5" s="278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2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3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3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4" t="s">
        <v>246</v>
      </c>
      <c r="C8" s="11"/>
      <c r="D8" s="11"/>
      <c r="E8" s="11"/>
      <c r="F8" s="11"/>
      <c r="G8" s="11"/>
      <c r="H8" s="11"/>
      <c r="I8" s="11"/>
      <c r="J8" s="285" t="s">
        <v>248</v>
      </c>
      <c r="K8" s="11"/>
      <c r="L8" s="11"/>
      <c r="M8" s="11"/>
      <c r="N8" s="11"/>
      <c r="O8" s="11"/>
      <c r="P8" s="11"/>
      <c r="R8" s="172">
        <v>4</v>
      </c>
      <c r="S8" s="283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572" t="s">
        <v>255</v>
      </c>
      <c r="C9" s="573"/>
      <c r="D9" s="573"/>
      <c r="E9" s="573"/>
      <c r="F9" s="573"/>
      <c r="G9" s="245"/>
      <c r="H9" s="11"/>
      <c r="I9" s="11"/>
      <c r="J9" s="316" t="s">
        <v>256</v>
      </c>
      <c r="K9" s="317"/>
      <c r="L9" s="317"/>
      <c r="M9" s="317"/>
      <c r="N9" s="317"/>
      <c r="O9" s="244"/>
      <c r="P9" s="245"/>
      <c r="R9" s="242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7" t="s">
        <v>239</v>
      </c>
      <c r="C10" s="279" t="s">
        <v>33</v>
      </c>
      <c r="D10" s="280" t="s">
        <v>242</v>
      </c>
      <c r="E10" s="318" t="s">
        <v>240</v>
      </c>
      <c r="F10" s="276" t="s">
        <v>244</v>
      </c>
      <c r="G10" s="319" t="s">
        <v>334</v>
      </c>
      <c r="H10" s="320" t="s">
        <v>336</v>
      </c>
      <c r="I10" s="11"/>
      <c r="J10" s="277" t="s">
        <v>239</v>
      </c>
      <c r="K10" s="277" t="s">
        <v>33</v>
      </c>
      <c r="L10" s="281" t="s">
        <v>238</v>
      </c>
      <c r="M10" s="277" t="s">
        <v>242</v>
      </c>
      <c r="N10" s="277" t="s">
        <v>240</v>
      </c>
      <c r="O10" s="277" t="s">
        <v>244</v>
      </c>
      <c r="P10" s="319" t="s">
        <v>334</v>
      </c>
      <c r="R10" s="11"/>
      <c r="S10" s="11"/>
      <c r="T10" s="284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1">
        <v>11</v>
      </c>
      <c r="C11" s="272" t="s">
        <v>164</v>
      </c>
      <c r="D11" s="298">
        <f>_xlfn.STDEV.P(8.7,12.4) / AVERAGE(8.7,12.4)</f>
        <v>0.17535545023696644</v>
      </c>
      <c r="E11" s="272">
        <v>1</v>
      </c>
      <c r="F11" s="255" t="s">
        <v>250</v>
      </c>
      <c r="G11" s="274" t="s">
        <v>333</v>
      </c>
      <c r="H11" s="209"/>
      <c r="I11" s="11"/>
      <c r="J11" s="172">
        <v>210</v>
      </c>
      <c r="K11" s="249" t="s">
        <v>164</v>
      </c>
      <c r="L11" s="195">
        <v>1</v>
      </c>
      <c r="M11" s="195">
        <v>0.28000000000000003</v>
      </c>
      <c r="N11" s="268">
        <v>3</v>
      </c>
      <c r="O11" s="276" t="s">
        <v>250</v>
      </c>
      <c r="P11" s="274" t="s">
        <v>333</v>
      </c>
      <c r="R11" s="287" t="s">
        <v>266</v>
      </c>
      <c r="S11" s="11"/>
      <c r="T11" s="288" t="s">
        <v>330</v>
      </c>
      <c r="U11" s="310"/>
      <c r="V11" s="310"/>
      <c r="W11" s="310"/>
      <c r="X11" s="310"/>
      <c r="Y11" s="310"/>
      <c r="Z11" s="278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49" t="s">
        <v>298</v>
      </c>
      <c r="D12" s="238">
        <v>0.18</v>
      </c>
      <c r="E12" s="195">
        <v>1</v>
      </c>
      <c r="F12" s="172" t="s">
        <v>249</v>
      </c>
      <c r="G12" s="276" t="s">
        <v>333</v>
      </c>
      <c r="H12" s="166"/>
      <c r="I12" s="11"/>
      <c r="J12" s="172">
        <v>210</v>
      </c>
      <c r="K12" s="249" t="s">
        <v>298</v>
      </c>
      <c r="L12" s="195">
        <v>1</v>
      </c>
      <c r="M12" s="195">
        <v>0.28000000000000003</v>
      </c>
      <c r="N12" s="268">
        <v>3</v>
      </c>
      <c r="O12" s="276" t="s">
        <v>249</v>
      </c>
      <c r="P12" s="276" t="s">
        <v>333</v>
      </c>
      <c r="R12" s="209" t="s">
        <v>262</v>
      </c>
      <c r="S12" s="11"/>
      <c r="T12" s="166" t="s">
        <v>239</v>
      </c>
      <c r="U12" s="262" t="s">
        <v>327</v>
      </c>
      <c r="V12" s="155"/>
      <c r="W12" s="155"/>
      <c r="X12" s="155"/>
      <c r="Y12" s="155"/>
      <c r="Z12" s="269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49" t="s">
        <v>161</v>
      </c>
      <c r="D13" s="299">
        <f>_xlfn.STDEV.P(1.02, 2.92) / AVERAGE(1.02, 2.92)</f>
        <v>0.48223350253807096</v>
      </c>
      <c r="E13" s="195">
        <v>2</v>
      </c>
      <c r="F13" s="172" t="s">
        <v>250</v>
      </c>
      <c r="G13" s="276" t="s">
        <v>335</v>
      </c>
      <c r="H13" s="166"/>
      <c r="I13" s="11"/>
      <c r="J13" s="172"/>
      <c r="K13" s="249"/>
      <c r="L13" s="195"/>
      <c r="M13" s="195"/>
      <c r="N13" s="268"/>
      <c r="O13" s="276"/>
      <c r="P13" s="276"/>
      <c r="R13" s="209">
        <v>1</v>
      </c>
      <c r="S13" s="195"/>
      <c r="T13" s="250">
        <v>11</v>
      </c>
      <c r="U13" s="271" t="s">
        <v>14</v>
      </c>
      <c r="V13" s="272"/>
      <c r="W13" s="272"/>
      <c r="X13" s="272"/>
      <c r="Y13" s="272"/>
      <c r="Z13" s="312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49"/>
      <c r="D14" s="195"/>
      <c r="E14" s="195"/>
      <c r="F14" s="172"/>
      <c r="G14" s="276"/>
      <c r="H14" s="166"/>
      <c r="I14" s="11"/>
      <c r="J14" s="172"/>
      <c r="K14" s="249"/>
      <c r="L14" s="195"/>
      <c r="M14" s="195"/>
      <c r="N14" s="268"/>
      <c r="O14" s="276"/>
      <c r="P14" s="276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49"/>
      <c r="D15" s="195"/>
      <c r="E15" s="195"/>
      <c r="F15" s="172"/>
      <c r="G15" s="276"/>
      <c r="H15" s="166"/>
      <c r="I15" s="11"/>
      <c r="J15" s="172"/>
      <c r="K15" s="249"/>
      <c r="L15" s="195"/>
      <c r="M15" s="195"/>
      <c r="N15" s="268"/>
      <c r="O15" s="276"/>
      <c r="P15" s="276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49"/>
      <c r="D16" s="195"/>
      <c r="E16" s="195"/>
      <c r="F16" s="172"/>
      <c r="G16" s="276"/>
      <c r="H16" s="166"/>
      <c r="I16" s="11"/>
      <c r="J16" s="172"/>
      <c r="K16" s="249"/>
      <c r="L16" s="195"/>
      <c r="M16" s="195"/>
      <c r="N16" s="268"/>
      <c r="O16" s="276"/>
      <c r="P16" s="276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49"/>
      <c r="D17" s="195"/>
      <c r="E17" s="195"/>
      <c r="F17" s="172"/>
      <c r="G17" s="276"/>
      <c r="H17" s="166"/>
      <c r="I17" s="11"/>
      <c r="J17" s="172"/>
      <c r="K17" s="249"/>
      <c r="L17" s="195"/>
      <c r="M17" s="195"/>
      <c r="N17" s="268"/>
      <c r="O17" s="276"/>
      <c r="P17" s="276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49"/>
      <c r="D18" s="195"/>
      <c r="E18" s="195"/>
      <c r="F18" s="172"/>
      <c r="G18" s="276"/>
      <c r="H18" s="166"/>
      <c r="I18" s="11"/>
      <c r="J18" s="172"/>
      <c r="K18" s="249"/>
      <c r="L18" s="195"/>
      <c r="M18" s="195"/>
      <c r="N18" s="268"/>
      <c r="O18" s="276"/>
      <c r="P18" s="276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49"/>
      <c r="D19" s="195"/>
      <c r="E19" s="195"/>
      <c r="F19" s="172"/>
      <c r="G19" s="276"/>
      <c r="H19" s="166"/>
      <c r="I19" s="11"/>
      <c r="J19" s="172"/>
      <c r="K19" s="249"/>
      <c r="L19" s="195"/>
      <c r="M19" s="195"/>
      <c r="N19" s="268"/>
      <c r="O19" s="276"/>
      <c r="P19" s="276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49"/>
      <c r="D20" s="195"/>
      <c r="E20" s="195"/>
      <c r="F20" s="172"/>
      <c r="G20" s="276"/>
      <c r="H20" s="166"/>
      <c r="I20" s="11"/>
      <c r="J20" s="172"/>
      <c r="K20" s="249"/>
      <c r="L20" s="195"/>
      <c r="M20" s="195"/>
      <c r="N20" s="268"/>
      <c r="O20" s="276"/>
      <c r="P20" s="276"/>
      <c r="R20" s="210"/>
      <c r="S20" s="11"/>
      <c r="T20" s="311"/>
      <c r="U20" s="242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49"/>
      <c r="D21" s="195"/>
      <c r="E21" s="195"/>
      <c r="F21" s="172"/>
      <c r="G21" s="276"/>
      <c r="H21" s="166"/>
      <c r="I21" s="11"/>
      <c r="J21" s="172"/>
      <c r="K21" s="249"/>
      <c r="L21" s="195"/>
      <c r="M21" s="195"/>
      <c r="N21" s="268"/>
      <c r="O21" s="276"/>
      <c r="P21" s="276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49"/>
      <c r="D22" s="195"/>
      <c r="E22" s="195"/>
      <c r="F22" s="172"/>
      <c r="G22" s="276"/>
      <c r="H22" s="166"/>
      <c r="I22" s="11"/>
      <c r="J22" s="172"/>
      <c r="K22" s="249"/>
      <c r="L22" s="195"/>
      <c r="M22" s="195"/>
      <c r="N22" s="268"/>
      <c r="O22" s="276"/>
      <c r="P22" s="276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2"/>
      <c r="C23" s="273"/>
      <c r="D23" s="155"/>
      <c r="E23" s="155"/>
      <c r="F23" s="262"/>
      <c r="G23" s="277"/>
      <c r="H23" s="167"/>
      <c r="I23" s="11"/>
      <c r="J23" s="262"/>
      <c r="K23" s="155"/>
      <c r="L23" s="155"/>
      <c r="M23" s="155"/>
      <c r="N23" s="269"/>
      <c r="O23" s="277"/>
      <c r="P23" s="27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5"/>
      <c r="C24" s="195"/>
      <c r="D24" s="195"/>
      <c r="E24" s="195"/>
      <c r="F24" s="195"/>
      <c r="G24" s="195"/>
      <c r="H24" s="11"/>
      <c r="I24" s="11"/>
      <c r="J24" s="195"/>
      <c r="K24" s="195"/>
      <c r="L24" s="195"/>
      <c r="M24" s="195"/>
      <c r="N24" s="195"/>
      <c r="O24" s="195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5"/>
      <c r="C25" s="195"/>
      <c r="D25" s="195"/>
      <c r="E25" s="195"/>
      <c r="F25" s="195"/>
      <c r="G25" s="195"/>
      <c r="H25" s="11"/>
      <c r="I25" s="195"/>
      <c r="J25" s="195"/>
      <c r="K25" s="195"/>
      <c r="L25" s="195"/>
      <c r="M25" s="195"/>
      <c r="N25" s="195"/>
      <c r="O25" s="19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5" t="s">
        <v>252</v>
      </c>
      <c r="C26" s="195"/>
      <c r="D26" s="195"/>
      <c r="E26" s="195"/>
      <c r="F26" s="195"/>
      <c r="G26" s="195"/>
      <c r="H26" s="195"/>
      <c r="I26" s="11"/>
      <c r="J26" s="285" t="s">
        <v>248</v>
      </c>
      <c r="K26" s="195"/>
      <c r="L26" s="195"/>
      <c r="M26" s="195"/>
      <c r="N26" s="195"/>
      <c r="O26" s="195"/>
      <c r="P26" s="195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3" t="s">
        <v>253</v>
      </c>
      <c r="C27" s="244"/>
      <c r="D27" s="244"/>
      <c r="E27" s="244"/>
      <c r="F27" s="244"/>
      <c r="G27" s="244"/>
      <c r="H27" s="245"/>
      <c r="I27" s="11"/>
      <c r="J27" s="316" t="s">
        <v>254</v>
      </c>
      <c r="K27" s="317"/>
      <c r="L27" s="317"/>
      <c r="M27" s="317"/>
      <c r="N27" s="317"/>
      <c r="O27" s="275"/>
      <c r="P27" s="24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7" t="s">
        <v>239</v>
      </c>
      <c r="C28" s="318" t="s">
        <v>278</v>
      </c>
      <c r="D28" s="277" t="s">
        <v>33</v>
      </c>
      <c r="E28" s="318" t="s">
        <v>242</v>
      </c>
      <c r="F28" s="277" t="s">
        <v>240</v>
      </c>
      <c r="G28" s="276" t="s">
        <v>244</v>
      </c>
      <c r="H28" s="319" t="s">
        <v>334</v>
      </c>
      <c r="I28" s="11"/>
      <c r="J28" s="274" t="s">
        <v>239</v>
      </c>
      <c r="K28" s="241" t="s">
        <v>33</v>
      </c>
      <c r="L28" s="246" t="s">
        <v>238</v>
      </c>
      <c r="M28" s="267" t="s">
        <v>242</v>
      </c>
      <c r="N28" s="274" t="s">
        <v>240</v>
      </c>
      <c r="O28" s="274" t="s">
        <v>244</v>
      </c>
      <c r="P28" s="319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5">
        <v>220</v>
      </c>
      <c r="C29" s="266">
        <v>320</v>
      </c>
      <c r="D29" s="272" t="s">
        <v>161</v>
      </c>
      <c r="E29" s="266">
        <v>0.6</v>
      </c>
      <c r="F29" s="267">
        <v>3</v>
      </c>
      <c r="G29" s="267" t="s">
        <v>249</v>
      </c>
      <c r="H29" s="276" t="s">
        <v>335</v>
      </c>
      <c r="I29" s="11"/>
      <c r="J29" s="255"/>
      <c r="K29" s="249"/>
      <c r="L29" s="195"/>
      <c r="M29" s="266"/>
      <c r="N29" s="266"/>
      <c r="O29" s="274"/>
      <c r="P29" s="274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5">
        <v>330</v>
      </c>
      <c r="D30" s="249" t="s">
        <v>161</v>
      </c>
      <c r="E30" s="195">
        <v>0.19</v>
      </c>
      <c r="F30" s="268">
        <v>3</v>
      </c>
      <c r="G30" s="268" t="s">
        <v>249</v>
      </c>
      <c r="H30" s="276" t="s">
        <v>335</v>
      </c>
      <c r="I30" s="11"/>
      <c r="J30" s="172"/>
      <c r="K30" s="249"/>
      <c r="L30" s="195"/>
      <c r="M30" s="195"/>
      <c r="N30" s="195"/>
      <c r="O30" s="276"/>
      <c r="P30" s="276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5"/>
      <c r="D31" s="249"/>
      <c r="E31" s="195"/>
      <c r="F31" s="268"/>
      <c r="G31" s="268"/>
      <c r="H31" s="276"/>
      <c r="I31" s="11"/>
      <c r="J31" s="172"/>
      <c r="K31" s="249"/>
      <c r="L31" s="195"/>
      <c r="M31" s="195"/>
      <c r="N31" s="195"/>
      <c r="O31" s="276"/>
      <c r="P31" s="276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49"/>
      <c r="E32" s="195"/>
      <c r="F32" s="268"/>
      <c r="G32" s="268"/>
      <c r="H32" s="276"/>
      <c r="I32" s="11"/>
      <c r="J32" s="172"/>
      <c r="K32" s="249"/>
      <c r="L32" s="195"/>
      <c r="M32" s="195"/>
      <c r="N32" s="195"/>
      <c r="O32" s="276"/>
      <c r="P32" s="276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49"/>
      <c r="E33" s="195"/>
      <c r="F33" s="268"/>
      <c r="G33" s="268"/>
      <c r="H33" s="276"/>
      <c r="I33" s="11"/>
      <c r="J33" s="172"/>
      <c r="K33" s="249"/>
      <c r="L33" s="195"/>
      <c r="M33" s="195"/>
      <c r="N33" s="195"/>
      <c r="O33" s="276"/>
      <c r="P33" s="276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49"/>
      <c r="E34" s="195"/>
      <c r="F34" s="268"/>
      <c r="G34" s="268"/>
      <c r="H34" s="276"/>
      <c r="I34" s="11"/>
      <c r="J34" s="172"/>
      <c r="K34" s="249"/>
      <c r="L34" s="195"/>
      <c r="M34" s="195"/>
      <c r="N34" s="195"/>
      <c r="O34" s="276"/>
      <c r="P34" s="276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49"/>
      <c r="E35" s="195"/>
      <c r="F35" s="268"/>
      <c r="G35" s="268"/>
      <c r="H35" s="276"/>
      <c r="I35" s="11"/>
      <c r="J35" s="172"/>
      <c r="K35" s="249"/>
      <c r="L35" s="195"/>
      <c r="M35" s="195"/>
      <c r="N35" s="195"/>
      <c r="O35" s="276"/>
      <c r="P35" s="276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49"/>
      <c r="E36" s="195"/>
      <c r="F36" s="268"/>
      <c r="G36" s="268"/>
      <c r="H36" s="276"/>
      <c r="I36" s="11"/>
      <c r="J36" s="172"/>
      <c r="K36" s="249"/>
      <c r="L36" s="195"/>
      <c r="M36" s="195"/>
      <c r="N36" s="195"/>
      <c r="O36" s="276"/>
      <c r="P36" s="276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49"/>
      <c r="E37" s="195"/>
      <c r="F37" s="268"/>
      <c r="G37" s="268"/>
      <c r="H37" s="276"/>
      <c r="I37" s="11"/>
      <c r="J37" s="172"/>
      <c r="K37" s="249"/>
      <c r="L37" s="195"/>
      <c r="M37" s="195"/>
      <c r="N37" s="195"/>
      <c r="O37" s="276"/>
      <c r="P37" s="276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49"/>
      <c r="E38" s="195"/>
      <c r="F38" s="268"/>
      <c r="G38" s="268"/>
      <c r="H38" s="276"/>
      <c r="I38" s="11"/>
      <c r="J38" s="172"/>
      <c r="K38" s="249"/>
      <c r="L38" s="195"/>
      <c r="M38" s="195"/>
      <c r="N38" s="195"/>
      <c r="O38" s="276"/>
      <c r="P38" s="276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5"/>
      <c r="C39" s="11"/>
      <c r="D39" s="249"/>
      <c r="E39" s="195"/>
      <c r="F39" s="268"/>
      <c r="G39" s="268"/>
      <c r="H39" s="276"/>
      <c r="I39" s="11"/>
      <c r="J39" s="172"/>
      <c r="K39" s="249"/>
      <c r="L39" s="195"/>
      <c r="M39" s="195"/>
      <c r="N39" s="195"/>
      <c r="O39" s="276"/>
      <c r="P39" s="276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49"/>
      <c r="E40" s="195"/>
      <c r="F40" s="268"/>
      <c r="G40" s="268"/>
      <c r="H40" s="276"/>
      <c r="I40" s="11"/>
      <c r="J40" s="172"/>
      <c r="K40" s="249"/>
      <c r="L40" s="195"/>
      <c r="M40" s="195"/>
      <c r="N40" s="195"/>
      <c r="O40" s="276"/>
      <c r="P40" s="276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2"/>
      <c r="C41" s="89"/>
      <c r="D41" s="155"/>
      <c r="E41" s="155"/>
      <c r="F41" s="269"/>
      <c r="G41" s="269"/>
      <c r="H41" s="277"/>
      <c r="I41" s="11"/>
      <c r="J41" s="262"/>
      <c r="K41" s="155"/>
      <c r="L41" s="155"/>
      <c r="M41" s="155"/>
      <c r="N41" s="155"/>
      <c r="O41" s="277"/>
      <c r="P41" s="27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5" t="s">
        <v>247</v>
      </c>
      <c r="C45" s="11"/>
      <c r="D45" s="11"/>
      <c r="E45" s="11"/>
      <c r="F45" s="11"/>
      <c r="G45" s="11"/>
      <c r="H45" s="11"/>
      <c r="I45" s="285" t="s">
        <v>258</v>
      </c>
      <c r="J45" s="11"/>
      <c r="K45" s="11"/>
      <c r="L45" s="11"/>
      <c r="M45" s="11"/>
      <c r="O45" s="285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569" t="s">
        <v>245</v>
      </c>
      <c r="C46" s="570"/>
      <c r="D46" s="570"/>
      <c r="E46" s="570"/>
      <c r="F46" s="570"/>
      <c r="G46" s="571"/>
      <c r="H46" s="11"/>
      <c r="I46" s="569" t="s">
        <v>260</v>
      </c>
      <c r="J46" s="570"/>
      <c r="K46" s="570"/>
      <c r="L46" s="571"/>
      <c r="M46" s="287"/>
      <c r="O46" s="316" t="s">
        <v>261</v>
      </c>
      <c r="P46" s="317"/>
      <c r="Q46" s="317"/>
      <c r="R46" s="275"/>
      <c r="S46" s="28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6" t="s">
        <v>239</v>
      </c>
      <c r="C47" s="276" t="s">
        <v>33</v>
      </c>
      <c r="D47" s="268" t="s">
        <v>242</v>
      </c>
      <c r="E47" s="276" t="s">
        <v>240</v>
      </c>
      <c r="F47" s="276" t="s">
        <v>244</v>
      </c>
      <c r="G47" s="319" t="s">
        <v>334</v>
      </c>
      <c r="H47" s="11"/>
      <c r="I47" s="274" t="s">
        <v>239</v>
      </c>
      <c r="J47" s="267" t="s">
        <v>242</v>
      </c>
      <c r="K47" s="274" t="s">
        <v>240</v>
      </c>
      <c r="L47" s="274" t="s">
        <v>244</v>
      </c>
      <c r="M47" s="319" t="s">
        <v>334</v>
      </c>
      <c r="O47" s="241" t="s">
        <v>239</v>
      </c>
      <c r="P47" s="245" t="s">
        <v>242</v>
      </c>
      <c r="Q47" s="241" t="s">
        <v>240</v>
      </c>
      <c r="R47" s="274" t="s">
        <v>244</v>
      </c>
      <c r="S47" s="319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5"/>
      <c r="C48" s="272"/>
      <c r="D48" s="266"/>
      <c r="E48" s="266"/>
      <c r="F48" s="274"/>
      <c r="G48" s="274" t="s">
        <v>333</v>
      </c>
      <c r="H48" s="11"/>
      <c r="I48" s="255"/>
      <c r="J48" s="266"/>
      <c r="K48" s="267"/>
      <c r="L48" s="274"/>
      <c r="M48" s="274" t="s">
        <v>333</v>
      </c>
      <c r="O48" s="255">
        <v>2000</v>
      </c>
      <c r="P48" s="298">
        <v>7.1999999999999995E-2</v>
      </c>
      <c r="Q48" s="267">
        <v>4</v>
      </c>
      <c r="R48" s="274" t="s">
        <v>250</v>
      </c>
      <c r="S48" s="274" t="s">
        <v>333</v>
      </c>
      <c r="T48" s="315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49"/>
      <c r="D49" s="195"/>
      <c r="E49" s="195"/>
      <c r="F49" s="276"/>
      <c r="G49" s="276" t="s">
        <v>333</v>
      </c>
      <c r="H49" s="11"/>
      <c r="I49" s="172"/>
      <c r="J49" s="195"/>
      <c r="K49" s="268"/>
      <c r="L49" s="276"/>
      <c r="M49" s="276" t="s">
        <v>333</v>
      </c>
      <c r="O49" s="172">
        <v>3000</v>
      </c>
      <c r="P49" s="195">
        <v>0.41</v>
      </c>
      <c r="Q49" s="268">
        <v>4</v>
      </c>
      <c r="R49" s="276" t="s">
        <v>249</v>
      </c>
      <c r="S49" s="276" t="s">
        <v>333</v>
      </c>
      <c r="T49" s="195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49"/>
      <c r="D50" s="195"/>
      <c r="E50" s="195"/>
      <c r="F50" s="276"/>
      <c r="G50" s="276"/>
      <c r="H50" s="11"/>
      <c r="I50" s="172"/>
      <c r="J50" s="195"/>
      <c r="K50" s="268"/>
      <c r="L50" s="276"/>
      <c r="M50" s="276"/>
      <c r="O50" s="172">
        <v>4000</v>
      </c>
      <c r="P50" s="195">
        <v>0.11</v>
      </c>
      <c r="Q50" s="268">
        <v>4</v>
      </c>
      <c r="R50" s="276" t="s">
        <v>249</v>
      </c>
      <c r="S50" s="276"/>
      <c r="T50" s="195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49"/>
      <c r="D51" s="195"/>
      <c r="E51" s="195"/>
      <c r="F51" s="276"/>
      <c r="G51" s="276"/>
      <c r="H51" s="11"/>
      <c r="I51" s="172"/>
      <c r="J51" s="195"/>
      <c r="K51" s="268"/>
      <c r="L51" s="276"/>
      <c r="M51" s="276"/>
      <c r="O51" s="172">
        <v>5000</v>
      </c>
      <c r="P51" s="195">
        <v>0.13</v>
      </c>
      <c r="Q51" s="268">
        <v>4</v>
      </c>
      <c r="R51" s="276" t="s">
        <v>249</v>
      </c>
      <c r="S51" s="276"/>
      <c r="T51" s="195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49"/>
      <c r="D52" s="195"/>
      <c r="E52" s="195"/>
      <c r="F52" s="276"/>
      <c r="G52" s="276"/>
      <c r="H52" s="11"/>
      <c r="I52" s="172"/>
      <c r="J52" s="195"/>
      <c r="K52" s="268"/>
      <c r="L52" s="276"/>
      <c r="M52" s="276"/>
      <c r="O52" s="172"/>
      <c r="P52" s="195"/>
      <c r="Q52" s="268"/>
      <c r="R52" s="276"/>
      <c r="S52" s="276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49"/>
      <c r="D53" s="195"/>
      <c r="E53" s="195"/>
      <c r="F53" s="276"/>
      <c r="G53" s="276"/>
      <c r="H53" s="11"/>
      <c r="I53" s="172"/>
      <c r="J53" s="195"/>
      <c r="K53" s="268"/>
      <c r="L53" s="276"/>
      <c r="M53" s="276"/>
      <c r="O53" s="172"/>
      <c r="P53" s="195"/>
      <c r="Q53" s="268"/>
      <c r="R53" s="276"/>
      <c r="S53" s="276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49"/>
      <c r="D54" s="195"/>
      <c r="E54" s="195"/>
      <c r="F54" s="276"/>
      <c r="G54" s="276"/>
      <c r="H54" s="11"/>
      <c r="I54" s="172"/>
      <c r="J54" s="195"/>
      <c r="K54" s="268"/>
      <c r="L54" s="276"/>
      <c r="M54" s="276"/>
      <c r="O54" s="172"/>
      <c r="P54" s="195"/>
      <c r="Q54" s="268"/>
      <c r="R54" s="276"/>
      <c r="S54" s="276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49"/>
      <c r="D55" s="195"/>
      <c r="E55" s="195"/>
      <c r="F55" s="276"/>
      <c r="G55" s="276"/>
      <c r="H55" s="11"/>
      <c r="I55" s="172"/>
      <c r="J55" s="195"/>
      <c r="K55" s="268"/>
      <c r="L55" s="276"/>
      <c r="M55" s="276"/>
      <c r="O55" s="172"/>
      <c r="P55" s="195"/>
      <c r="Q55" s="268"/>
      <c r="R55" s="276"/>
      <c r="S55" s="276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49"/>
      <c r="D56" s="195"/>
      <c r="E56" s="195"/>
      <c r="F56" s="276"/>
      <c r="G56" s="276"/>
      <c r="H56" s="11"/>
      <c r="I56" s="172"/>
      <c r="J56" s="195"/>
      <c r="K56" s="268"/>
      <c r="L56" s="276"/>
      <c r="M56" s="276"/>
      <c r="O56" s="172"/>
      <c r="P56" s="195"/>
      <c r="Q56" s="268"/>
      <c r="R56" s="276"/>
      <c r="S56" s="276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49"/>
      <c r="D57" s="195"/>
      <c r="E57" s="195"/>
      <c r="F57" s="276"/>
      <c r="G57" s="276"/>
      <c r="H57" s="11"/>
      <c r="I57" s="172"/>
      <c r="J57" s="195"/>
      <c r="K57" s="268"/>
      <c r="L57" s="276"/>
      <c r="M57" s="276"/>
      <c r="O57" s="172"/>
      <c r="P57" s="195"/>
      <c r="Q57" s="268"/>
      <c r="R57" s="276"/>
      <c r="S57" s="276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49"/>
      <c r="D58" s="195"/>
      <c r="E58" s="195"/>
      <c r="F58" s="276"/>
      <c r="G58" s="276"/>
      <c r="H58" s="11"/>
      <c r="I58" s="172"/>
      <c r="J58" s="195"/>
      <c r="K58" s="268"/>
      <c r="L58" s="276"/>
      <c r="M58" s="276"/>
      <c r="O58" s="172"/>
      <c r="P58" s="195"/>
      <c r="Q58" s="268"/>
      <c r="R58" s="276"/>
      <c r="S58" s="276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49"/>
      <c r="D59" s="195"/>
      <c r="E59" s="195"/>
      <c r="F59" s="276"/>
      <c r="G59" s="276"/>
      <c r="H59" s="11"/>
      <c r="I59" s="172"/>
      <c r="J59" s="195"/>
      <c r="K59" s="268"/>
      <c r="L59" s="276"/>
      <c r="M59" s="276"/>
      <c r="O59" s="172"/>
      <c r="P59" s="195"/>
      <c r="Q59" s="268"/>
      <c r="R59" s="276"/>
      <c r="S59" s="276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2"/>
      <c r="C60" s="273"/>
      <c r="D60" s="155"/>
      <c r="E60" s="155"/>
      <c r="F60" s="277"/>
      <c r="G60" s="277"/>
      <c r="H60" s="11"/>
      <c r="I60" s="262"/>
      <c r="J60" s="155"/>
      <c r="K60" s="269"/>
      <c r="L60" s="277"/>
      <c r="M60" s="277"/>
      <c r="O60" s="262"/>
      <c r="P60" s="155"/>
      <c r="Q60" s="269"/>
      <c r="R60" s="277"/>
      <c r="S60" s="277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4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572" t="s">
        <v>255</v>
      </c>
      <c r="C68" s="573"/>
      <c r="D68" s="573"/>
      <c r="E68" s="573"/>
      <c r="F68" s="573"/>
      <c r="G68" s="245"/>
    </row>
    <row r="69" spans="2:30" ht="15" thickBot="1">
      <c r="B69" s="277" t="s">
        <v>239</v>
      </c>
      <c r="C69" s="279" t="s">
        <v>33</v>
      </c>
      <c r="D69" s="280" t="s">
        <v>242</v>
      </c>
      <c r="E69" s="318" t="s">
        <v>240</v>
      </c>
      <c r="F69" s="276" t="s">
        <v>244</v>
      </c>
      <c r="G69" s="319" t="s">
        <v>334</v>
      </c>
    </row>
    <row r="70" spans="2:30">
      <c r="B70" s="271">
        <v>11</v>
      </c>
      <c r="C70" s="272" t="s">
        <v>164</v>
      </c>
      <c r="D70" s="298">
        <f>_xlfn.STDEV.P(8.7,12.4) / AVERAGE(8.7,12.4)</f>
        <v>0.17535545023696644</v>
      </c>
      <c r="E70" s="272">
        <v>1</v>
      </c>
      <c r="F70" s="255" t="s">
        <v>250</v>
      </c>
      <c r="G70" s="274" t="s">
        <v>333</v>
      </c>
    </row>
    <row r="71" spans="2:30">
      <c r="B71" s="172">
        <v>11</v>
      </c>
      <c r="C71" s="249" t="s">
        <v>298</v>
      </c>
      <c r="D71" s="238">
        <v>0.18</v>
      </c>
      <c r="E71" s="195">
        <v>1</v>
      </c>
      <c r="F71" s="172" t="s">
        <v>249</v>
      </c>
      <c r="G71" s="276" t="s">
        <v>333</v>
      </c>
    </row>
    <row r="72" spans="2:30">
      <c r="B72" s="172">
        <v>11</v>
      </c>
      <c r="C72" s="249" t="s">
        <v>161</v>
      </c>
      <c r="D72" s="299">
        <f>_xlfn.STDEV.P(1.02, 2.92) / AVERAGE(1.02, 2.92)</f>
        <v>0.48223350253807096</v>
      </c>
      <c r="E72" s="195">
        <v>2</v>
      </c>
      <c r="F72" s="172" t="s">
        <v>250</v>
      </c>
      <c r="G72" s="276" t="s">
        <v>335</v>
      </c>
    </row>
    <row r="73" spans="2:30">
      <c r="B73" s="172"/>
      <c r="C73" s="249"/>
      <c r="D73" s="195"/>
      <c r="E73" s="195"/>
      <c r="F73" s="172"/>
      <c r="G73" s="276"/>
    </row>
    <row r="74" spans="2:30">
      <c r="B74" s="172"/>
      <c r="C74" s="249"/>
      <c r="D74" s="195"/>
      <c r="E74" s="195"/>
      <c r="F74" s="172"/>
      <c r="G74" s="276"/>
    </row>
    <row r="75" spans="2:30">
      <c r="B75" s="172"/>
      <c r="C75" s="249"/>
      <c r="D75" s="195"/>
      <c r="E75" s="195"/>
      <c r="F75" s="172"/>
      <c r="G75" s="276"/>
    </row>
    <row r="76" spans="2:30">
      <c r="B76" s="172"/>
      <c r="C76" s="249"/>
      <c r="D76" s="195"/>
      <c r="E76" s="195"/>
      <c r="F76" s="172"/>
      <c r="G76" s="276"/>
    </row>
    <row r="77" spans="2:30">
      <c r="B77" s="172"/>
      <c r="C77" s="249"/>
      <c r="D77" s="195"/>
      <c r="E77" s="195"/>
      <c r="F77" s="172"/>
      <c r="G77" s="276"/>
    </row>
    <row r="78" spans="2:30">
      <c r="B78" s="172"/>
      <c r="C78" s="249"/>
      <c r="D78" s="195"/>
      <c r="E78" s="195"/>
      <c r="F78" s="172"/>
      <c r="G78" s="276"/>
    </row>
    <row r="79" spans="2:30">
      <c r="B79" s="172"/>
      <c r="C79" s="249"/>
      <c r="D79" s="195"/>
      <c r="E79" s="195"/>
      <c r="F79" s="172"/>
      <c r="G79" s="276"/>
    </row>
    <row r="80" spans="2:30">
      <c r="B80" s="172"/>
      <c r="C80" s="249"/>
      <c r="D80" s="195"/>
      <c r="E80" s="195"/>
      <c r="F80" s="172"/>
      <c r="G80" s="276"/>
    </row>
    <row r="81" spans="2:10">
      <c r="B81" s="172"/>
      <c r="C81" s="249"/>
      <c r="D81" s="195"/>
      <c r="E81" s="195"/>
      <c r="F81" s="172"/>
      <c r="G81" s="276"/>
    </row>
    <row r="82" spans="2:10" ht="15" thickBot="1">
      <c r="B82" s="262"/>
      <c r="C82" s="273"/>
      <c r="D82" s="155"/>
      <c r="E82" s="155"/>
      <c r="F82" s="262"/>
      <c r="G82" s="277"/>
    </row>
    <row r="87" spans="2:10" ht="15" thickBot="1">
      <c r="C87" s="195"/>
      <c r="D87" s="195"/>
      <c r="E87" s="195"/>
      <c r="F87" s="195"/>
      <c r="G87" s="195"/>
      <c r="H87" s="195"/>
      <c r="I87" s="195"/>
    </row>
    <row r="88" spans="2:10" ht="15" thickBot="1">
      <c r="B88" s="321" t="s">
        <v>338</v>
      </c>
      <c r="C88" s="241" t="s">
        <v>239</v>
      </c>
      <c r="D88" s="246" t="s">
        <v>278</v>
      </c>
      <c r="E88" s="241" t="s">
        <v>33</v>
      </c>
      <c r="F88" s="246" t="s">
        <v>242</v>
      </c>
      <c r="G88" s="241" t="s">
        <v>240</v>
      </c>
      <c r="H88" s="241" t="s">
        <v>244</v>
      </c>
      <c r="I88" s="322" t="s">
        <v>334</v>
      </c>
      <c r="J88" s="320" t="s">
        <v>336</v>
      </c>
    </row>
    <row r="89" spans="2:10">
      <c r="B89" s="321" t="s">
        <v>255</v>
      </c>
      <c r="C89" s="255">
        <v>220</v>
      </c>
      <c r="D89" s="266">
        <v>320</v>
      </c>
      <c r="E89" s="272" t="s">
        <v>161</v>
      </c>
      <c r="F89" s="266">
        <v>0.6</v>
      </c>
      <c r="G89" s="267">
        <v>3</v>
      </c>
      <c r="H89" s="274" t="s">
        <v>249</v>
      </c>
      <c r="I89" s="274" t="s">
        <v>335</v>
      </c>
      <c r="J89" s="166"/>
    </row>
    <row r="90" spans="2:10">
      <c r="B90" s="166" t="s">
        <v>255</v>
      </c>
      <c r="C90" s="172">
        <v>230</v>
      </c>
      <c r="D90" s="195">
        <v>330</v>
      </c>
      <c r="E90" s="249" t="s">
        <v>161</v>
      </c>
      <c r="F90" s="195">
        <v>0.19</v>
      </c>
      <c r="G90" s="268">
        <v>3</v>
      </c>
      <c r="H90" s="276" t="s">
        <v>249</v>
      </c>
      <c r="I90" s="276" t="s">
        <v>335</v>
      </c>
      <c r="J90" s="166"/>
    </row>
    <row r="91" spans="2:10">
      <c r="B91" s="166"/>
      <c r="C91" s="172"/>
      <c r="D91" s="195"/>
      <c r="E91" s="249"/>
      <c r="F91" s="195"/>
      <c r="G91" s="268"/>
      <c r="H91" s="276"/>
      <c r="I91" s="276"/>
      <c r="J91" s="166"/>
    </row>
    <row r="92" spans="2:10">
      <c r="B92" s="166"/>
      <c r="C92" s="88"/>
      <c r="D92" s="11"/>
      <c r="E92" s="249"/>
      <c r="F92" s="195"/>
      <c r="G92" s="268"/>
      <c r="H92" s="276"/>
      <c r="I92" s="276"/>
      <c r="J92" s="166"/>
    </row>
    <row r="93" spans="2:10">
      <c r="B93" s="166"/>
      <c r="C93" s="172"/>
      <c r="D93" s="11"/>
      <c r="E93" s="249"/>
      <c r="F93" s="195"/>
      <c r="G93" s="268"/>
      <c r="H93" s="276"/>
      <c r="I93" s="276"/>
      <c r="J93" s="166"/>
    </row>
    <row r="94" spans="2:10">
      <c r="B94" s="166"/>
      <c r="C94" s="172"/>
      <c r="D94" s="11"/>
      <c r="E94" s="249"/>
      <c r="F94" s="195"/>
      <c r="G94" s="268"/>
      <c r="H94" s="276"/>
      <c r="I94" s="276"/>
      <c r="J94" s="166"/>
    </row>
    <row r="95" spans="2:10">
      <c r="B95" s="166"/>
      <c r="C95" s="172"/>
      <c r="D95" s="11"/>
      <c r="E95" s="249"/>
      <c r="F95" s="195"/>
      <c r="G95" s="268"/>
      <c r="H95" s="276"/>
      <c r="I95" s="276"/>
      <c r="J95" s="166"/>
    </row>
    <row r="96" spans="2:10">
      <c r="B96" s="166"/>
      <c r="C96" s="172"/>
      <c r="D96" s="11"/>
      <c r="E96" s="249"/>
      <c r="F96" s="195"/>
      <c r="G96" s="268"/>
      <c r="H96" s="276"/>
      <c r="I96" s="276"/>
      <c r="J96" s="166"/>
    </row>
    <row r="97" spans="2:10">
      <c r="B97" s="166"/>
      <c r="C97" s="172"/>
      <c r="D97" s="11"/>
      <c r="E97" s="249"/>
      <c r="F97" s="195"/>
      <c r="G97" s="268"/>
      <c r="H97" s="276"/>
      <c r="I97" s="276"/>
      <c r="J97" s="166"/>
    </row>
    <row r="98" spans="2:10">
      <c r="B98" s="166"/>
      <c r="C98" s="172"/>
      <c r="D98" s="11"/>
      <c r="E98" s="249"/>
      <c r="F98" s="195"/>
      <c r="G98" s="268"/>
      <c r="H98" s="276"/>
      <c r="I98" s="276"/>
      <c r="J98" s="166"/>
    </row>
    <row r="99" spans="2:10">
      <c r="B99" s="166"/>
      <c r="C99" s="295"/>
      <c r="D99" s="11"/>
      <c r="E99" s="249"/>
      <c r="F99" s="195"/>
      <c r="G99" s="268"/>
      <c r="H99" s="276"/>
      <c r="I99" s="276"/>
      <c r="J99" s="166"/>
    </row>
    <row r="100" spans="2:10">
      <c r="B100" s="166"/>
      <c r="C100" s="172"/>
      <c r="D100" s="11"/>
      <c r="E100" s="249"/>
      <c r="F100" s="195"/>
      <c r="G100" s="268"/>
      <c r="H100" s="276"/>
      <c r="I100" s="276"/>
      <c r="J100" s="166"/>
    </row>
    <row r="101" spans="2:10">
      <c r="B101" s="166"/>
      <c r="C101" s="172"/>
      <c r="D101" s="11"/>
      <c r="E101" s="195"/>
      <c r="F101" s="195"/>
      <c r="G101" s="268"/>
      <c r="H101" s="276"/>
      <c r="I101" s="276"/>
      <c r="J101" s="166"/>
    </row>
    <row r="102" spans="2:10">
      <c r="B102" s="166"/>
      <c r="C102" s="88"/>
      <c r="D102" s="11"/>
      <c r="E102" s="11"/>
      <c r="F102" s="11"/>
      <c r="G102" s="87"/>
      <c r="H102" s="276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6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6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6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6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6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6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6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6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6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6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6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6"/>
      <c r="I114" s="166"/>
      <c r="J114" s="166"/>
    </row>
    <row r="115" spans="2:10" ht="15" thickBot="1">
      <c r="B115" s="167"/>
      <c r="C115" s="242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299</v>
      </c>
    </row>
    <row r="2" spans="1:27" ht="15.6">
      <c r="A2" t="s">
        <v>25</v>
      </c>
      <c r="B2" t="s">
        <v>180</v>
      </c>
      <c r="C2" t="s">
        <v>25</v>
      </c>
      <c r="F2" s="173" t="s">
        <v>115</v>
      </c>
      <c r="P2" t="s">
        <v>299</v>
      </c>
    </row>
    <row r="3" spans="1:27" ht="15.6">
      <c r="A3" t="s">
        <v>12</v>
      </c>
      <c r="B3" t="s">
        <v>179</v>
      </c>
      <c r="C3" t="s">
        <v>12</v>
      </c>
      <c r="F3" s="214" t="s">
        <v>198</v>
      </c>
    </row>
    <row r="4" spans="1:27" ht="15.6">
      <c r="A4" t="s">
        <v>13</v>
      </c>
      <c r="B4" t="s">
        <v>179</v>
      </c>
      <c r="C4" t="s">
        <v>13</v>
      </c>
      <c r="F4" s="214" t="s">
        <v>199</v>
      </c>
    </row>
    <row r="5" spans="1:27" ht="15.6">
      <c r="A5" t="s">
        <v>20</v>
      </c>
      <c r="C5" t="s">
        <v>20</v>
      </c>
      <c r="F5" s="214" t="s">
        <v>200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269</v>
      </c>
    </row>
    <row r="14" spans="1:27">
      <c r="A14" t="s">
        <v>203</v>
      </c>
    </row>
    <row r="15" spans="1:27">
      <c r="A15" t="s">
        <v>201</v>
      </c>
    </row>
    <row r="16" spans="1:27">
      <c r="G16" s="293" t="s">
        <v>122</v>
      </c>
      <c r="H16" s="293" t="s">
        <v>144</v>
      </c>
      <c r="I16" s="293" t="s">
        <v>145</v>
      </c>
      <c r="J16" s="293" t="s">
        <v>147</v>
      </c>
      <c r="K16" s="293" t="s">
        <v>148</v>
      </c>
      <c r="L16" s="293"/>
      <c r="M16" s="293" t="s">
        <v>226</v>
      </c>
      <c r="N16" s="293"/>
      <c r="O16" s="293" t="s">
        <v>233</v>
      </c>
      <c r="P16" s="293"/>
      <c r="Q16" s="293"/>
      <c r="R16" s="293" t="s">
        <v>235</v>
      </c>
      <c r="S16" s="293"/>
      <c r="T16" s="293"/>
      <c r="U16" s="293" t="s">
        <v>234</v>
      </c>
      <c r="V16" s="293"/>
      <c r="W16" s="293" t="s">
        <v>337</v>
      </c>
      <c r="X16" s="293"/>
      <c r="Y16" s="293" t="s">
        <v>339</v>
      </c>
      <c r="AA16" s="293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38">
        <v>2</v>
      </c>
      <c r="O17" t="s">
        <v>268</v>
      </c>
      <c r="R17" t="s">
        <v>222</v>
      </c>
      <c r="U17" t="s">
        <v>249</v>
      </c>
      <c r="W17" t="s">
        <v>368</v>
      </c>
      <c r="Y17" t="s">
        <v>253</v>
      </c>
      <c r="AA17" s="300" t="s">
        <v>253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38">
        <v>3</v>
      </c>
      <c r="O18" t="s">
        <v>263</v>
      </c>
      <c r="R18" t="s">
        <v>227</v>
      </c>
      <c r="U18" t="s">
        <v>251</v>
      </c>
      <c r="W18" t="s">
        <v>369</v>
      </c>
      <c r="Y18" t="s">
        <v>255</v>
      </c>
      <c r="AA18" s="300" t="s">
        <v>255</v>
      </c>
    </row>
    <row r="19" spans="5:27">
      <c r="G19" t="s">
        <v>141</v>
      </c>
      <c r="H19" t="s">
        <v>143</v>
      </c>
      <c r="M19" s="238" t="s">
        <v>263</v>
      </c>
      <c r="R19" t="s">
        <v>228</v>
      </c>
      <c r="U19" t="s">
        <v>250</v>
      </c>
      <c r="Y19" t="s">
        <v>256</v>
      </c>
      <c r="AA19" s="300" t="s">
        <v>256</v>
      </c>
    </row>
    <row r="20" spans="5:27">
      <c r="G20" t="s">
        <v>124</v>
      </c>
      <c r="H20" t="s">
        <v>132</v>
      </c>
      <c r="R20" t="s">
        <v>229</v>
      </c>
      <c r="Y20" t="s">
        <v>254</v>
      </c>
      <c r="AA20" s="300" t="s">
        <v>254</v>
      </c>
    </row>
    <row r="21" spans="5:27">
      <c r="G21" t="s">
        <v>207</v>
      </c>
      <c r="H21" t="s">
        <v>270</v>
      </c>
      <c r="Y21" t="s">
        <v>245</v>
      </c>
      <c r="AA21" s="300" t="s">
        <v>245</v>
      </c>
    </row>
    <row r="22" spans="5:27">
      <c r="G22" t="s">
        <v>273</v>
      </c>
      <c r="Y22" t="s">
        <v>345</v>
      </c>
      <c r="AA22" s="300" t="s">
        <v>345</v>
      </c>
    </row>
    <row r="23" spans="5:27">
      <c r="Y23" t="s">
        <v>346</v>
      </c>
      <c r="AA23" s="300" t="s">
        <v>346</v>
      </c>
    </row>
    <row r="24" spans="5:27">
      <c r="Y24" t="s">
        <v>121</v>
      </c>
      <c r="AA24" s="348" t="s">
        <v>376</v>
      </c>
    </row>
    <row r="25" spans="5:27">
      <c r="Y25" t="s">
        <v>134</v>
      </c>
      <c r="AA25" s="348" t="s">
        <v>377</v>
      </c>
    </row>
    <row r="26" spans="5:27">
      <c r="AA26" s="349" t="s">
        <v>382</v>
      </c>
    </row>
    <row r="27" spans="5:27">
      <c r="AA27" s="349" t="s">
        <v>385</v>
      </c>
    </row>
    <row r="28" spans="5:27">
      <c r="AA28" s="349" t="s">
        <v>383</v>
      </c>
    </row>
    <row r="29" spans="5:27">
      <c r="AA29" s="349" t="s">
        <v>384</v>
      </c>
    </row>
    <row r="30" spans="5:27">
      <c r="AA30" s="348" t="s">
        <v>386</v>
      </c>
    </row>
    <row r="31" spans="5:27">
      <c r="AA31" s="348" t="s">
        <v>387</v>
      </c>
    </row>
    <row r="32" spans="5:27">
      <c r="AA32" s="348" t="s">
        <v>378</v>
      </c>
    </row>
    <row r="33" spans="2:27">
      <c r="AA33" s="348" t="s">
        <v>388</v>
      </c>
    </row>
    <row r="34" spans="2:27">
      <c r="AA34" s="348" t="s">
        <v>379</v>
      </c>
    </row>
    <row r="35" spans="2:27">
      <c r="B35" t="s">
        <v>204</v>
      </c>
      <c r="AA35" s="348" t="s">
        <v>380</v>
      </c>
    </row>
    <row r="36" spans="2:27">
      <c r="AA36" s="348" t="s">
        <v>381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9" zoomScaleNormal="59" workbookViewId="0">
      <selection activeCell="D27" sqref="D27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578" t="s">
        <v>29</v>
      </c>
      <c r="C3" s="579"/>
      <c r="D3" s="580"/>
      <c r="F3" s="290" t="s">
        <v>32</v>
      </c>
      <c r="G3" s="291"/>
      <c r="H3" s="291"/>
      <c r="I3" s="291"/>
      <c r="J3" s="291"/>
      <c r="K3" s="292"/>
      <c r="L3" s="14"/>
      <c r="M3" s="14"/>
      <c r="N3" s="584" t="s">
        <v>35</v>
      </c>
      <c r="O3" s="585"/>
      <c r="P3" s="586"/>
      <c r="Q3" s="14"/>
      <c r="R3" s="14"/>
      <c r="S3" s="587" t="s">
        <v>38</v>
      </c>
      <c r="T3" s="588"/>
      <c r="U3" s="588"/>
      <c r="V3" s="589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8" t="s">
        <v>30</v>
      </c>
      <c r="C4" s="179" t="s">
        <v>0</v>
      </c>
      <c r="D4" s="217" t="s">
        <v>168</v>
      </c>
      <c r="E4" s="14"/>
      <c r="F4" s="174" t="s">
        <v>33</v>
      </c>
      <c r="G4" s="175" t="s">
        <v>177</v>
      </c>
      <c r="H4" s="175" t="s">
        <v>175</v>
      </c>
      <c r="I4" s="175" t="s">
        <v>176</v>
      </c>
      <c r="J4" s="176" t="s">
        <v>34</v>
      </c>
      <c r="K4" s="177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609</v>
      </c>
      <c r="D5" s="218" t="s">
        <v>169</v>
      </c>
      <c r="E5" s="14"/>
      <c r="F5" s="388" t="s">
        <v>296</v>
      </c>
      <c r="G5" s="43">
        <v>0</v>
      </c>
      <c r="H5" s="47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21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19" t="s">
        <v>169</v>
      </c>
      <c r="E6" s="14"/>
      <c r="F6" s="388" t="s">
        <v>163</v>
      </c>
      <c r="G6" s="43">
        <v>0</v>
      </c>
      <c r="H6" s="47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0" t="s">
        <v>125</v>
      </c>
      <c r="C7" s="181" t="s">
        <v>123</v>
      </c>
      <c r="D7" s="219" t="s">
        <v>169</v>
      </c>
      <c r="E7" s="14"/>
      <c r="F7" s="388" t="s">
        <v>161</v>
      </c>
      <c r="G7" s="43">
        <v>0</v>
      </c>
      <c r="H7" s="47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5" t="s">
        <v>202</v>
      </c>
      <c r="C8" s="216" t="s">
        <v>201</v>
      </c>
      <c r="D8" s="219" t="s">
        <v>169</v>
      </c>
      <c r="E8" s="14"/>
      <c r="F8" s="388" t="s">
        <v>466</v>
      </c>
      <c r="G8" s="43">
        <v>0</v>
      </c>
      <c r="H8" s="47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271</v>
      </c>
      <c r="C9" s="30"/>
      <c r="D9" s="219" t="s">
        <v>169</v>
      </c>
      <c r="E9" s="14"/>
      <c r="F9" s="388" t="s">
        <v>505</v>
      </c>
      <c r="G9" s="43">
        <v>0</v>
      </c>
      <c r="H9" s="47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535</v>
      </c>
      <c r="P9" s="30" t="s">
        <v>466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272</v>
      </c>
      <c r="C10" s="29"/>
      <c r="D10" s="219" t="s">
        <v>170</v>
      </c>
      <c r="F10" s="389" t="s">
        <v>506</v>
      </c>
      <c r="G10" s="43">
        <v>0</v>
      </c>
      <c r="H10" s="47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536</v>
      </c>
      <c r="P10" s="30" t="s">
        <v>505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19" t="s">
        <v>274</v>
      </c>
      <c r="E11" s="14"/>
      <c r="F11" s="388" t="s">
        <v>298</v>
      </c>
      <c r="G11" s="43">
        <v>0</v>
      </c>
      <c r="H11" s="47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537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0"/>
      <c r="E12" s="14"/>
      <c r="F12" s="388" t="s">
        <v>507</v>
      </c>
      <c r="G12" s="43">
        <v>0</v>
      </c>
      <c r="H12" s="47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0"/>
      <c r="E13" s="14"/>
      <c r="F13" s="491" t="s">
        <v>420</v>
      </c>
      <c r="G13" s="43">
        <v>0</v>
      </c>
      <c r="H13" s="47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0"/>
      <c r="E14" s="14"/>
      <c r="F14" s="492" t="s">
        <v>164</v>
      </c>
      <c r="G14" s="43">
        <v>0</v>
      </c>
      <c r="H14" s="47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468</v>
      </c>
      <c r="P14" s="30" t="s">
        <v>462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0"/>
      <c r="E15" s="14"/>
      <c r="F15" s="24" t="s">
        <v>166</v>
      </c>
      <c r="G15" s="468">
        <v>5</v>
      </c>
      <c r="H15" s="47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485</v>
      </c>
      <c r="P15" s="30" t="s">
        <v>467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0"/>
      <c r="E16" s="14"/>
      <c r="F16" s="24" t="s">
        <v>15</v>
      </c>
      <c r="G16" s="43">
        <v>1</v>
      </c>
      <c r="H16" s="47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501</v>
      </c>
      <c r="P16" s="30" t="s">
        <v>462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0"/>
      <c r="E17" s="14"/>
      <c r="F17" s="24" t="s">
        <v>14</v>
      </c>
      <c r="G17" s="43">
        <v>0</v>
      </c>
      <c r="H17" s="46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575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0"/>
      <c r="E18" s="14"/>
      <c r="F18" s="24" t="s">
        <v>4</v>
      </c>
      <c r="G18" s="43">
        <v>0</v>
      </c>
      <c r="H18" s="471">
        <v>0</v>
      </c>
      <c r="I18" s="43">
        <v>32</v>
      </c>
      <c r="J18" s="43">
        <v>0</v>
      </c>
      <c r="K18" s="36"/>
      <c r="L18" s="14"/>
      <c r="M18" s="14"/>
      <c r="N18" s="472">
        <v>15</v>
      </c>
      <c r="O18" s="43" t="s">
        <v>576</v>
      </c>
      <c r="P18" s="473" t="s">
        <v>466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76"/>
      <c r="X18" s="576"/>
      <c r="Y18" s="576"/>
      <c r="Z18" s="577"/>
      <c r="AB18" s="14"/>
      <c r="AC18" s="14"/>
    </row>
    <row r="19" spans="1:29" ht="18">
      <c r="A19" s="37"/>
      <c r="B19" s="24" t="s">
        <v>54</v>
      </c>
      <c r="C19" s="30">
        <v>15</v>
      </c>
      <c r="D19" s="219" t="s">
        <v>172</v>
      </c>
      <c r="E19" s="14"/>
      <c r="F19" s="24" t="s">
        <v>467</v>
      </c>
      <c r="G19" s="43">
        <v>0</v>
      </c>
      <c r="H19" s="471">
        <v>0</v>
      </c>
      <c r="I19" s="43">
        <v>200</v>
      </c>
      <c r="J19" s="43">
        <v>0</v>
      </c>
      <c r="K19" s="157"/>
      <c r="L19" s="14"/>
      <c r="M19" s="14"/>
      <c r="N19" s="472">
        <v>16</v>
      </c>
      <c r="O19" s="43" t="s">
        <v>577</v>
      </c>
      <c r="P19" s="473" t="s">
        <v>505</v>
      </c>
      <c r="Q19" s="8"/>
      <c r="R19" s="53"/>
      <c r="S19" s="14"/>
      <c r="T19" s="14"/>
      <c r="U19" s="14"/>
      <c r="V19" s="14"/>
      <c r="W19" s="53"/>
      <c r="X19" s="10"/>
      <c r="Y19" s="574"/>
      <c r="Z19" s="575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19" t="s">
        <v>174</v>
      </c>
      <c r="E20" s="14"/>
      <c r="F20" s="24" t="s">
        <v>167</v>
      </c>
      <c r="G20" s="43">
        <v>0</v>
      </c>
      <c r="H20" s="471">
        <v>0</v>
      </c>
      <c r="I20" s="43">
        <v>200</v>
      </c>
      <c r="J20" s="43">
        <v>0</v>
      </c>
      <c r="K20" s="30"/>
      <c r="L20" s="14"/>
      <c r="M20" s="14"/>
      <c r="N20" s="472">
        <v>17</v>
      </c>
      <c r="O20" s="479" t="s">
        <v>581</v>
      </c>
      <c r="P20" s="473" t="s">
        <v>164</v>
      </c>
      <c r="Q20" s="8"/>
      <c r="R20" s="9"/>
      <c r="S20" s="14"/>
      <c r="T20" s="14"/>
      <c r="U20" s="14"/>
      <c r="V20" s="14"/>
      <c r="W20" s="9"/>
      <c r="X20" s="10"/>
      <c r="Y20" s="574"/>
      <c r="Z20" s="575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1" t="s">
        <v>174</v>
      </c>
      <c r="E21" s="14"/>
      <c r="F21" s="24" t="s">
        <v>186</v>
      </c>
      <c r="G21" s="43">
        <v>0</v>
      </c>
      <c r="H21" s="471">
        <v>0</v>
      </c>
      <c r="I21" s="43">
        <v>62.08</v>
      </c>
      <c r="J21" s="43">
        <v>0</v>
      </c>
      <c r="K21" s="30"/>
      <c r="L21" s="14"/>
      <c r="M21" s="14"/>
      <c r="N21" s="472">
        <v>18</v>
      </c>
      <c r="O21" s="479" t="s">
        <v>582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74"/>
      <c r="Z21" s="575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71">
        <v>0</v>
      </c>
      <c r="I22" s="43">
        <v>28</v>
      </c>
      <c r="J22" s="43">
        <v>0</v>
      </c>
      <c r="K22" s="30"/>
      <c r="L22" s="14"/>
      <c r="M22" s="14"/>
      <c r="N22" s="472">
        <v>19</v>
      </c>
      <c r="O22" s="479" t="s">
        <v>583</v>
      </c>
      <c r="P22" s="473" t="s">
        <v>466</v>
      </c>
      <c r="Q22" s="8"/>
      <c r="R22" s="9"/>
      <c r="S22" s="14"/>
      <c r="T22" s="14"/>
      <c r="U22" s="519"/>
      <c r="V22" s="14"/>
      <c r="W22" s="9"/>
      <c r="X22" s="10"/>
      <c r="Y22" s="574"/>
      <c r="Z22" s="575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471</v>
      </c>
      <c r="G23" s="43">
        <v>0</v>
      </c>
      <c r="H23" s="471">
        <v>0</v>
      </c>
      <c r="I23" s="43">
        <v>100</v>
      </c>
      <c r="J23" s="43">
        <v>0</v>
      </c>
      <c r="K23" s="30"/>
      <c r="L23" s="14"/>
      <c r="M23" s="375"/>
      <c r="N23" s="472">
        <v>20</v>
      </c>
      <c r="O23" s="479" t="s">
        <v>584</v>
      </c>
      <c r="P23" s="473" t="s">
        <v>505</v>
      </c>
      <c r="Q23" s="8"/>
      <c r="R23" s="9"/>
      <c r="S23" s="9"/>
      <c r="T23" s="590"/>
      <c r="U23" s="590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257</v>
      </c>
      <c r="G24" s="43">
        <v>0</v>
      </c>
      <c r="H24" s="471">
        <v>0</v>
      </c>
      <c r="I24" s="43">
        <v>100</v>
      </c>
      <c r="J24" s="43">
        <v>0</v>
      </c>
      <c r="K24" s="157"/>
      <c r="L24" s="14"/>
      <c r="M24" s="14"/>
      <c r="N24" s="472">
        <v>21</v>
      </c>
      <c r="O24" s="479" t="s">
        <v>585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301</v>
      </c>
      <c r="G25" s="43">
        <v>0</v>
      </c>
      <c r="H25" s="471">
        <v>0</v>
      </c>
      <c r="I25" s="43">
        <v>60</v>
      </c>
      <c r="J25" s="43">
        <v>0</v>
      </c>
      <c r="K25" s="376"/>
      <c r="L25" s="14"/>
      <c r="M25" s="14"/>
      <c r="N25" s="48">
        <v>13</v>
      </c>
      <c r="O25" s="43" t="s">
        <v>611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353</v>
      </c>
      <c r="G26" s="43">
        <v>0</v>
      </c>
      <c r="H26" s="471">
        <v>0</v>
      </c>
      <c r="I26" s="43">
        <v>200</v>
      </c>
      <c r="J26" s="43">
        <v>0</v>
      </c>
      <c r="K26" s="376"/>
      <c r="L26" s="14"/>
      <c r="M26" s="14"/>
      <c r="N26" s="472">
        <v>22</v>
      </c>
      <c r="O26" s="479" t="s">
        <v>610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421</v>
      </c>
      <c r="G27" s="373">
        <v>0</v>
      </c>
      <c r="H27" s="471">
        <v>0</v>
      </c>
      <c r="I27" s="43">
        <v>200</v>
      </c>
      <c r="J27" s="43">
        <v>0</v>
      </c>
      <c r="K27" s="36"/>
      <c r="L27" s="14"/>
      <c r="M27" s="14"/>
      <c r="N27" s="472">
        <v>23</v>
      </c>
      <c r="O27" s="504" t="s">
        <v>612</v>
      </c>
      <c r="P27" s="30" t="s">
        <v>466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424</v>
      </c>
      <c r="G28" s="43">
        <v>0</v>
      </c>
      <c r="H28" s="471">
        <v>0</v>
      </c>
      <c r="I28" s="43">
        <v>98</v>
      </c>
      <c r="J28" s="43">
        <v>0</v>
      </c>
      <c r="K28" s="36"/>
      <c r="L28" s="14"/>
      <c r="M28" s="14"/>
      <c r="N28" s="472">
        <v>24</v>
      </c>
      <c r="O28" s="479" t="s">
        <v>613</v>
      </c>
      <c r="P28" s="30" t="s">
        <v>505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484</v>
      </c>
      <c r="G29" s="43">
        <v>0</v>
      </c>
      <c r="H29" s="471">
        <v>0</v>
      </c>
      <c r="I29" s="43">
        <v>40</v>
      </c>
      <c r="J29" s="43">
        <v>0</v>
      </c>
      <c r="K29" s="36"/>
      <c r="L29" s="14"/>
      <c r="M29" s="14"/>
      <c r="N29" s="472">
        <v>25</v>
      </c>
      <c r="O29" s="479" t="s">
        <v>614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442</v>
      </c>
      <c r="G30" s="470">
        <v>5.4</v>
      </c>
      <c r="H30" s="471">
        <v>0</v>
      </c>
      <c r="I30" s="41">
        <v>32.04</v>
      </c>
      <c r="J30" s="41">
        <v>0</v>
      </c>
      <c r="K30" s="36"/>
      <c r="L30" s="14"/>
      <c r="M30" s="14"/>
      <c r="N30" s="474">
        <v>26</v>
      </c>
      <c r="O30" s="505" t="s">
        <v>615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462</v>
      </c>
      <c r="G31" s="41">
        <v>0</v>
      </c>
      <c r="H31" s="471">
        <v>0</v>
      </c>
      <c r="I31" s="41">
        <v>100</v>
      </c>
      <c r="J31" s="41">
        <v>0</v>
      </c>
      <c r="K31" s="36"/>
      <c r="L31" s="14"/>
      <c r="M31" s="14"/>
      <c r="N31" s="183" t="s">
        <v>129</v>
      </c>
      <c r="O31" s="183" t="s">
        <v>130</v>
      </c>
      <c r="P31" s="183" t="s">
        <v>131</v>
      </c>
      <c r="Q31" s="14"/>
      <c r="R31" s="14"/>
      <c r="S31" s="581" t="s">
        <v>135</v>
      </c>
      <c r="T31" s="582"/>
      <c r="U31" s="582"/>
      <c r="V31" s="582"/>
      <c r="W31" s="583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491</v>
      </c>
      <c r="G32" s="41">
        <v>0</v>
      </c>
      <c r="H32" s="471">
        <v>0</v>
      </c>
      <c r="I32" s="41">
        <v>100</v>
      </c>
      <c r="J32" s="41">
        <v>0</v>
      </c>
      <c r="K32" s="36"/>
      <c r="L32" s="14"/>
      <c r="M32" s="14"/>
      <c r="N32" s="509" t="s">
        <v>87</v>
      </c>
      <c r="O32" s="510">
        <v>0.55000000000000004</v>
      </c>
      <c r="P32" s="511">
        <v>325</v>
      </c>
      <c r="Q32" s="14"/>
      <c r="R32" s="14"/>
      <c r="S32" s="185" t="s">
        <v>136</v>
      </c>
      <c r="T32" s="185" t="s">
        <v>137</v>
      </c>
      <c r="U32" s="185" t="s">
        <v>138</v>
      </c>
      <c r="V32" s="185" t="s">
        <v>139</v>
      </c>
      <c r="W32" s="186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403</v>
      </c>
      <c r="G33" s="41">
        <v>0</v>
      </c>
      <c r="H33" s="471">
        <v>0</v>
      </c>
      <c r="I33" s="41">
        <v>100</v>
      </c>
      <c r="J33" s="41">
        <v>0</v>
      </c>
      <c r="K33" s="36"/>
      <c r="L33" s="14"/>
      <c r="M33" s="14"/>
      <c r="N33" s="512" t="s">
        <v>143</v>
      </c>
      <c r="O33" s="513">
        <v>0.27</v>
      </c>
      <c r="P33" s="514">
        <v>0.58599999999999997</v>
      </c>
      <c r="Q33" s="14"/>
      <c r="R33" s="14"/>
      <c r="S33" s="26" t="s">
        <v>157</v>
      </c>
      <c r="T33" s="193">
        <v>5000</v>
      </c>
      <c r="U33" s="184">
        <v>10</v>
      </c>
      <c r="V33" s="184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500</v>
      </c>
      <c r="G34" s="41">
        <v>0</v>
      </c>
      <c r="H34" s="471">
        <v>0</v>
      </c>
      <c r="I34" s="41">
        <v>100</v>
      </c>
      <c r="J34" s="41">
        <v>0</v>
      </c>
      <c r="K34" s="36"/>
      <c r="L34" s="14"/>
      <c r="M34" s="14"/>
      <c r="N34" s="515" t="s">
        <v>132</v>
      </c>
      <c r="O34" s="516">
        <v>0.18</v>
      </c>
      <c r="P34" s="51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534</v>
      </c>
      <c r="G35" s="41">
        <v>0</v>
      </c>
      <c r="H35" s="471">
        <v>0</v>
      </c>
      <c r="I35" s="41">
        <v>100</v>
      </c>
      <c r="J35" s="41">
        <v>0</v>
      </c>
      <c r="K35" s="36"/>
      <c r="L35" s="14"/>
      <c r="M35" s="14"/>
      <c r="N35" s="581" t="s">
        <v>128</v>
      </c>
      <c r="O35" s="582"/>
      <c r="P35" s="583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565</v>
      </c>
      <c r="G36" s="41">
        <v>0</v>
      </c>
      <c r="H36" s="471">
        <v>0</v>
      </c>
      <c r="I36" s="41">
        <v>100</v>
      </c>
      <c r="J36" s="41">
        <v>0</v>
      </c>
      <c r="K36" s="36"/>
      <c r="L36" s="14"/>
      <c r="M36" s="14"/>
      <c r="Q36" s="182"/>
      <c r="R36" s="182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2" t="s">
        <v>566</v>
      </c>
      <c r="G37" s="467">
        <v>0</v>
      </c>
      <c r="H37" s="467">
        <v>0</v>
      </c>
      <c r="I37" s="467">
        <v>100</v>
      </c>
      <c r="J37" s="46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4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5" t="s">
        <v>414</v>
      </c>
      <c r="G41" s="365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4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7">
        <v>558000</v>
      </c>
      <c r="G61" s="367" t="s">
        <v>415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6" t="s">
        <v>416</v>
      </c>
      <c r="G62" s="367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7">
        <f xml:space="preserve"> F61/8000</f>
        <v>69.75</v>
      </c>
      <c r="G63" s="367" t="s">
        <v>417</v>
      </c>
      <c r="H63" s="289" t="s">
        <v>418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8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B3:D3"/>
    <mergeCell ref="N35:P35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V61"/>
  <sheetViews>
    <sheetView topLeftCell="B1" zoomScale="72" zoomScaleNormal="100" workbookViewId="0">
      <selection activeCell="V9" sqref="V9:V31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22">
      <c r="L1" s="11"/>
    </row>
    <row r="2" spans="2:22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22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22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22" ht="24" thickBot="1">
      <c r="B5" s="294" t="s">
        <v>275</v>
      </c>
      <c r="C5" s="591" t="s">
        <v>98</v>
      </c>
      <c r="D5" s="592"/>
      <c r="E5" s="592"/>
      <c r="F5" s="592"/>
      <c r="G5" s="592"/>
      <c r="H5" s="592"/>
      <c r="I5" s="592"/>
      <c r="J5" s="592"/>
      <c r="K5" s="592"/>
      <c r="L5" s="592"/>
      <c r="M5" s="592"/>
      <c r="N5" s="592"/>
      <c r="O5" s="592"/>
      <c r="P5" s="592"/>
      <c r="Q5" s="593"/>
      <c r="R5" t="s">
        <v>22</v>
      </c>
    </row>
    <row r="6" spans="2:22" ht="18">
      <c r="B6" s="274"/>
      <c r="C6" s="161" t="s">
        <v>1</v>
      </c>
      <c r="D6" s="501" t="s">
        <v>182</v>
      </c>
      <c r="E6" s="490" t="s">
        <v>494</v>
      </c>
      <c r="F6" s="490" t="s">
        <v>504</v>
      </c>
      <c r="G6" s="490" t="s">
        <v>404</v>
      </c>
      <c r="H6" s="490" t="s">
        <v>591</v>
      </c>
      <c r="J6" s="490"/>
      <c r="K6" s="490"/>
      <c r="L6" s="490"/>
      <c r="M6" s="490"/>
      <c r="P6" s="114"/>
      <c r="Q6" s="115"/>
    </row>
    <row r="7" spans="2:22" ht="18">
      <c r="B7" s="276"/>
      <c r="C7" s="161" t="s">
        <v>99</v>
      </c>
      <c r="D7" s="114">
        <v>2000</v>
      </c>
      <c r="E7" s="114">
        <v>1100</v>
      </c>
      <c r="F7" s="114">
        <v>7000</v>
      </c>
      <c r="G7" s="114">
        <v>8000</v>
      </c>
      <c r="H7" s="114">
        <v>9700</v>
      </c>
      <c r="J7" s="114"/>
      <c r="K7" s="114"/>
      <c r="L7" s="114"/>
      <c r="M7" s="114"/>
      <c r="P7" s="114"/>
      <c r="Q7" s="115"/>
    </row>
    <row r="8" spans="2:22" ht="18">
      <c r="B8" s="276"/>
      <c r="C8" s="162" t="s">
        <v>39</v>
      </c>
      <c r="D8" s="114" t="s">
        <v>10</v>
      </c>
      <c r="E8" s="114" t="s">
        <v>10</v>
      </c>
      <c r="F8" s="114" t="s">
        <v>10</v>
      </c>
      <c r="G8" s="114" t="s">
        <v>10</v>
      </c>
      <c r="H8" s="114" t="s">
        <v>10</v>
      </c>
      <c r="J8" s="114"/>
      <c r="K8" s="114"/>
      <c r="L8" s="114"/>
      <c r="M8" s="114"/>
      <c r="P8" s="114"/>
      <c r="Q8" s="115"/>
    </row>
    <row r="9" spans="2:22" ht="18">
      <c r="B9" s="276"/>
      <c r="C9" s="163" t="s">
        <v>100</v>
      </c>
      <c r="D9" s="114"/>
      <c r="E9" s="195"/>
      <c r="F9" s="114"/>
      <c r="G9" s="114"/>
      <c r="H9" s="114"/>
      <c r="J9" s="114"/>
      <c r="K9" s="114"/>
      <c r="L9" s="114"/>
      <c r="M9" s="114"/>
      <c r="P9" s="114"/>
      <c r="Q9" s="115"/>
    </row>
    <row r="10" spans="2:22" ht="18">
      <c r="B10" s="276"/>
      <c r="C10" s="161" t="s">
        <v>191</v>
      </c>
      <c r="D10" s="314">
        <f>C37</f>
        <v>765.33</v>
      </c>
      <c r="E10" s="114">
        <v>430</v>
      </c>
      <c r="F10" s="502">
        <v>100</v>
      </c>
      <c r="G10" s="114">
        <v>30</v>
      </c>
      <c r="H10" s="114">
        <v>1500</v>
      </c>
      <c r="J10" s="314"/>
      <c r="K10" s="502"/>
      <c r="L10" s="114"/>
      <c r="M10" s="114"/>
      <c r="P10" s="114"/>
      <c r="Q10" s="115"/>
    </row>
    <row r="11" spans="2:22" ht="18">
      <c r="B11" s="276"/>
      <c r="C11" s="161" t="s">
        <v>9</v>
      </c>
      <c r="D11" s="114" t="s">
        <v>11</v>
      </c>
      <c r="E11" s="114" t="s">
        <v>11</v>
      </c>
      <c r="F11" s="114" t="s">
        <v>11</v>
      </c>
      <c r="G11" s="114" t="s">
        <v>11</v>
      </c>
      <c r="H11" s="114" t="s">
        <v>11</v>
      </c>
      <c r="J11" s="114"/>
      <c r="K11" s="114"/>
      <c r="L11" s="114"/>
      <c r="M11" s="114"/>
      <c r="P11" s="114"/>
      <c r="Q11" s="115"/>
    </row>
    <row r="12" spans="2:22" ht="18">
      <c r="B12" s="276"/>
      <c r="C12" s="164" t="s">
        <v>116</v>
      </c>
      <c r="D12" s="114">
        <v>0</v>
      </c>
      <c r="E12" s="114">
        <v>0</v>
      </c>
      <c r="F12" s="114">
        <v>0</v>
      </c>
      <c r="G12" s="503">
        <v>0</v>
      </c>
      <c r="H12" s="114">
        <v>0</v>
      </c>
      <c r="J12" s="114"/>
      <c r="K12" s="114"/>
      <c r="L12" s="503"/>
      <c r="M12" s="114"/>
      <c r="P12" s="114"/>
      <c r="Q12" s="115"/>
      <c r="V12">
        <v>69055</v>
      </c>
    </row>
    <row r="13" spans="2:22" ht="18">
      <c r="B13" s="276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  <c r="V13">
        <v>74864</v>
      </c>
    </row>
    <row r="14" spans="2:22" ht="18">
      <c r="B14" s="276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  <c r="V14">
        <f>V13-V12</f>
        <v>5809</v>
      </c>
    </row>
    <row r="15" spans="2:22" ht="18.600000000000001" thickBot="1">
      <c r="B15" s="277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V15">
        <f>V14/3600</f>
        <v>1.6136111111111111</v>
      </c>
    </row>
    <row r="16" spans="2:22">
      <c r="I16" s="11"/>
      <c r="J16" s="11"/>
      <c r="K16" s="11"/>
      <c r="L16" s="11"/>
    </row>
    <row r="19" spans="2:22">
      <c r="B19" t="s">
        <v>279</v>
      </c>
    </row>
    <row r="20" spans="2:22">
      <c r="B20" s="296" t="s">
        <v>282</v>
      </c>
      <c r="F20">
        <v>3000</v>
      </c>
    </row>
    <row r="21" spans="2:22">
      <c r="B21" t="s">
        <v>280</v>
      </c>
      <c r="C21">
        <v>76</v>
      </c>
      <c r="D21" t="s">
        <v>283</v>
      </c>
    </row>
    <row r="22" spans="2:22">
      <c r="B22" t="s">
        <v>281</v>
      </c>
      <c r="C22">
        <v>182</v>
      </c>
      <c r="D22" t="s">
        <v>283</v>
      </c>
      <c r="V22">
        <v>41148</v>
      </c>
    </row>
    <row r="23" spans="2:22">
      <c r="B23" t="s">
        <v>328</v>
      </c>
      <c r="C23">
        <f xml:space="preserve"> (C21+C22)/2 * 1000</f>
        <v>129000</v>
      </c>
      <c r="V23">
        <v>47353</v>
      </c>
    </row>
    <row r="24" spans="2:22">
      <c r="B24" t="s">
        <v>290</v>
      </c>
      <c r="C24">
        <v>0.6</v>
      </c>
      <c r="V24">
        <v>56737</v>
      </c>
    </row>
    <row r="25" spans="2:22" ht="18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497"/>
    </row>
    <row r="26" spans="2:22">
      <c r="B26" t="s">
        <v>281</v>
      </c>
      <c r="C26" t="e">
        <f>#REF! +#REF!* C24</f>
        <v>#REF!</v>
      </c>
      <c r="D26" t="s">
        <v>291</v>
      </c>
      <c r="K26" t="s">
        <v>22</v>
      </c>
    </row>
    <row r="27" spans="2:22">
      <c r="V27">
        <f>V23-V22</f>
        <v>6205</v>
      </c>
    </row>
    <row r="28" spans="2:22">
      <c r="V28">
        <f>V24-V23</f>
        <v>9384</v>
      </c>
    </row>
    <row r="29" spans="2:22">
      <c r="B29" s="296" t="s">
        <v>284</v>
      </c>
      <c r="F29">
        <v>2000</v>
      </c>
    </row>
    <row r="30" spans="2:22">
      <c r="B30" t="s">
        <v>285</v>
      </c>
      <c r="C30">
        <v>1.04</v>
      </c>
      <c r="D30" t="s">
        <v>287</v>
      </c>
      <c r="Q30" s="296"/>
    </row>
    <row r="31" spans="2:22">
      <c r="B31" t="s">
        <v>286</v>
      </c>
      <c r="C31">
        <v>0.9</v>
      </c>
      <c r="D31" t="s">
        <v>287</v>
      </c>
    </row>
    <row r="32" spans="2:22">
      <c r="T32" s="296"/>
    </row>
    <row r="33" spans="2:18">
      <c r="B33" t="s">
        <v>288</v>
      </c>
      <c r="C33">
        <v>0.78900000000000003</v>
      </c>
      <c r="D33" t="s">
        <v>289</v>
      </c>
    </row>
    <row r="34" spans="2:18">
      <c r="R34" s="455"/>
    </row>
    <row r="35" spans="2:18">
      <c r="B35" t="s">
        <v>285</v>
      </c>
      <c r="C35">
        <f>C30*C33 *1000</f>
        <v>820.56000000000006</v>
      </c>
      <c r="D35" t="s">
        <v>291</v>
      </c>
    </row>
    <row r="36" spans="2:18">
      <c r="B36" t="s">
        <v>286</v>
      </c>
      <c r="C36">
        <f>C31*C33*1000</f>
        <v>710.1</v>
      </c>
      <c r="D36" t="s">
        <v>291</v>
      </c>
    </row>
    <row r="37" spans="2:18" ht="18">
      <c r="B37" t="s">
        <v>328</v>
      </c>
      <c r="C37" s="114">
        <f>(C35+C36)/2</f>
        <v>765.33</v>
      </c>
      <c r="D37" t="s">
        <v>291</v>
      </c>
      <c r="E37" s="313"/>
    </row>
    <row r="38" spans="2:18">
      <c r="B38" t="s">
        <v>290</v>
      </c>
      <c r="C38" s="297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6" t="s">
        <v>606</v>
      </c>
    </row>
    <row r="43" spans="2:18">
      <c r="B43" s="296" t="s">
        <v>292</v>
      </c>
      <c r="F43">
        <v>4000</v>
      </c>
    </row>
    <row r="44" spans="2:18">
      <c r="B44" t="s">
        <v>285</v>
      </c>
      <c r="C44">
        <v>2.4</v>
      </c>
      <c r="D44" t="s">
        <v>293</v>
      </c>
    </row>
    <row r="45" spans="2:18">
      <c r="B45" t="s">
        <v>286</v>
      </c>
      <c r="C45">
        <v>3.03</v>
      </c>
      <c r="D45" t="s">
        <v>293</v>
      </c>
    </row>
    <row r="47" spans="2:18">
      <c r="B47" t="s">
        <v>294</v>
      </c>
      <c r="C47">
        <f>_xlfn.STDEV.P(C44:C45)/AVERAGE(C44:C45)</f>
        <v>0.11602209944751414</v>
      </c>
    </row>
    <row r="48" spans="2:18">
      <c r="B48" t="s">
        <v>285</v>
      </c>
      <c r="C48" t="e">
        <f>#REF! - C47*#REF!</f>
        <v>#REF!</v>
      </c>
      <c r="D48" t="s">
        <v>291</v>
      </c>
    </row>
    <row r="49" spans="2:7">
      <c r="B49" t="s">
        <v>286</v>
      </c>
      <c r="C49" t="e">
        <f>#REF! + C47*#REF!</f>
        <v>#REF!</v>
      </c>
      <c r="D49" t="s">
        <v>291</v>
      </c>
    </row>
    <row r="53" spans="2:7">
      <c r="B53" s="296" t="s">
        <v>297</v>
      </c>
      <c r="F53">
        <v>5000</v>
      </c>
    </row>
    <row r="54" spans="2:7">
      <c r="B54" t="s">
        <v>285</v>
      </c>
      <c r="C54">
        <v>1000</v>
      </c>
      <c r="D54" t="s">
        <v>291</v>
      </c>
    </row>
    <row r="55" spans="2:7">
      <c r="B55" t="s">
        <v>286</v>
      </c>
      <c r="C55">
        <v>1300</v>
      </c>
      <c r="D55" t="s">
        <v>291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6" t="s">
        <v>603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D11:H11 J11:M11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H29" sqref="H29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24" max="24" width="15.21875" customWidth="1"/>
    <col min="28" max="28" width="13.33203125" bestFit="1" customWidth="1"/>
  </cols>
  <sheetData>
    <row r="3" spans="3:34" ht="15.6">
      <c r="L3" s="462">
        <f>L32*C171 +C165*L33</f>
        <v>1161600</v>
      </c>
    </row>
    <row r="4" spans="3:34" ht="15" thickBot="1">
      <c r="C4" s="11"/>
      <c r="D4" s="11"/>
      <c r="E4" s="11"/>
      <c r="F4" s="11"/>
      <c r="G4" s="11"/>
      <c r="H4" s="11"/>
      <c r="I4" s="11"/>
      <c r="J4" s="11"/>
      <c r="K4" s="11"/>
      <c r="L4" s="11" t="s">
        <v>567</v>
      </c>
      <c r="M4" s="11"/>
      <c r="N4" s="11"/>
      <c r="O4" s="11"/>
      <c r="P4" s="11"/>
      <c r="Q4" s="11"/>
    </row>
    <row r="5" spans="3:34" ht="24" thickBot="1">
      <c r="C5" s="204" t="s">
        <v>192</v>
      </c>
      <c r="D5" s="594" t="s">
        <v>101</v>
      </c>
      <c r="E5" s="595"/>
      <c r="F5" s="595"/>
      <c r="G5" s="595"/>
      <c r="H5" s="595"/>
      <c r="I5" s="595"/>
      <c r="J5" s="595"/>
      <c r="K5" s="595"/>
      <c r="L5" s="595"/>
      <c r="M5" s="595"/>
      <c r="N5" s="595"/>
      <c r="O5" s="596"/>
      <c r="P5" s="11"/>
      <c r="Q5" s="11"/>
    </row>
    <row r="6" spans="3:34" ht="18">
      <c r="C6" s="205" t="s">
        <v>169</v>
      </c>
      <c r="D6" s="140" t="s">
        <v>1</v>
      </c>
      <c r="E6" s="382" t="s">
        <v>162</v>
      </c>
      <c r="F6" s="196" t="s">
        <v>165</v>
      </c>
      <c r="G6" s="196" t="s">
        <v>107</v>
      </c>
      <c r="H6" s="196" t="s">
        <v>471</v>
      </c>
      <c r="I6" s="196" t="s">
        <v>482</v>
      </c>
      <c r="J6" s="377" t="s">
        <v>445</v>
      </c>
      <c r="K6" s="196" t="s">
        <v>446</v>
      </c>
      <c r="L6" s="196" t="s">
        <v>549</v>
      </c>
      <c r="M6" s="141"/>
      <c r="N6" s="141"/>
      <c r="O6" s="142"/>
      <c r="P6" s="11"/>
      <c r="Q6" s="11"/>
    </row>
    <row r="7" spans="3:34" ht="18">
      <c r="C7" s="206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55</v>
      </c>
      <c r="J7" s="378">
        <v>66</v>
      </c>
      <c r="K7" s="143">
        <v>77</v>
      </c>
      <c r="L7" s="143">
        <v>88</v>
      </c>
      <c r="M7" s="143"/>
      <c r="N7" s="143"/>
      <c r="O7" s="144"/>
      <c r="P7" s="11"/>
      <c r="Q7" s="11"/>
    </row>
    <row r="8" spans="3:34" ht="18">
      <c r="C8" s="207" t="s">
        <v>193</v>
      </c>
      <c r="D8" s="140" t="s">
        <v>102</v>
      </c>
      <c r="E8" s="485">
        <v>0</v>
      </c>
      <c r="F8" s="486">
        <v>0</v>
      </c>
      <c r="G8" s="486">
        <v>0</v>
      </c>
      <c r="H8" s="487">
        <f>C129</f>
        <v>1238.8903726829265</v>
      </c>
      <c r="I8" s="143">
        <f xml:space="preserve"> 3 * 0.96  *1000</f>
        <v>2880</v>
      </c>
      <c r="J8" s="488">
        <f>120*0.93</f>
        <v>111.60000000000001</v>
      </c>
      <c r="K8" s="143">
        <v>326</v>
      </c>
      <c r="L8" s="500">
        <v>5000</v>
      </c>
      <c r="M8" s="143"/>
      <c r="N8" s="143"/>
      <c r="O8" s="144"/>
      <c r="P8" s="11"/>
      <c r="Q8" s="11"/>
      <c r="S8" s="350" t="s">
        <v>390</v>
      </c>
    </row>
    <row r="9" spans="3:34" ht="18">
      <c r="C9" s="207" t="s">
        <v>179</v>
      </c>
      <c r="D9" s="140" t="s">
        <v>195</v>
      </c>
      <c r="E9" s="153">
        <v>70</v>
      </c>
      <c r="F9" s="143"/>
      <c r="G9" s="143"/>
      <c r="H9" s="143"/>
      <c r="I9" s="143"/>
      <c r="J9" s="378"/>
      <c r="K9" s="143"/>
      <c r="L9" s="143"/>
      <c r="M9" s="143"/>
      <c r="N9" s="143"/>
      <c r="O9" s="144"/>
      <c r="P9" s="11"/>
      <c r="Q9" s="11"/>
    </row>
    <row r="10" spans="3:34" ht="18">
      <c r="C10" s="207" t="s">
        <v>179</v>
      </c>
      <c r="D10" s="140" t="s">
        <v>196</v>
      </c>
      <c r="E10" s="153">
        <v>70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34" ht="18">
      <c r="C11" s="206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34" ht="18">
      <c r="C12" s="206" t="s">
        <v>169</v>
      </c>
      <c r="D12" s="140" t="s">
        <v>194</v>
      </c>
      <c r="E12" s="172">
        <v>0</v>
      </c>
      <c r="F12" s="195">
        <v>1</v>
      </c>
      <c r="G12" s="195">
        <v>0</v>
      </c>
      <c r="H12" s="11"/>
      <c r="I12" s="11"/>
      <c r="J12" s="11"/>
      <c r="K12" s="11"/>
      <c r="L12" s="11"/>
      <c r="M12" s="11"/>
      <c r="N12" s="11"/>
      <c r="O12" s="87"/>
      <c r="P12" s="11"/>
      <c r="Q12" s="11"/>
    </row>
    <row r="13" spans="3:34" ht="18.600000000000001" thickBot="1">
      <c r="C13" s="208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 t="shared" si="0"/>
        <v>1</v>
      </c>
      <c r="J13" s="151">
        <f t="shared" si="0"/>
        <v>1</v>
      </c>
      <c r="K13" s="151">
        <f t="shared" si="0"/>
        <v>1</v>
      </c>
      <c r="L13" s="151">
        <f t="shared" si="0"/>
        <v>1</v>
      </c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391" t="s">
        <v>515</v>
      </c>
      <c r="T13" s="391" t="s">
        <v>507</v>
      </c>
      <c r="U13" s="391" t="s">
        <v>508</v>
      </c>
      <c r="V13" s="391" t="s">
        <v>163</v>
      </c>
      <c r="W13" s="391" t="s">
        <v>509</v>
      </c>
      <c r="X13" s="391" t="s">
        <v>510</v>
      </c>
      <c r="Y13" s="391" t="s">
        <v>511</v>
      </c>
      <c r="Z13" s="391" t="s">
        <v>298</v>
      </c>
      <c r="AA13" s="391" t="s">
        <v>512</v>
      </c>
      <c r="AB13" s="392" t="s">
        <v>513</v>
      </c>
      <c r="AF13" t="s">
        <v>551</v>
      </c>
      <c r="AG13">
        <v>125</v>
      </c>
      <c r="AH13" t="s">
        <v>550</v>
      </c>
    </row>
    <row r="14" spans="3:34" ht="18">
      <c r="C14" s="209"/>
      <c r="D14" s="145" t="s">
        <v>296</v>
      </c>
      <c r="E14" s="397">
        <f>AC19</f>
        <v>2.5299999999999996E-2</v>
      </c>
      <c r="F14" s="403"/>
      <c r="G14" s="403"/>
      <c r="H14" s="403"/>
      <c r="I14" s="403"/>
      <c r="J14" s="403"/>
      <c r="K14" s="403"/>
      <c r="L14" s="141"/>
      <c r="M14" s="141"/>
      <c r="N14" s="141"/>
      <c r="O14" s="142"/>
      <c r="P14" s="11"/>
      <c r="Q14" s="11"/>
      <c r="S14" s="391" t="s">
        <v>516</v>
      </c>
      <c r="T14" s="391" t="s">
        <v>514</v>
      </c>
      <c r="U14" s="391" t="s">
        <v>514</v>
      </c>
      <c r="V14" s="391" t="s">
        <v>514</v>
      </c>
      <c r="W14" s="391" t="s">
        <v>514</v>
      </c>
      <c r="X14" s="391" t="s">
        <v>514</v>
      </c>
      <c r="Y14" s="391" t="s">
        <v>514</v>
      </c>
      <c r="Z14" s="391" t="s">
        <v>514</v>
      </c>
      <c r="AA14" s="391" t="s">
        <v>514</v>
      </c>
      <c r="AB14" s="391" t="s">
        <v>514</v>
      </c>
      <c r="AF14" t="s">
        <v>552</v>
      </c>
      <c r="AG14">
        <v>20</v>
      </c>
      <c r="AH14" t="s">
        <v>553</v>
      </c>
    </row>
    <row r="15" spans="3:34" ht="18">
      <c r="C15" s="166"/>
      <c r="D15" s="146" t="s">
        <v>163</v>
      </c>
      <c r="E15" s="398">
        <f>AC20</f>
        <v>1.8999999999999996E-3</v>
      </c>
      <c r="F15" s="404"/>
      <c r="G15" s="404"/>
      <c r="H15" s="408"/>
      <c r="I15" s="404"/>
      <c r="J15" s="404"/>
      <c r="K15" s="404"/>
      <c r="L15" s="143"/>
      <c r="M15" s="143"/>
      <c r="N15" s="143"/>
      <c r="O15" s="144"/>
      <c r="P15" s="11"/>
      <c r="Q15" s="11"/>
      <c r="S15" s="390">
        <v>141.5</v>
      </c>
      <c r="T15" s="390">
        <v>63</v>
      </c>
      <c r="U15" s="390">
        <v>126.5</v>
      </c>
      <c r="V15" s="390">
        <v>9.5</v>
      </c>
      <c r="W15" s="390">
        <v>12.5</v>
      </c>
      <c r="X15" s="390">
        <v>52.5</v>
      </c>
      <c r="Y15" s="390">
        <v>33</v>
      </c>
      <c r="Z15" s="390">
        <v>476</v>
      </c>
      <c r="AA15" s="390">
        <v>15.445</v>
      </c>
      <c r="AB15" s="390">
        <v>211.55499999999995</v>
      </c>
      <c r="AF15" t="s">
        <v>554</v>
      </c>
      <c r="AG15">
        <v>50</v>
      </c>
      <c r="AH15" t="s">
        <v>555</v>
      </c>
    </row>
    <row r="16" spans="3:34" ht="18">
      <c r="C16" s="166"/>
      <c r="D16" s="146" t="s">
        <v>161</v>
      </c>
      <c r="E16" s="398">
        <f t="shared" ref="E16:E23" si="1">AC21</f>
        <v>1.9699999999999999E-2</v>
      </c>
      <c r="F16" s="405"/>
      <c r="G16" s="405"/>
      <c r="H16" s="405"/>
      <c r="I16" s="405"/>
      <c r="J16" s="405"/>
      <c r="K16" s="405"/>
      <c r="L16" s="195"/>
      <c r="M16" s="195"/>
      <c r="N16" s="195"/>
      <c r="O16" s="144"/>
      <c r="P16" s="11"/>
      <c r="Q16" s="11"/>
      <c r="T16" s="383">
        <f>T15/1000</f>
        <v>6.3E-2</v>
      </c>
      <c r="U16" s="383">
        <f t="shared" ref="U16:AB16" si="2">U15/1000</f>
        <v>0.1265</v>
      </c>
      <c r="V16" s="383">
        <f t="shared" si="2"/>
        <v>9.4999999999999998E-3</v>
      </c>
      <c r="W16" s="383">
        <f t="shared" si="2"/>
        <v>1.2500000000000001E-2</v>
      </c>
      <c r="X16" s="383">
        <f t="shared" si="2"/>
        <v>5.2499999999999998E-2</v>
      </c>
      <c r="Y16" s="383">
        <f t="shared" si="2"/>
        <v>3.3000000000000002E-2</v>
      </c>
      <c r="Z16" s="383">
        <f t="shared" si="2"/>
        <v>0.47599999999999998</v>
      </c>
      <c r="AA16" s="383">
        <f t="shared" si="2"/>
        <v>1.5445E-2</v>
      </c>
      <c r="AB16" s="383">
        <f t="shared" si="2"/>
        <v>0.21155499999999994</v>
      </c>
    </row>
    <row r="17" spans="3:34" ht="18">
      <c r="C17" s="166"/>
      <c r="D17" s="146" t="s">
        <v>466</v>
      </c>
      <c r="E17" s="398">
        <f t="shared" si="1"/>
        <v>1.0499999999999999E-2</v>
      </c>
      <c r="F17" s="404"/>
      <c r="G17" s="404"/>
      <c r="H17" s="404"/>
      <c r="I17" s="404"/>
      <c r="J17" s="404"/>
      <c r="K17" s="404"/>
      <c r="L17" s="143"/>
      <c r="M17" s="143"/>
      <c r="N17" s="143"/>
      <c r="O17" s="144"/>
      <c r="P17" s="11"/>
      <c r="Q17" s="11"/>
      <c r="AG17">
        <f>AG13/AG15</f>
        <v>2.5</v>
      </c>
      <c r="AH17" t="s">
        <v>553</v>
      </c>
    </row>
    <row r="18" spans="3:34" ht="18">
      <c r="C18" s="166"/>
      <c r="D18" s="146" t="s">
        <v>505</v>
      </c>
      <c r="E18" s="398">
        <f t="shared" si="1"/>
        <v>6.5999999999999991E-3</v>
      </c>
      <c r="F18" s="404"/>
      <c r="G18" s="404"/>
      <c r="H18" s="408"/>
      <c r="I18" s="404"/>
      <c r="J18" s="404"/>
      <c r="K18" s="404"/>
      <c r="L18" s="143"/>
      <c r="M18" s="143"/>
      <c r="N18" s="143"/>
      <c r="O18" s="144"/>
      <c r="P18" s="11"/>
      <c r="Q18" s="11"/>
      <c r="X18" s="238" t="s">
        <v>520</v>
      </c>
      <c r="Y18" s="238" t="s">
        <v>629</v>
      </c>
      <c r="Z18" s="238" t="s">
        <v>518</v>
      </c>
      <c r="AG18">
        <f>AG17/AG14</f>
        <v>0.125</v>
      </c>
    </row>
    <row r="19" spans="3:34" ht="18">
      <c r="C19" s="166"/>
      <c r="D19" s="146" t="s">
        <v>506</v>
      </c>
      <c r="E19" s="398">
        <f t="shared" si="1"/>
        <v>2.4999999999999996E-3</v>
      </c>
      <c r="F19" s="405"/>
      <c r="G19" s="405"/>
      <c r="H19" s="405"/>
      <c r="I19" s="405"/>
      <c r="J19" s="405"/>
      <c r="K19" s="405"/>
      <c r="L19" s="143"/>
      <c r="M19" s="143"/>
      <c r="N19" s="143"/>
      <c r="O19" s="144"/>
      <c r="P19" s="11"/>
      <c r="Q19" s="11"/>
      <c r="W19" s="391" t="s">
        <v>507</v>
      </c>
      <c r="X19" s="238">
        <v>6.3E-2</v>
      </c>
      <c r="Y19" s="394">
        <v>63</v>
      </c>
      <c r="Z19" s="395">
        <f>Y19/(1000+$Y$31)</f>
        <v>1.2599999999999998E-2</v>
      </c>
      <c r="AB19" s="391" t="s">
        <v>508</v>
      </c>
      <c r="AC19" s="395">
        <f>Z20</f>
        <v>2.5299999999999996E-2</v>
      </c>
      <c r="AD19" s="238"/>
    </row>
    <row r="20" spans="3:34" ht="18">
      <c r="C20" s="166"/>
      <c r="D20" s="146" t="s">
        <v>298</v>
      </c>
      <c r="E20" s="398">
        <f t="shared" si="1"/>
        <v>9.5199999999999979E-2</v>
      </c>
      <c r="F20" s="404"/>
      <c r="G20" s="404"/>
      <c r="H20" s="404"/>
      <c r="I20" s="404"/>
      <c r="J20" s="404"/>
      <c r="K20" s="404"/>
      <c r="L20" s="143"/>
      <c r="M20" s="143"/>
      <c r="N20" s="143"/>
      <c r="O20" s="144"/>
      <c r="P20" s="11"/>
      <c r="Q20" s="11"/>
      <c r="W20" s="391" t="s">
        <v>508</v>
      </c>
      <c r="X20" s="238">
        <v>0.1265</v>
      </c>
      <c r="Y20" s="394">
        <v>126.5</v>
      </c>
      <c r="Z20" s="395">
        <f t="shared" ref="Z20:Z27" si="3">Y20/(1000+$Y$31)</f>
        <v>2.5299999999999996E-2</v>
      </c>
      <c r="AB20" s="391" t="s">
        <v>163</v>
      </c>
      <c r="AC20" s="395">
        <f>Z21</f>
        <v>1.8999999999999996E-3</v>
      </c>
      <c r="AD20" s="238"/>
    </row>
    <row r="21" spans="3:34" ht="18">
      <c r="C21" s="166"/>
      <c r="D21" s="146" t="s">
        <v>164</v>
      </c>
      <c r="E21" s="398">
        <f t="shared" si="1"/>
        <v>3.0889999999999993E-3</v>
      </c>
      <c r="F21" s="404"/>
      <c r="G21" s="404"/>
      <c r="H21" s="404"/>
      <c r="I21" s="404"/>
      <c r="J21" s="404"/>
      <c r="K21" s="404"/>
      <c r="L21" s="195"/>
      <c r="M21" s="143"/>
      <c r="N21" s="143"/>
      <c r="O21" s="144"/>
      <c r="P21" s="11"/>
      <c r="Q21" s="11"/>
      <c r="T21" s="390">
        <f>SUM(T15:AB15)</f>
        <v>1000</v>
      </c>
      <c r="W21" s="391" t="s">
        <v>163</v>
      </c>
      <c r="X21" s="238">
        <v>9.4999999999999998E-3</v>
      </c>
      <c r="Y21" s="394">
        <v>9.5</v>
      </c>
      <c r="Z21" s="395">
        <f t="shared" si="3"/>
        <v>1.8999999999999996E-3</v>
      </c>
      <c r="AB21" s="391" t="s">
        <v>161</v>
      </c>
      <c r="AC21" s="238">
        <f>(1.02 + 2.92)/(2*100)</f>
        <v>1.9699999999999999E-2</v>
      </c>
      <c r="AD21" s="238"/>
    </row>
    <row r="22" spans="3:34" ht="18">
      <c r="C22" s="166"/>
      <c r="D22" s="146" t="s">
        <v>507</v>
      </c>
      <c r="E22" s="398">
        <f t="shared" si="1"/>
        <v>3.5210999999999978E-2</v>
      </c>
      <c r="F22" s="405"/>
      <c r="G22" s="405"/>
      <c r="H22" s="405"/>
      <c r="I22" s="405"/>
      <c r="J22" s="405"/>
      <c r="K22" s="405"/>
      <c r="L22" s="143"/>
      <c r="M22" s="143"/>
      <c r="N22" s="143"/>
      <c r="O22" s="144"/>
      <c r="P22" s="11"/>
      <c r="Q22" s="11"/>
      <c r="T22" s="390">
        <f>SUM(T16:AB16)</f>
        <v>1</v>
      </c>
      <c r="W22" s="391" t="s">
        <v>509</v>
      </c>
      <c r="X22" s="238">
        <v>1.2500000000000001E-2</v>
      </c>
      <c r="Y22" s="394">
        <v>12.5</v>
      </c>
      <c r="Z22" s="395">
        <f t="shared" si="3"/>
        <v>2.4999999999999996E-3</v>
      </c>
      <c r="AB22" s="396" t="s">
        <v>466</v>
      </c>
      <c r="AC22" s="395">
        <f>Z23</f>
        <v>1.0499999999999999E-2</v>
      </c>
      <c r="AD22" s="238"/>
    </row>
    <row r="23" spans="3:34" ht="18">
      <c r="C23" s="166"/>
      <c r="D23" s="146" t="s">
        <v>14</v>
      </c>
      <c r="E23" s="398">
        <f t="shared" si="1"/>
        <v>0.8</v>
      </c>
      <c r="F23" s="404">
        <v>1</v>
      </c>
      <c r="G23" s="404"/>
      <c r="H23" s="409">
        <f>1-H26-H29</f>
        <v>0.97405063291139238</v>
      </c>
      <c r="I23" s="404"/>
      <c r="J23" s="404">
        <v>0.2</v>
      </c>
      <c r="K23" s="404">
        <v>0.1</v>
      </c>
      <c r="L23" s="143"/>
      <c r="M23" s="143"/>
      <c r="N23" s="143"/>
      <c r="O23" s="144"/>
      <c r="P23" s="11"/>
      <c r="Q23" s="11"/>
      <c r="W23" s="391" t="s">
        <v>510</v>
      </c>
      <c r="X23" s="238">
        <v>5.2499999999999998E-2</v>
      </c>
      <c r="Y23" s="394">
        <v>52.5</v>
      </c>
      <c r="Z23" s="395">
        <f t="shared" si="3"/>
        <v>1.0499999999999999E-2</v>
      </c>
      <c r="AB23" s="396" t="s">
        <v>505</v>
      </c>
      <c r="AC23" s="395">
        <f>Z24</f>
        <v>6.5999999999999991E-3</v>
      </c>
      <c r="AD23" s="238"/>
    </row>
    <row r="24" spans="3:34" ht="18">
      <c r="C24" s="166"/>
      <c r="D24" s="146" t="s">
        <v>4</v>
      </c>
      <c r="E24" s="399"/>
      <c r="F24" s="404"/>
      <c r="G24" s="404">
        <v>0.22</v>
      </c>
      <c r="H24" s="404"/>
      <c r="I24" s="404"/>
      <c r="J24" s="404"/>
      <c r="K24" s="404"/>
      <c r="L24" s="143"/>
      <c r="M24" s="143"/>
      <c r="N24" s="143"/>
      <c r="O24" s="144"/>
      <c r="P24" s="11"/>
      <c r="V24" s="11" t="s">
        <v>22</v>
      </c>
      <c r="W24" s="391" t="s">
        <v>511</v>
      </c>
      <c r="X24" s="238">
        <v>3.3000000000000002E-2</v>
      </c>
      <c r="Y24" s="394">
        <v>33</v>
      </c>
      <c r="Z24" s="395">
        <f t="shared" si="3"/>
        <v>6.5999999999999991E-3</v>
      </c>
      <c r="AB24" s="396" t="s">
        <v>506</v>
      </c>
      <c r="AC24" s="395">
        <f>Z22</f>
        <v>2.4999999999999996E-3</v>
      </c>
      <c r="AD24" s="238"/>
    </row>
    <row r="25" spans="3:34" ht="18">
      <c r="C25" s="166"/>
      <c r="D25" s="146" t="s">
        <v>17</v>
      </c>
      <c r="E25" s="399"/>
      <c r="F25" s="406"/>
      <c r="G25" s="404">
        <v>0.78</v>
      </c>
      <c r="H25" s="410"/>
      <c r="I25" s="404"/>
      <c r="J25" s="404"/>
      <c r="K25" s="404"/>
      <c r="L25" s="143"/>
      <c r="M25" s="143"/>
      <c r="N25" s="143"/>
      <c r="O25" s="144"/>
      <c r="P25" s="11"/>
      <c r="Q25" s="11"/>
      <c r="W25" s="391" t="s">
        <v>298</v>
      </c>
      <c r="X25" s="238">
        <v>0.47599999999999998</v>
      </c>
      <c r="Y25" s="394">
        <v>476</v>
      </c>
      <c r="Z25" s="395">
        <f t="shared" si="3"/>
        <v>9.5199999999999979E-2</v>
      </c>
      <c r="AB25" s="396" t="s">
        <v>298</v>
      </c>
      <c r="AC25" s="395">
        <f>Z25</f>
        <v>9.5199999999999979E-2</v>
      </c>
      <c r="AD25" s="238"/>
    </row>
    <row r="26" spans="3:34" ht="18">
      <c r="C26" s="166"/>
      <c r="D26" s="146" t="s">
        <v>471</v>
      </c>
      <c r="E26" s="400"/>
      <c r="F26" s="404"/>
      <c r="G26" s="404"/>
      <c r="H26" s="410">
        <v>0.02</v>
      </c>
      <c r="I26" s="404"/>
      <c r="J26" s="404"/>
      <c r="K26" s="404"/>
      <c r="L26" s="143"/>
      <c r="M26" s="143"/>
      <c r="N26" s="143"/>
      <c r="O26" s="268"/>
      <c r="P26" s="11"/>
      <c r="Q26" s="11"/>
      <c r="W26" s="391" t="s">
        <v>512</v>
      </c>
      <c r="X26" s="238">
        <v>1.5445E-2</v>
      </c>
      <c r="Y26" s="394">
        <v>15.445</v>
      </c>
      <c r="Z26" s="395">
        <f t="shared" si="3"/>
        <v>3.0889999999999993E-3</v>
      </c>
      <c r="AB26" s="396" t="s">
        <v>164</v>
      </c>
      <c r="AC26" s="395">
        <f>Z26</f>
        <v>3.0889999999999993E-3</v>
      </c>
      <c r="AD26" s="238"/>
    </row>
    <row r="27" spans="3:34" ht="18">
      <c r="C27" s="166"/>
      <c r="D27" s="146" t="s">
        <v>424</v>
      </c>
      <c r="E27" s="400"/>
      <c r="F27" s="404"/>
      <c r="G27" s="404"/>
      <c r="H27" s="404"/>
      <c r="I27" s="404"/>
      <c r="J27" s="404">
        <v>0.8</v>
      </c>
      <c r="K27" s="404"/>
      <c r="L27" s="143"/>
      <c r="M27" s="195"/>
      <c r="N27" s="195"/>
      <c r="O27" s="268"/>
      <c r="P27" s="11"/>
      <c r="Q27" s="11"/>
      <c r="W27" s="392" t="s">
        <v>513</v>
      </c>
      <c r="X27" s="238">
        <v>0.21155499999999994</v>
      </c>
      <c r="Y27" s="394">
        <v>211.55499999999995</v>
      </c>
      <c r="Z27" s="395">
        <f t="shared" si="3"/>
        <v>4.2310999999999981E-2</v>
      </c>
      <c r="AB27" s="396" t="s">
        <v>295</v>
      </c>
      <c r="AC27" s="395">
        <f>Z19+Z27-AC21</f>
        <v>3.5210999999999978E-2</v>
      </c>
      <c r="AD27" s="238"/>
    </row>
    <row r="28" spans="3:34" ht="18">
      <c r="C28" s="166"/>
      <c r="D28" s="146" t="s">
        <v>442</v>
      </c>
      <c r="E28" s="400"/>
      <c r="F28" s="404"/>
      <c r="G28" s="404"/>
      <c r="H28" s="404"/>
      <c r="I28" s="404"/>
      <c r="J28" s="404"/>
      <c r="K28" s="404">
        <v>0.9</v>
      </c>
      <c r="L28" s="195"/>
      <c r="M28" s="195"/>
      <c r="N28" s="195"/>
      <c r="O28" s="268"/>
      <c r="P28" s="11"/>
      <c r="Q28" s="11"/>
      <c r="Z28" s="395"/>
      <c r="AB28" s="396" t="s">
        <v>14</v>
      </c>
      <c r="AC28" s="238">
        <f>Z31</f>
        <v>0.8</v>
      </c>
      <c r="AD28" s="238"/>
    </row>
    <row r="29" spans="3:34" ht="18">
      <c r="C29" s="166"/>
      <c r="D29" s="146" t="s">
        <v>484</v>
      </c>
      <c r="E29" s="401"/>
      <c r="F29" s="405"/>
      <c r="G29" s="405"/>
      <c r="H29" s="409">
        <f>4.7/790</f>
        <v>5.9493670886075949E-3</v>
      </c>
      <c r="I29" s="406"/>
      <c r="J29" s="405"/>
      <c r="K29" s="405"/>
      <c r="L29" s="195"/>
      <c r="M29" s="195"/>
      <c r="N29" s="195"/>
      <c r="O29" s="268"/>
      <c r="P29" s="11"/>
      <c r="Q29" s="11"/>
      <c r="W29" s="391" t="s">
        <v>517</v>
      </c>
      <c r="X29" s="520">
        <v>0.8</v>
      </c>
      <c r="Z29" s="393"/>
    </row>
    <row r="30" spans="3:34" ht="18">
      <c r="C30" s="166"/>
      <c r="D30" s="146" t="s">
        <v>15</v>
      </c>
      <c r="E30" s="401"/>
      <c r="F30" s="405"/>
      <c r="G30" s="405"/>
      <c r="H30" s="405"/>
      <c r="I30" s="406">
        <f xml:space="preserve"> 1 - I31</f>
        <v>0.91</v>
      </c>
      <c r="J30" s="405"/>
      <c r="K30" s="405"/>
      <c r="L30" s="195"/>
      <c r="M30" s="195"/>
      <c r="N30" s="195"/>
      <c r="O30" s="268"/>
      <c r="P30" s="11"/>
      <c r="Q30" s="11"/>
      <c r="AB30" s="395" t="s">
        <v>522</v>
      </c>
      <c r="AC30" s="383">
        <f>SUM(AC19:AC28)</f>
        <v>1</v>
      </c>
    </row>
    <row r="31" spans="3:34" ht="18">
      <c r="C31" s="166"/>
      <c r="D31" s="146" t="s">
        <v>186</v>
      </c>
      <c r="E31" s="401"/>
      <c r="F31" s="405"/>
      <c r="G31" s="405"/>
      <c r="H31" s="405"/>
      <c r="I31" s="406">
        <v>0.09</v>
      </c>
      <c r="J31" s="405"/>
      <c r="K31" s="405"/>
      <c r="L31" s="195"/>
      <c r="M31" s="195"/>
      <c r="N31" s="195"/>
      <c r="O31" s="268"/>
      <c r="P31" s="11"/>
      <c r="Q31" s="11"/>
      <c r="X31" s="238" t="s">
        <v>519</v>
      </c>
      <c r="Y31" s="390">
        <f>X29*1000/(1-X29)</f>
        <v>4000.0000000000009</v>
      </c>
      <c r="Z31">
        <f>Y31/(Y31+1000)</f>
        <v>0.8</v>
      </c>
    </row>
    <row r="32" spans="3:34" ht="18">
      <c r="C32" s="166"/>
      <c r="D32" s="146" t="s">
        <v>565</v>
      </c>
      <c r="E32" s="401"/>
      <c r="F32" s="405"/>
      <c r="G32" s="405"/>
      <c r="H32" s="405"/>
      <c r="I32" s="406"/>
      <c r="J32" s="405"/>
      <c r="K32" s="405"/>
      <c r="L32" s="195">
        <v>0.1</v>
      </c>
      <c r="M32" s="195"/>
      <c r="N32" s="195"/>
      <c r="O32" s="268"/>
      <c r="P32" s="11"/>
      <c r="Q32" s="11"/>
      <c r="X32" s="238" t="s">
        <v>521</v>
      </c>
    </row>
    <row r="33" spans="2:26" ht="18">
      <c r="C33" s="166"/>
      <c r="D33" s="146" t="s">
        <v>566</v>
      </c>
      <c r="E33" s="401"/>
      <c r="F33" s="405"/>
      <c r="G33" s="405"/>
      <c r="H33" s="405"/>
      <c r="I33" s="405"/>
      <c r="J33" s="405"/>
      <c r="K33" s="405"/>
      <c r="L33" s="195">
        <f>1-L32</f>
        <v>0.9</v>
      </c>
      <c r="M33" s="195"/>
      <c r="N33" s="195"/>
      <c r="O33" s="268"/>
      <c r="P33" s="11"/>
      <c r="Q33" s="11"/>
    </row>
    <row r="34" spans="2:26">
      <c r="C34" s="166"/>
      <c r="D34" s="166"/>
      <c r="E34" s="401"/>
      <c r="F34" s="405"/>
      <c r="G34" s="405"/>
      <c r="H34" s="405"/>
      <c r="I34" s="405"/>
      <c r="J34" s="405"/>
      <c r="K34" s="405"/>
      <c r="L34" s="195"/>
      <c r="M34" s="195"/>
      <c r="N34" s="195"/>
      <c r="O34" s="268"/>
      <c r="P34" s="11"/>
      <c r="Q34" s="11"/>
      <c r="Z34" s="383">
        <f>SUM(Z19:Z31)</f>
        <v>1</v>
      </c>
    </row>
    <row r="35" spans="2:26">
      <c r="C35" s="166"/>
      <c r="D35" s="166"/>
      <c r="E35" s="401"/>
      <c r="F35" s="405"/>
      <c r="G35" s="405"/>
      <c r="H35" s="405"/>
      <c r="I35" s="405"/>
      <c r="J35" s="405"/>
      <c r="K35" s="405"/>
      <c r="L35" s="195"/>
      <c r="M35" s="195"/>
      <c r="N35" s="195"/>
      <c r="O35" s="268"/>
      <c r="P35" s="11"/>
      <c r="Q35" s="11"/>
    </row>
    <row r="36" spans="2:26" ht="15" thickBot="1">
      <c r="C36" s="167"/>
      <c r="D36" s="167"/>
      <c r="E36" s="402"/>
      <c r="F36" s="407"/>
      <c r="G36" s="407"/>
      <c r="H36" s="407"/>
      <c r="I36" s="407"/>
      <c r="J36" s="407"/>
      <c r="K36" s="407"/>
      <c r="L36" s="155"/>
      <c r="M36" s="155"/>
      <c r="N36" s="155"/>
      <c r="O36" s="269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463</v>
      </c>
      <c r="E41" s="300" t="s">
        <v>464</v>
      </c>
      <c r="M41" s="300" t="s">
        <v>465</v>
      </c>
      <c r="O41" t="s">
        <v>447</v>
      </c>
    </row>
    <row r="43" spans="2:26">
      <c r="C43" s="300"/>
    </row>
    <row r="44" spans="2:26">
      <c r="N44" s="11"/>
    </row>
    <row r="64" spans="8:8">
      <c r="H64">
        <f>1.5/(100-84)</f>
        <v>9.375E-2</v>
      </c>
    </row>
    <row r="67" spans="3:18">
      <c r="C67" t="s">
        <v>425</v>
      </c>
      <c r="D67" s="296" t="s">
        <v>426</v>
      </c>
    </row>
    <row r="68" spans="3:18">
      <c r="Q68">
        <v>43.3</v>
      </c>
      <c r="R68" t="s">
        <v>472</v>
      </c>
    </row>
    <row r="69" spans="3:18">
      <c r="Q69">
        <v>13</v>
      </c>
      <c r="R69" t="s">
        <v>473</v>
      </c>
    </row>
    <row r="70" spans="3:18">
      <c r="Q70">
        <f>Q68+Q69</f>
        <v>56.3</v>
      </c>
      <c r="R70" t="s">
        <v>474</v>
      </c>
    </row>
    <row r="72" spans="3:18">
      <c r="Q72">
        <f>Q68/Q70</f>
        <v>0.76909413854351683</v>
      </c>
      <c r="R72" t="s">
        <v>475</v>
      </c>
    </row>
    <row r="93" spans="3:7">
      <c r="C93" s="296" t="s">
        <v>443</v>
      </c>
      <c r="G93" t="s">
        <v>444</v>
      </c>
    </row>
    <row r="124" spans="3:4">
      <c r="C124" t="s">
        <v>476</v>
      </c>
      <c r="D124" s="296" t="s">
        <v>483</v>
      </c>
    </row>
    <row r="125" spans="3:4">
      <c r="C125">
        <v>41</v>
      </c>
      <c r="D125" t="s">
        <v>477</v>
      </c>
    </row>
    <row r="126" spans="3:4">
      <c r="C126" s="297">
        <f>C125/35.273962</f>
        <v>1.1623304464635984</v>
      </c>
      <c r="D126" t="s">
        <v>478</v>
      </c>
    </row>
    <row r="127" spans="3:4">
      <c r="C127">
        <f>1.5*0.96</f>
        <v>1.44</v>
      </c>
      <c r="D127" t="s">
        <v>479</v>
      </c>
    </row>
    <row r="128" spans="3:4">
      <c r="C128" s="383">
        <f>C127/C126</f>
        <v>1.2388903726829266</v>
      </c>
      <c r="D128" t="s">
        <v>480</v>
      </c>
    </row>
    <row r="129" spans="3:4">
      <c r="C129" s="384">
        <f>C128*1000</f>
        <v>1238.8903726829265</v>
      </c>
      <c r="D129" t="s">
        <v>481</v>
      </c>
    </row>
    <row r="148" spans="3:4">
      <c r="C148" s="296" t="s">
        <v>556</v>
      </c>
    </row>
    <row r="158" spans="3:4" ht="15" thickBot="1"/>
    <row r="159" spans="3:4" ht="15" thickBot="1">
      <c r="C159" s="240" t="s">
        <v>561</v>
      </c>
      <c r="D159" s="456"/>
    </row>
    <row r="160" spans="3:4">
      <c r="C160" s="457">
        <v>50</v>
      </c>
      <c r="D160" s="458" t="s">
        <v>557</v>
      </c>
    </row>
    <row r="161" spans="3:7">
      <c r="C161" s="457">
        <v>1.2</v>
      </c>
      <c r="D161" s="458" t="s">
        <v>318</v>
      </c>
    </row>
    <row r="162" spans="3:7">
      <c r="C162" s="457">
        <f>C161*C160</f>
        <v>60</v>
      </c>
      <c r="D162" s="458" t="s">
        <v>558</v>
      </c>
    </row>
    <row r="163" spans="3:7">
      <c r="C163" s="457">
        <v>160</v>
      </c>
      <c r="D163" s="458" t="s">
        <v>559</v>
      </c>
    </row>
    <row r="164" spans="3:7">
      <c r="C164" s="459">
        <f>121 / 100</f>
        <v>1.21</v>
      </c>
      <c r="D164" s="458" t="s">
        <v>560</v>
      </c>
      <c r="E164" s="296"/>
      <c r="F164">
        <f>60/1000</f>
        <v>0.06</v>
      </c>
      <c r="G164" t="s">
        <v>560</v>
      </c>
    </row>
    <row r="165" spans="3:7" ht="15" thickBot="1">
      <c r="C165" s="461">
        <f>C164*1000000</f>
        <v>1210000</v>
      </c>
      <c r="D165" s="460" t="s">
        <v>291</v>
      </c>
      <c r="F165">
        <f>F164*1000</f>
        <v>60</v>
      </c>
      <c r="G165" t="s">
        <v>193</v>
      </c>
    </row>
    <row r="166" spans="3:7" ht="15" thickBot="1"/>
    <row r="167" spans="3:7" ht="15" thickBot="1">
      <c r="C167" s="240" t="s">
        <v>562</v>
      </c>
      <c r="D167" s="456"/>
    </row>
    <row r="168" spans="3:7">
      <c r="C168" s="457">
        <v>500</v>
      </c>
      <c r="D168" s="458" t="s">
        <v>563</v>
      </c>
    </row>
    <row r="169" spans="3:7">
      <c r="C169" s="457">
        <v>363</v>
      </c>
      <c r="D169" s="458" t="s">
        <v>564</v>
      </c>
    </row>
    <row r="170" spans="3:7">
      <c r="C170" s="457">
        <f>C169/C168</f>
        <v>0.72599999999999998</v>
      </c>
      <c r="D170" s="458" t="s">
        <v>560</v>
      </c>
    </row>
    <row r="171" spans="3:7" ht="15" thickBot="1">
      <c r="C171" s="466">
        <f>C170*1000000</f>
        <v>726000</v>
      </c>
      <c r="D171" s="460" t="s">
        <v>291</v>
      </c>
    </row>
    <row r="172" spans="3:7" ht="15" thickBot="1"/>
    <row r="173" spans="3:7" ht="15" thickBot="1">
      <c r="C173" s="240" t="s">
        <v>104</v>
      </c>
      <c r="D173" s="463"/>
      <c r="E173" s="456"/>
    </row>
    <row r="174" spans="3:7">
      <c r="C174" s="457" t="s">
        <v>570</v>
      </c>
      <c r="E174" s="458"/>
    </row>
    <row r="175" spans="3:7">
      <c r="C175" s="457" t="s">
        <v>571</v>
      </c>
      <c r="E175" s="458"/>
    </row>
    <row r="176" spans="3:7">
      <c r="C176" s="457" t="s">
        <v>572</v>
      </c>
      <c r="E176" s="458"/>
    </row>
    <row r="177" spans="3:5" ht="15" thickBot="1">
      <c r="C177" s="311"/>
      <c r="D177" s="464"/>
      <c r="E177" s="460"/>
    </row>
    <row r="178" spans="3:5">
      <c r="C178" s="465">
        <f>20/700</f>
        <v>2.8571428571428571E-2</v>
      </c>
      <c r="D178" s="463" t="s">
        <v>568</v>
      </c>
      <c r="E178" s="456"/>
    </row>
    <row r="179" spans="3:5">
      <c r="C179" s="457">
        <f xml:space="preserve"> 2 /1000</f>
        <v>2E-3</v>
      </c>
      <c r="D179" t="s">
        <v>569</v>
      </c>
      <c r="E179" s="458"/>
    </row>
    <row r="180" spans="3:5" ht="15" thickBot="1">
      <c r="C180">
        <f>C179*0.3</f>
        <v>5.9999999999999995E-4</v>
      </c>
      <c r="D180" t="s">
        <v>574</v>
      </c>
      <c r="E180" s="460"/>
    </row>
    <row r="181" spans="3:5" ht="15" thickBot="1">
      <c r="C181" s="466">
        <f>C179/C178</f>
        <v>7.0000000000000007E-2</v>
      </c>
      <c r="D181" s="464" t="s">
        <v>573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I15" sqref="I15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8" width="15.66406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597" t="s">
        <v>110</v>
      </c>
      <c r="E5" s="598"/>
      <c r="F5" s="598"/>
      <c r="G5" s="598"/>
      <c r="H5" s="598"/>
      <c r="I5" s="598"/>
      <c r="J5" s="598"/>
      <c r="K5" s="598"/>
      <c r="L5" s="598"/>
      <c r="M5" s="598"/>
      <c r="N5" s="598"/>
      <c r="O5" s="599"/>
      <c r="P5" s="11"/>
      <c r="Q5" s="11"/>
    </row>
    <row r="6" spans="3:17" ht="18">
      <c r="C6" s="11"/>
      <c r="D6" s="203" t="s">
        <v>1</v>
      </c>
      <c r="E6" s="196" t="s">
        <v>496</v>
      </c>
      <c r="F6" s="196" t="s">
        <v>548</v>
      </c>
      <c r="G6" s="141"/>
      <c r="H6" s="141"/>
      <c r="I6" s="141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111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89"/>
      <c r="H8" s="89"/>
      <c r="I8" s="89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900</v>
      </c>
      <c r="F9" s="143">
        <v>600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39">
        <v>800</v>
      </c>
      <c r="F10" s="143">
        <v>400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>
        <v>600</v>
      </c>
      <c r="F11" s="143">
        <v>210</v>
      </c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>
        <v>400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39">
        <v>200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G46" sqref="G46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581" t="s">
        <v>373</v>
      </c>
      <c r="D3" s="582"/>
      <c r="E3" s="582"/>
      <c r="F3" s="582"/>
      <c r="G3" s="583"/>
      <c r="H3" s="11"/>
      <c r="I3" s="11"/>
      <c r="J3" s="11"/>
      <c r="L3" s="603" t="s">
        <v>372</v>
      </c>
      <c r="M3" s="604"/>
      <c r="N3" s="604"/>
      <c r="O3" s="604"/>
      <c r="P3" s="605"/>
    </row>
    <row r="4" spans="2:31">
      <c r="C4" s="329" t="s">
        <v>39</v>
      </c>
      <c r="D4" s="329" t="s">
        <v>389</v>
      </c>
      <c r="E4" s="329"/>
      <c r="F4" s="329"/>
      <c r="G4" s="329"/>
      <c r="H4" s="329"/>
      <c r="I4" s="329"/>
      <c r="J4" s="329"/>
    </row>
    <row r="6" spans="2:31">
      <c r="AB6" s="340"/>
      <c r="AC6" s="340" t="s">
        <v>352</v>
      </c>
      <c r="AD6" s="340"/>
      <c r="AE6" s="340"/>
    </row>
    <row r="7" spans="2:31" ht="15" thickBot="1">
      <c r="K7" s="293"/>
      <c r="AA7" s="340"/>
      <c r="AB7" s="340"/>
      <c r="AC7" s="340"/>
      <c r="AD7" s="340"/>
      <c r="AE7" s="340"/>
    </row>
    <row r="8" spans="2:31" ht="15" thickBot="1">
      <c r="C8" s="329"/>
      <c r="D8" s="600" t="s">
        <v>342</v>
      </c>
      <c r="E8" s="601"/>
      <c r="F8" s="601"/>
      <c r="G8" s="601"/>
      <c r="H8" s="600" t="s">
        <v>370</v>
      </c>
      <c r="I8" s="601"/>
      <c r="J8" s="602"/>
      <c r="K8" s="344"/>
      <c r="L8" s="329"/>
      <c r="M8" s="600" t="s">
        <v>342</v>
      </c>
      <c r="N8" s="601"/>
      <c r="O8" s="601"/>
      <c r="P8" s="601"/>
      <c r="Q8" s="600" t="s">
        <v>370</v>
      </c>
      <c r="R8" s="601"/>
      <c r="S8" s="602"/>
      <c r="AA8" s="340"/>
      <c r="AB8" s="340"/>
      <c r="AC8" s="340"/>
      <c r="AD8" s="340"/>
      <c r="AE8" s="340"/>
    </row>
    <row r="9" spans="2:31" ht="18.600000000000001" thickBot="1">
      <c r="C9" s="323" t="s">
        <v>354</v>
      </c>
      <c r="D9" s="330" t="s">
        <v>357</v>
      </c>
      <c r="E9" s="330" t="s">
        <v>33</v>
      </c>
      <c r="F9" s="330" t="s">
        <v>358</v>
      </c>
      <c r="G9" s="332" t="s">
        <v>359</v>
      </c>
      <c r="H9" s="345" t="s">
        <v>374</v>
      </c>
      <c r="I9" s="345" t="s">
        <v>375</v>
      </c>
      <c r="J9" s="345" t="s">
        <v>371</v>
      </c>
      <c r="K9" s="344"/>
      <c r="L9" s="323" t="s">
        <v>354</v>
      </c>
      <c r="M9" s="330" t="s">
        <v>357</v>
      </c>
      <c r="N9" s="330" t="s">
        <v>33</v>
      </c>
      <c r="O9" s="330" t="s">
        <v>358</v>
      </c>
      <c r="P9" s="332" t="s">
        <v>359</v>
      </c>
      <c r="Q9" s="345" t="s">
        <v>374</v>
      </c>
      <c r="R9" s="345" t="s">
        <v>375</v>
      </c>
      <c r="S9" s="345" t="s">
        <v>371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496" t="s">
        <v>601</v>
      </c>
      <c r="C10" s="523" t="s">
        <v>376</v>
      </c>
      <c r="D10" s="276" t="s">
        <v>269</v>
      </c>
      <c r="E10" s="295" t="s">
        <v>269</v>
      </c>
      <c r="F10" s="276" t="s">
        <v>269</v>
      </c>
      <c r="G10" s="276" t="s">
        <v>269</v>
      </c>
      <c r="H10" s="522">
        <v>0.2</v>
      </c>
      <c r="I10" s="522">
        <v>0.8</v>
      </c>
      <c r="J10" s="276">
        <v>2</v>
      </c>
      <c r="K10" s="238"/>
      <c r="L10" s="209" t="s">
        <v>346</v>
      </c>
      <c r="M10" s="274">
        <v>9700</v>
      </c>
      <c r="N10" s="271" t="s">
        <v>269</v>
      </c>
      <c r="O10" s="274" t="s">
        <v>269</v>
      </c>
      <c r="P10" s="274" t="s">
        <v>269</v>
      </c>
      <c r="Q10" s="267">
        <v>1200</v>
      </c>
      <c r="R10" s="274">
        <v>1800</v>
      </c>
      <c r="S10" s="274">
        <v>5</v>
      </c>
      <c r="U10" s="166" t="s">
        <v>253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6"/>
      <c r="E11" s="295"/>
      <c r="F11" s="276"/>
      <c r="G11" s="276"/>
      <c r="H11" s="268"/>
      <c r="I11" s="276"/>
      <c r="J11" s="276"/>
      <c r="K11" s="238"/>
      <c r="L11" s="287" t="s">
        <v>346</v>
      </c>
      <c r="M11" s="241">
        <v>2000</v>
      </c>
      <c r="N11" s="347" t="s">
        <v>269</v>
      </c>
      <c r="O11" s="241" t="s">
        <v>269</v>
      </c>
      <c r="P11" s="241" t="s">
        <v>269</v>
      </c>
      <c r="Q11" s="245">
        <v>500</v>
      </c>
      <c r="R11" s="241">
        <v>1000</v>
      </c>
      <c r="S11" s="241">
        <v>5</v>
      </c>
      <c r="U11" s="166" t="s">
        <v>255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6"/>
      <c r="E12" s="295"/>
      <c r="F12" s="276"/>
      <c r="G12" s="276"/>
      <c r="H12" s="268"/>
      <c r="I12" s="276"/>
      <c r="J12" s="276"/>
      <c r="K12" s="238"/>
      <c r="U12" s="166" t="s">
        <v>256</v>
      </c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6"/>
      <c r="E13" s="295"/>
      <c r="F13" s="276"/>
      <c r="G13" s="276"/>
      <c r="H13" s="268"/>
      <c r="I13" s="276"/>
      <c r="J13" s="276"/>
      <c r="K13" s="238"/>
      <c r="L13" s="209" t="s">
        <v>346</v>
      </c>
      <c r="M13" s="274">
        <v>9700</v>
      </c>
      <c r="N13" s="271" t="s">
        <v>269</v>
      </c>
      <c r="O13" s="274" t="s">
        <v>269</v>
      </c>
      <c r="P13" s="274" t="s">
        <v>269</v>
      </c>
      <c r="Q13" s="267">
        <v>1200</v>
      </c>
      <c r="R13" s="274">
        <v>1800</v>
      </c>
      <c r="S13" s="274">
        <v>5</v>
      </c>
      <c r="U13" s="166" t="s">
        <v>254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6"/>
      <c r="E14" s="295"/>
      <c r="F14" s="276"/>
      <c r="G14" s="276"/>
      <c r="H14" s="268"/>
      <c r="I14" s="276"/>
      <c r="J14" s="276"/>
      <c r="K14" s="238"/>
      <c r="L14" s="287" t="s">
        <v>376</v>
      </c>
      <c r="M14" s="241" t="s">
        <v>269</v>
      </c>
      <c r="N14" s="347" t="s">
        <v>269</v>
      </c>
      <c r="O14" s="241" t="s">
        <v>269</v>
      </c>
      <c r="P14" s="241" t="s">
        <v>269</v>
      </c>
      <c r="Q14" s="245">
        <v>87</v>
      </c>
      <c r="R14" s="241">
        <v>200</v>
      </c>
      <c r="S14" s="241">
        <v>5</v>
      </c>
      <c r="U14" s="166" t="s">
        <v>245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6"/>
      <c r="E15" s="295"/>
      <c r="F15" s="276"/>
      <c r="G15" s="276"/>
      <c r="H15" s="268"/>
      <c r="I15" s="276"/>
      <c r="J15" s="276"/>
      <c r="K15" s="238"/>
      <c r="S15" s="338"/>
      <c r="U15" s="166" t="s">
        <v>345</v>
      </c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496"/>
      <c r="C16" s="166"/>
      <c r="D16" s="276"/>
      <c r="E16" s="295"/>
      <c r="F16" s="276"/>
      <c r="G16" s="276"/>
      <c r="H16" s="522"/>
      <c r="I16" s="522"/>
      <c r="J16" s="276"/>
      <c r="K16" s="238"/>
      <c r="L16" s="288" t="s">
        <v>253</v>
      </c>
      <c r="M16" s="531">
        <v>300</v>
      </c>
      <c r="N16" s="532" t="s">
        <v>161</v>
      </c>
      <c r="O16" s="531">
        <v>320</v>
      </c>
      <c r="P16" s="531" t="s">
        <v>269</v>
      </c>
      <c r="Q16" s="531">
        <v>0.9</v>
      </c>
      <c r="R16" s="536">
        <v>0.2</v>
      </c>
      <c r="S16" s="531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6"/>
      <c r="E17" s="295"/>
      <c r="F17" s="276"/>
      <c r="G17" s="276"/>
      <c r="H17" s="268"/>
      <c r="I17" s="276"/>
      <c r="J17" s="276"/>
      <c r="K17" s="238"/>
      <c r="L17" s="288" t="s">
        <v>346</v>
      </c>
      <c r="M17" s="536">
        <v>3000</v>
      </c>
      <c r="N17" s="532" t="s">
        <v>269</v>
      </c>
      <c r="O17" s="531" t="s">
        <v>269</v>
      </c>
      <c r="P17" s="531" t="s">
        <v>269</v>
      </c>
      <c r="Q17" s="536">
        <v>3000</v>
      </c>
      <c r="R17" s="536">
        <v>8000</v>
      </c>
      <c r="S17" s="531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6"/>
      <c r="G18" s="276"/>
      <c r="H18" s="268"/>
      <c r="I18" s="276"/>
      <c r="J18" s="276"/>
      <c r="K18" s="238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6"/>
      <c r="E19" s="295"/>
      <c r="F19" s="276"/>
      <c r="G19" s="276"/>
      <c r="H19" s="268"/>
      <c r="I19" s="276"/>
      <c r="J19" s="276"/>
      <c r="K19" s="238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6"/>
      <c r="E20" s="295"/>
      <c r="F20" s="276"/>
      <c r="G20" s="276"/>
      <c r="H20" s="268"/>
      <c r="I20" s="276"/>
      <c r="J20" s="276"/>
      <c r="K20" s="166" t="s">
        <v>597</v>
      </c>
      <c r="L20" s="166" t="s">
        <v>254</v>
      </c>
      <c r="M20" s="276">
        <v>400</v>
      </c>
      <c r="N20" s="295" t="s">
        <v>462</v>
      </c>
      <c r="O20" s="276" t="s">
        <v>269</v>
      </c>
      <c r="P20" s="276">
        <v>13</v>
      </c>
      <c r="Q20" s="268">
        <v>0.3</v>
      </c>
      <c r="R20" s="276">
        <v>0.8</v>
      </c>
      <c r="S20" s="276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6"/>
      <c r="E21" s="295"/>
      <c r="F21" s="276"/>
      <c r="G21" s="276"/>
      <c r="H21" s="268"/>
      <c r="I21" s="276"/>
      <c r="J21" s="276"/>
      <c r="K21" s="166" t="s">
        <v>593</v>
      </c>
      <c r="L21" s="166" t="s">
        <v>256</v>
      </c>
      <c r="M21" s="276">
        <v>200</v>
      </c>
      <c r="N21" s="295" t="s">
        <v>466</v>
      </c>
      <c r="O21" s="276" t="s">
        <v>269</v>
      </c>
      <c r="P21" s="276">
        <v>14</v>
      </c>
      <c r="Q21" s="268">
        <v>0.2</v>
      </c>
      <c r="R21" s="276">
        <v>0.8</v>
      </c>
      <c r="S21" s="276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6"/>
      <c r="E22" s="295"/>
      <c r="F22" s="276"/>
      <c r="G22" s="276"/>
      <c r="H22" s="268"/>
      <c r="I22" s="276"/>
      <c r="J22" s="276"/>
      <c r="K22" s="238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6"/>
      <c r="E23" s="295"/>
      <c r="F23" s="276"/>
      <c r="G23" s="276"/>
      <c r="H23" s="268"/>
      <c r="I23" s="276"/>
      <c r="J23" s="276"/>
      <c r="K23" s="238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6"/>
      <c r="E24" s="295"/>
      <c r="F24" s="276"/>
      <c r="G24" s="276"/>
      <c r="H24" s="268"/>
      <c r="I24" s="276"/>
      <c r="J24" s="276"/>
      <c r="K24" s="238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6"/>
      <c r="E25" s="295"/>
      <c r="F25" s="276"/>
      <c r="G25" s="276"/>
      <c r="H25" s="268"/>
      <c r="I25" s="276"/>
      <c r="J25" s="276"/>
      <c r="K25" s="238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6"/>
      <c r="E26" s="295"/>
      <c r="F26" s="276"/>
      <c r="G26" s="276"/>
      <c r="H26" s="268"/>
      <c r="I26" s="276"/>
      <c r="J26" s="276"/>
      <c r="K26" s="238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6"/>
      <c r="E27" s="295"/>
      <c r="F27" s="276"/>
      <c r="G27" s="276"/>
      <c r="H27" s="268"/>
      <c r="I27" s="276"/>
      <c r="J27" s="276"/>
      <c r="K27" s="238"/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6"/>
      <c r="E28" s="295"/>
      <c r="F28" s="276"/>
      <c r="G28" s="276"/>
      <c r="H28" s="268"/>
      <c r="I28" s="276"/>
      <c r="J28" s="276"/>
      <c r="K28" s="238"/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6"/>
      <c r="E29" s="295"/>
      <c r="F29" s="276"/>
      <c r="G29" s="276"/>
      <c r="H29" s="268"/>
      <c r="I29" s="276"/>
      <c r="J29" s="276"/>
      <c r="K29" s="238"/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6"/>
      <c r="E30" s="295"/>
      <c r="F30" s="276"/>
      <c r="G30" s="276"/>
      <c r="H30" s="268"/>
      <c r="I30" s="276"/>
      <c r="J30" s="276"/>
      <c r="K30" s="238"/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6"/>
      <c r="E31" s="295"/>
      <c r="F31" s="276"/>
      <c r="G31" s="276"/>
      <c r="H31" s="268"/>
      <c r="I31" s="276"/>
      <c r="J31" s="276"/>
      <c r="K31" s="238"/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6"/>
      <c r="E32" s="295"/>
      <c r="F32" s="276"/>
      <c r="G32" s="276"/>
      <c r="H32" s="268"/>
      <c r="I32" s="276"/>
      <c r="J32" s="276"/>
      <c r="K32" s="238"/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6"/>
      <c r="E33" s="295"/>
      <c r="F33" s="276"/>
      <c r="G33" s="276"/>
      <c r="H33" s="268"/>
      <c r="I33" s="276"/>
      <c r="J33" s="276"/>
      <c r="K33" s="238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6"/>
      <c r="E34" s="295"/>
      <c r="F34" s="276"/>
      <c r="G34" s="276"/>
      <c r="H34" s="268"/>
      <c r="I34" s="276"/>
      <c r="J34" s="276"/>
      <c r="K34" s="238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6"/>
      <c r="E35" s="295"/>
      <c r="F35" s="276"/>
      <c r="G35" s="276"/>
      <c r="H35" s="268"/>
      <c r="I35" s="276"/>
      <c r="J35" s="276"/>
      <c r="K35" s="238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7"/>
      <c r="E36" s="337"/>
      <c r="F36" s="277"/>
      <c r="G36" s="277"/>
      <c r="H36" s="269"/>
      <c r="I36" s="269"/>
      <c r="J36" s="277"/>
      <c r="K36" s="238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09" t="s">
        <v>598</v>
      </c>
      <c r="M44" s="209" t="s">
        <v>245</v>
      </c>
      <c r="N44" s="274">
        <v>420</v>
      </c>
      <c r="O44" s="271" t="s">
        <v>467</v>
      </c>
      <c r="P44" s="276" t="s">
        <v>269</v>
      </c>
      <c r="Q44" s="274" t="s">
        <v>269</v>
      </c>
      <c r="R44" s="267">
        <v>0.3</v>
      </c>
      <c r="S44" s="276">
        <v>0.7</v>
      </c>
      <c r="T44" s="276">
        <v>3</v>
      </c>
    </row>
    <row r="45" spans="3:31">
      <c r="L45" s="166" t="s">
        <v>596</v>
      </c>
      <c r="M45" s="166" t="s">
        <v>254</v>
      </c>
      <c r="N45" s="276">
        <v>435</v>
      </c>
      <c r="O45" s="295" t="s">
        <v>353</v>
      </c>
      <c r="P45" s="276" t="s">
        <v>269</v>
      </c>
      <c r="Q45" s="276">
        <v>11</v>
      </c>
      <c r="R45" s="268">
        <v>0.2</v>
      </c>
      <c r="S45" s="276">
        <v>0.6</v>
      </c>
      <c r="T45" s="276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599</v>
      </c>
      <c r="M46" s="166" t="s">
        <v>256</v>
      </c>
      <c r="N46" s="276">
        <v>600</v>
      </c>
      <c r="O46" s="295" t="s">
        <v>466</v>
      </c>
      <c r="P46" s="276" t="s">
        <v>269</v>
      </c>
      <c r="Q46" s="276">
        <v>5</v>
      </c>
      <c r="R46" s="268">
        <v>0.1</v>
      </c>
      <c r="S46" s="276">
        <v>0.3</v>
      </c>
      <c r="T46" s="276">
        <v>3</v>
      </c>
    </row>
    <row r="47" spans="3:31">
      <c r="L47" s="166" t="s">
        <v>597</v>
      </c>
      <c r="M47" s="166" t="s">
        <v>254</v>
      </c>
      <c r="N47" s="276">
        <v>400</v>
      </c>
      <c r="O47" s="295" t="s">
        <v>462</v>
      </c>
      <c r="P47" s="276" t="s">
        <v>269</v>
      </c>
      <c r="Q47" s="276">
        <v>13</v>
      </c>
      <c r="R47" s="268">
        <v>0.3</v>
      </c>
      <c r="S47" s="276">
        <v>0.8</v>
      </c>
      <c r="T47" s="276">
        <v>3</v>
      </c>
    </row>
    <row r="48" spans="3:31">
      <c r="L48" s="166" t="s">
        <v>593</v>
      </c>
      <c r="M48" s="166" t="s">
        <v>256</v>
      </c>
      <c r="N48" s="276">
        <v>200</v>
      </c>
      <c r="O48" s="295" t="s">
        <v>466</v>
      </c>
      <c r="P48" s="276" t="s">
        <v>269</v>
      </c>
      <c r="Q48" s="276">
        <v>14</v>
      </c>
      <c r="R48" s="268">
        <v>0.2</v>
      </c>
      <c r="S48" s="276">
        <v>0.8</v>
      </c>
      <c r="T48" s="276">
        <v>3</v>
      </c>
    </row>
    <row r="49" spans="3:20">
      <c r="L49" s="166" t="s">
        <v>593</v>
      </c>
      <c r="M49" s="166" t="s">
        <v>256</v>
      </c>
      <c r="N49" s="276">
        <v>200</v>
      </c>
      <c r="O49" s="295" t="s">
        <v>505</v>
      </c>
      <c r="P49" s="276" t="s">
        <v>269</v>
      </c>
      <c r="Q49" s="276">
        <v>16</v>
      </c>
      <c r="R49" s="268">
        <v>0.2</v>
      </c>
      <c r="S49" s="276">
        <v>0.8</v>
      </c>
      <c r="T49" s="276">
        <v>3</v>
      </c>
    </row>
    <row r="50" spans="3:20">
      <c r="L50" s="496" t="s">
        <v>601</v>
      </c>
      <c r="M50" s="166" t="s">
        <v>255</v>
      </c>
      <c r="N50" s="276">
        <v>11</v>
      </c>
      <c r="O50" s="295" t="s">
        <v>161</v>
      </c>
      <c r="P50" s="276" t="s">
        <v>269</v>
      </c>
      <c r="Q50" s="276" t="s">
        <v>269</v>
      </c>
      <c r="R50" s="522">
        <f>0.0197 - 0.0197 /3</f>
        <v>1.3133333333333334E-2</v>
      </c>
      <c r="S50" s="522">
        <f>0.0197 + 0.0197 /3</f>
        <v>2.6266666666666664E-2</v>
      </c>
      <c r="T50" s="276">
        <v>3</v>
      </c>
    </row>
    <row r="51" spans="3:20">
      <c r="L51" s="166" t="s">
        <v>602</v>
      </c>
      <c r="M51" s="166" t="s">
        <v>346</v>
      </c>
      <c r="N51" s="276">
        <v>3000</v>
      </c>
      <c r="O51" s="295" t="s">
        <v>269</v>
      </c>
      <c r="P51" s="276" t="s">
        <v>269</v>
      </c>
      <c r="Q51" s="276" t="s">
        <v>269</v>
      </c>
      <c r="R51" s="268">
        <v>0.8</v>
      </c>
      <c r="S51" s="276">
        <v>0.95</v>
      </c>
      <c r="T51" s="276">
        <v>3</v>
      </c>
    </row>
    <row r="52" spans="3:20">
      <c r="L52" s="166" t="s">
        <v>604</v>
      </c>
      <c r="M52" s="334" t="s">
        <v>346</v>
      </c>
      <c r="N52" s="335">
        <v>9000</v>
      </c>
      <c r="O52" s="336" t="s">
        <v>269</v>
      </c>
      <c r="P52" s="276" t="s">
        <v>269</v>
      </c>
      <c r="Q52" s="276" t="s">
        <v>269</v>
      </c>
      <c r="R52" s="268">
        <v>1000</v>
      </c>
      <c r="S52" s="276">
        <v>2500</v>
      </c>
      <c r="T52" s="276">
        <v>4</v>
      </c>
    </row>
    <row r="53" spans="3:20">
      <c r="L53" s="166" t="s">
        <v>605</v>
      </c>
      <c r="M53" s="166" t="s">
        <v>346</v>
      </c>
      <c r="N53" s="276">
        <v>6000</v>
      </c>
      <c r="O53" s="295" t="s">
        <v>269</v>
      </c>
      <c r="P53" s="276" t="s">
        <v>269</v>
      </c>
      <c r="Q53" s="276" t="s">
        <v>269</v>
      </c>
      <c r="R53" s="268">
        <v>1500</v>
      </c>
      <c r="S53" s="276">
        <v>6000</v>
      </c>
      <c r="T53" s="276">
        <v>4</v>
      </c>
    </row>
    <row r="54" spans="3:20">
      <c r="L54" s="166" t="s">
        <v>607</v>
      </c>
      <c r="M54" s="166" t="s">
        <v>346</v>
      </c>
      <c r="N54" s="276">
        <v>7000</v>
      </c>
      <c r="O54" s="295" t="s">
        <v>269</v>
      </c>
      <c r="P54" s="276" t="s">
        <v>269</v>
      </c>
      <c r="Q54" s="276" t="s">
        <v>269</v>
      </c>
      <c r="R54" s="268">
        <v>50</v>
      </c>
      <c r="S54" s="276">
        <v>150</v>
      </c>
      <c r="T54" s="276">
        <v>3</v>
      </c>
    </row>
    <row r="55" spans="3:20">
      <c r="L55" s="166" t="s">
        <v>617</v>
      </c>
      <c r="M55" s="166" t="s">
        <v>346</v>
      </c>
      <c r="N55" s="276">
        <v>9700</v>
      </c>
      <c r="O55" s="295" t="s">
        <v>269</v>
      </c>
      <c r="P55" s="276" t="s">
        <v>269</v>
      </c>
      <c r="Q55" s="276" t="s">
        <v>269</v>
      </c>
      <c r="R55" s="268">
        <v>500</v>
      </c>
      <c r="S55" s="276">
        <v>2000</v>
      </c>
      <c r="T55" s="276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0:P11 N13:P14 N17:P17" xr:uid="{514C39F7-B109-48EB-BE32-30E447EE38E3}">
      <formula1>INDIRECT(#REF!)</formula1>
    </dataValidation>
    <dataValidation type="list" allowBlank="1" showInputMessage="1" showErrorMessage="1" sqref="O44:Q55 E10:G19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K10:K35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L10:L11 L16:L17 L13:L14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U10:U15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C11:C20 L20:L21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BA6A-5813-4E21-86A6-EBF416D1EE12}">
  <sheetPr>
    <tabColor rgb="FFFF0000"/>
  </sheetPr>
  <dimension ref="A1:AM99"/>
  <sheetViews>
    <sheetView tabSelected="1" zoomScale="55" zoomScaleNormal="55" workbookViewId="0">
      <selection activeCell="D15" sqref="D15:E16"/>
    </sheetView>
  </sheetViews>
  <sheetFormatPr defaultRowHeight="14.4"/>
  <cols>
    <col min="1" max="1" width="20.109375" bestFit="1" customWidth="1"/>
    <col min="2" max="2" width="28" bestFit="1" customWidth="1"/>
    <col min="3" max="3" width="13" bestFit="1" customWidth="1"/>
    <col min="4" max="4" width="14.5546875" customWidth="1"/>
    <col min="5" max="5" width="15" customWidth="1"/>
    <col min="6" max="6" width="16.88671875" bestFit="1" customWidth="1"/>
    <col min="8" max="8" width="14.88671875" bestFit="1" customWidth="1"/>
    <col min="9" max="9" width="10.88671875" bestFit="1" customWidth="1"/>
    <col min="10" max="10" width="19.77734375" bestFit="1" customWidth="1"/>
    <col min="11" max="11" width="20.10937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0" t="s">
        <v>598</v>
      </c>
      <c r="O1" s="530" t="s">
        <v>245</v>
      </c>
      <c r="P1" s="531">
        <v>420</v>
      </c>
      <c r="Q1" s="532" t="s">
        <v>467</v>
      </c>
      <c r="R1" s="531" t="s">
        <v>269</v>
      </c>
      <c r="S1" s="531" t="s">
        <v>269</v>
      </c>
      <c r="T1" s="531">
        <v>0.23</v>
      </c>
    </row>
    <row r="2" spans="1:20" ht="15" thickBot="1">
      <c r="A2" s="11"/>
      <c r="B2" s="600" t="s">
        <v>230</v>
      </c>
      <c r="C2" s="602"/>
      <c r="D2" s="11"/>
      <c r="E2" s="11"/>
      <c r="F2" s="11"/>
      <c r="G2" s="11"/>
      <c r="H2" s="11"/>
      <c r="I2" s="11"/>
      <c r="J2" s="11"/>
      <c r="K2" s="11"/>
      <c r="N2" s="530" t="s">
        <v>596</v>
      </c>
      <c r="O2" s="530" t="s">
        <v>254</v>
      </c>
      <c r="P2" s="531">
        <v>435</v>
      </c>
      <c r="Q2" s="532" t="s">
        <v>353</v>
      </c>
      <c r="R2" s="531" t="s">
        <v>269</v>
      </c>
      <c r="S2" s="531">
        <v>11</v>
      </c>
      <c r="T2" s="531">
        <v>0.2</v>
      </c>
    </row>
    <row r="3" spans="1:20" ht="15" thickBot="1">
      <c r="A3" s="11"/>
      <c r="B3" s="325" t="s">
        <v>355</v>
      </c>
      <c r="C3" s="241" t="s">
        <v>344</v>
      </c>
      <c r="D3" s="11"/>
      <c r="E3" s="11"/>
      <c r="F3" s="11"/>
      <c r="G3" s="11"/>
      <c r="H3" s="11"/>
      <c r="I3" s="11"/>
      <c r="J3" s="11"/>
      <c r="K3" s="11"/>
      <c r="N3" s="530" t="s">
        <v>599</v>
      </c>
      <c r="O3" s="530" t="s">
        <v>256</v>
      </c>
      <c r="P3" s="531">
        <v>600</v>
      </c>
      <c r="Q3" s="532" t="s">
        <v>466</v>
      </c>
      <c r="R3" s="531" t="s">
        <v>269</v>
      </c>
      <c r="S3" s="531">
        <v>5</v>
      </c>
      <c r="T3" s="531">
        <v>0.33</v>
      </c>
    </row>
    <row r="4" spans="1:20">
      <c r="A4" s="11"/>
      <c r="B4" s="166" t="s">
        <v>356</v>
      </c>
      <c r="C4" s="268">
        <v>3</v>
      </c>
      <c r="D4" s="11"/>
      <c r="E4" s="11"/>
      <c r="F4" s="11"/>
      <c r="G4" s="11"/>
      <c r="H4" s="11"/>
      <c r="I4" s="11"/>
      <c r="J4" s="11"/>
      <c r="K4" s="11"/>
      <c r="N4" s="530" t="s">
        <v>597</v>
      </c>
      <c r="O4" s="530" t="s">
        <v>254</v>
      </c>
      <c r="P4" s="531">
        <v>400</v>
      </c>
      <c r="Q4" s="532" t="s">
        <v>462</v>
      </c>
      <c r="R4" s="531" t="s">
        <v>269</v>
      </c>
      <c r="S4" s="531">
        <v>13</v>
      </c>
      <c r="T4" s="533">
        <f>75/55 -1</f>
        <v>0.36363636363636354</v>
      </c>
    </row>
    <row r="5" spans="1:20" ht="15" thickBot="1">
      <c r="A5" s="11"/>
      <c r="B5" s="167" t="s">
        <v>365</v>
      </c>
      <c r="C5" s="269" t="s">
        <v>263</v>
      </c>
      <c r="D5" s="11"/>
      <c r="E5" s="11"/>
      <c r="F5" s="11"/>
      <c r="G5" s="11"/>
      <c r="H5" s="11"/>
      <c r="I5" s="11"/>
      <c r="J5" s="11"/>
      <c r="K5" s="11"/>
      <c r="N5" s="530" t="s">
        <v>593</v>
      </c>
      <c r="O5" s="530" t="s">
        <v>256</v>
      </c>
      <c r="P5" s="531">
        <v>200</v>
      </c>
      <c r="Q5" s="532" t="s">
        <v>466</v>
      </c>
      <c r="R5" s="531" t="s">
        <v>269</v>
      </c>
      <c r="S5" s="531">
        <v>14</v>
      </c>
      <c r="T5" s="533">
        <f>0.1/0.7</f>
        <v>0.14285714285714288</v>
      </c>
    </row>
    <row r="6" spans="1:20" ht="15" thickBot="1">
      <c r="A6" s="11"/>
      <c r="B6" s="326" t="s">
        <v>366</v>
      </c>
      <c r="C6" s="241" t="s">
        <v>343</v>
      </c>
      <c r="D6" s="11"/>
      <c r="E6" s="11"/>
      <c r="F6" s="11"/>
      <c r="G6" s="11"/>
      <c r="H6" s="11"/>
      <c r="I6" s="11"/>
      <c r="J6" s="11"/>
      <c r="K6" s="11"/>
      <c r="M6" s="238"/>
      <c r="N6" s="530" t="s">
        <v>593</v>
      </c>
      <c r="O6" s="530" t="s">
        <v>256</v>
      </c>
      <c r="P6" s="531">
        <v>200</v>
      </c>
      <c r="Q6" s="532" t="s">
        <v>505</v>
      </c>
      <c r="R6" s="531" t="s">
        <v>269</v>
      </c>
      <c r="S6" s="531">
        <v>16</v>
      </c>
      <c r="T6" s="533">
        <f>0.1/0.7</f>
        <v>0.14285714285714288</v>
      </c>
    </row>
    <row r="7" spans="1:20">
      <c r="A7" s="11"/>
      <c r="B7" s="166" t="s">
        <v>367</v>
      </c>
      <c r="C7" s="268">
        <v>25</v>
      </c>
      <c r="D7" s="11"/>
      <c r="E7" s="11"/>
      <c r="F7" s="11"/>
      <c r="G7" s="11"/>
      <c r="H7" s="11"/>
      <c r="I7" s="11"/>
      <c r="J7" s="11"/>
      <c r="K7" s="11"/>
      <c r="N7" s="534" t="s">
        <v>601</v>
      </c>
      <c r="O7" s="530" t="s">
        <v>255</v>
      </c>
      <c r="P7" s="531">
        <v>11</v>
      </c>
      <c r="Q7" s="532" t="s">
        <v>161</v>
      </c>
      <c r="R7" s="531" t="s">
        <v>269</v>
      </c>
      <c r="S7" s="531" t="s">
        <v>269</v>
      </c>
      <c r="T7" s="531">
        <v>0.5</v>
      </c>
    </row>
    <row r="8" spans="1:20" ht="15" thickBot="1">
      <c r="A8" s="11"/>
      <c r="B8" s="167"/>
      <c r="C8" s="269"/>
      <c r="D8" s="11"/>
      <c r="E8" s="11"/>
      <c r="F8" s="11"/>
      <c r="G8" s="11"/>
      <c r="H8" s="11"/>
      <c r="I8" s="11"/>
      <c r="J8" s="11"/>
      <c r="K8" s="11"/>
      <c r="N8" s="530" t="s">
        <v>602</v>
      </c>
      <c r="O8" s="530" t="s">
        <v>346</v>
      </c>
      <c r="P8" s="531">
        <v>3000</v>
      </c>
      <c r="Q8" s="532" t="s">
        <v>269</v>
      </c>
      <c r="R8" s="531" t="s">
        <v>269</v>
      </c>
      <c r="S8" s="531" t="s">
        <v>269</v>
      </c>
      <c r="T8" s="531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0" t="s">
        <v>604</v>
      </c>
      <c r="O9" s="535" t="s">
        <v>346</v>
      </c>
      <c r="P9" s="536">
        <v>9000</v>
      </c>
      <c r="Q9" s="537" t="s">
        <v>269</v>
      </c>
      <c r="R9" s="531" t="s">
        <v>269</v>
      </c>
      <c r="S9" s="531" t="s">
        <v>269</v>
      </c>
      <c r="T9" s="536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0" t="s">
        <v>605</v>
      </c>
      <c r="O10" s="530" t="s">
        <v>346</v>
      </c>
      <c r="P10" s="531">
        <v>6000</v>
      </c>
      <c r="Q10" s="532" t="s">
        <v>269</v>
      </c>
      <c r="R10" s="531" t="s">
        <v>269</v>
      </c>
      <c r="S10" s="531" t="s">
        <v>269</v>
      </c>
      <c r="T10" s="531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0" t="s">
        <v>607</v>
      </c>
      <c r="O11" s="530" t="s">
        <v>346</v>
      </c>
      <c r="P11" s="531">
        <v>7000</v>
      </c>
      <c r="Q11" s="532" t="s">
        <v>269</v>
      </c>
      <c r="R11" s="531" t="s">
        <v>269</v>
      </c>
      <c r="S11" s="531" t="s">
        <v>269</v>
      </c>
      <c r="T11" s="531">
        <v>0.33</v>
      </c>
    </row>
    <row r="12" spans="1:20" ht="15" thickBot="1">
      <c r="A12" s="11"/>
      <c r="B12" s="323" t="s">
        <v>266</v>
      </c>
      <c r="C12" s="11"/>
      <c r="D12" s="328" t="s">
        <v>330</v>
      </c>
      <c r="E12" s="310"/>
      <c r="F12" s="310"/>
      <c r="G12" s="310"/>
      <c r="H12" s="310"/>
      <c r="I12" s="310"/>
      <c r="J12" s="278"/>
      <c r="K12" s="11"/>
      <c r="N12" s="530" t="s">
        <v>619</v>
      </c>
      <c r="O12" s="530" t="s">
        <v>346</v>
      </c>
      <c r="P12" s="531">
        <v>2000</v>
      </c>
      <c r="Q12" s="532" t="s">
        <v>269</v>
      </c>
      <c r="R12" s="531" t="s">
        <v>269</v>
      </c>
      <c r="S12" s="531" t="s">
        <v>269</v>
      </c>
      <c r="T12" s="531">
        <v>0.2</v>
      </c>
    </row>
    <row r="13" spans="1:20" ht="15" thickBot="1">
      <c r="A13" s="11"/>
      <c r="B13" s="209" t="s">
        <v>262</v>
      </c>
      <c r="C13" s="11"/>
      <c r="D13" s="330" t="s">
        <v>364</v>
      </c>
      <c r="E13" s="341" t="s">
        <v>363</v>
      </c>
      <c r="F13" s="195"/>
      <c r="G13" s="195"/>
      <c r="H13" s="195"/>
      <c r="I13" s="195"/>
      <c r="J13" s="268"/>
      <c r="K13" s="11"/>
      <c r="N13" s="530" t="s">
        <v>618</v>
      </c>
      <c r="O13" s="530" t="s">
        <v>255</v>
      </c>
      <c r="P13" s="531">
        <v>11</v>
      </c>
      <c r="Q13" s="532" t="s">
        <v>298</v>
      </c>
      <c r="R13" s="531" t="s">
        <v>269</v>
      </c>
      <c r="S13" s="531" t="s">
        <v>269</v>
      </c>
      <c r="T13" s="531">
        <v>0.25</v>
      </c>
    </row>
    <row r="14" spans="1:20">
      <c r="A14" s="11"/>
      <c r="B14" s="209">
        <v>1</v>
      </c>
      <c r="C14" s="11"/>
      <c r="D14" s="209">
        <v>11</v>
      </c>
      <c r="E14" s="271" t="s">
        <v>296</v>
      </c>
      <c r="F14" s="272" t="s">
        <v>163</v>
      </c>
      <c r="G14" s="272" t="s">
        <v>466</v>
      </c>
      <c r="H14" s="272" t="s">
        <v>505</v>
      </c>
      <c r="I14" s="272"/>
      <c r="J14" s="312"/>
      <c r="K14" s="11"/>
      <c r="M14" s="238"/>
      <c r="N14" s="530" t="s">
        <v>620</v>
      </c>
      <c r="O14" s="530" t="s">
        <v>346</v>
      </c>
      <c r="P14" s="531">
        <v>9700</v>
      </c>
      <c r="Q14" s="532" t="s">
        <v>269</v>
      </c>
      <c r="R14" s="531" t="s">
        <v>269</v>
      </c>
      <c r="S14" s="531" t="s">
        <v>269</v>
      </c>
      <c r="T14" s="531">
        <v>0.4</v>
      </c>
    </row>
    <row r="15" spans="1:20">
      <c r="A15" s="11"/>
      <c r="B15" s="166">
        <v>0.5</v>
      </c>
      <c r="C15" s="11"/>
      <c r="D15" s="166"/>
      <c r="E15" s="295"/>
      <c r="F15" s="249"/>
      <c r="G15" s="249"/>
      <c r="H15" s="249"/>
      <c r="I15" s="249"/>
      <c r="J15" s="342"/>
      <c r="K15" s="11"/>
      <c r="M15" s="238"/>
      <c r="N15" s="530" t="s">
        <v>621</v>
      </c>
      <c r="O15" s="530" t="s">
        <v>253</v>
      </c>
      <c r="P15" s="531">
        <v>300</v>
      </c>
      <c r="Q15" s="532" t="s">
        <v>161</v>
      </c>
      <c r="R15" s="531">
        <v>320</v>
      </c>
      <c r="S15" s="531" t="s">
        <v>269</v>
      </c>
      <c r="T15" s="531">
        <v>0.4</v>
      </c>
    </row>
    <row r="16" spans="1:20">
      <c r="A16" s="11"/>
      <c r="B16" s="166">
        <v>0</v>
      </c>
      <c r="C16" s="11"/>
      <c r="D16" s="166"/>
      <c r="E16" s="295"/>
      <c r="F16" s="249"/>
      <c r="G16" s="249"/>
      <c r="H16" s="249"/>
      <c r="I16" s="249"/>
      <c r="J16" s="342"/>
      <c r="K16" s="11"/>
    </row>
    <row r="17" spans="1:39">
      <c r="A17" s="11"/>
      <c r="B17" s="166">
        <v>-0.5</v>
      </c>
      <c r="C17" s="11"/>
      <c r="D17" s="166"/>
      <c r="E17" s="295"/>
      <c r="F17" s="249"/>
      <c r="G17" s="249"/>
      <c r="H17" s="249"/>
      <c r="I17" s="249"/>
      <c r="J17" s="342"/>
      <c r="K17" s="11"/>
    </row>
    <row r="18" spans="1:39" ht="18">
      <c r="A18" s="11"/>
      <c r="B18" s="166">
        <v>-1</v>
      </c>
      <c r="C18" s="11"/>
      <c r="D18" s="166"/>
      <c r="E18" s="295"/>
      <c r="F18" s="249"/>
      <c r="G18" s="249"/>
      <c r="H18" s="249"/>
      <c r="I18" s="249"/>
      <c r="J18" s="342"/>
      <c r="K18" s="11"/>
      <c r="M18" s="120"/>
      <c r="N18" s="119"/>
      <c r="O18" s="524"/>
    </row>
    <row r="19" spans="1:39">
      <c r="A19" s="11"/>
      <c r="B19" s="166"/>
      <c r="C19" s="11"/>
      <c r="D19" s="166"/>
      <c r="E19" s="295"/>
      <c r="F19" s="249"/>
      <c r="G19" s="249"/>
      <c r="H19" s="249"/>
      <c r="I19" s="249"/>
      <c r="J19" s="342"/>
      <c r="K19" s="11"/>
    </row>
    <row r="20" spans="1:39">
      <c r="A20" s="11"/>
      <c r="B20" s="166"/>
      <c r="C20" s="11"/>
      <c r="D20" s="166"/>
      <c r="E20" s="295"/>
      <c r="F20" s="249"/>
      <c r="G20" s="249"/>
      <c r="H20" s="249"/>
      <c r="I20" s="249"/>
      <c r="J20" s="342"/>
      <c r="K20" s="11"/>
    </row>
    <row r="21" spans="1:39" ht="15" thickBot="1">
      <c r="A21" s="11"/>
      <c r="B21" s="167"/>
      <c r="C21" s="11"/>
      <c r="D21" s="167"/>
      <c r="E21" s="337"/>
      <c r="F21" s="273"/>
      <c r="G21" s="273"/>
      <c r="H21" s="273"/>
      <c r="I21" s="273"/>
      <c r="J21" s="343"/>
      <c r="K21" s="11"/>
      <c r="R21">
        <f>1-1000/1500</f>
        <v>0.33333333333333337</v>
      </c>
    </row>
    <row r="22" spans="1:39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06" t="s">
        <v>352</v>
      </c>
      <c r="V22" s="606"/>
      <c r="W22" s="606"/>
      <c r="X22" s="606"/>
      <c r="Y22" s="606"/>
    </row>
    <row r="23" spans="1:39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06"/>
      <c r="V23" s="606"/>
      <c r="W23" s="606"/>
      <c r="X23" s="606"/>
      <c r="Y23" s="606"/>
    </row>
    <row r="24" spans="1:39" ht="15" thickBot="1">
      <c r="A24" s="11"/>
      <c r="B24" s="329"/>
      <c r="C24" s="329"/>
      <c r="D24" s="600" t="s">
        <v>342</v>
      </c>
      <c r="E24" s="601"/>
      <c r="F24" s="601"/>
      <c r="G24" s="602"/>
      <c r="H24" s="600" t="s">
        <v>340</v>
      </c>
      <c r="I24" s="601"/>
      <c r="J24" s="602"/>
      <c r="K24" s="327" t="s">
        <v>341</v>
      </c>
      <c r="U24" s="606"/>
      <c r="V24" s="606"/>
      <c r="W24" s="606"/>
      <c r="X24" s="606"/>
      <c r="Y24" s="606"/>
    </row>
    <row r="25" spans="1:39">
      <c r="A25" s="209" t="s">
        <v>592</v>
      </c>
      <c r="B25" s="331" t="s">
        <v>354</v>
      </c>
      <c r="C25" s="205" t="s">
        <v>357</v>
      </c>
      <c r="D25" s="205" t="s">
        <v>33</v>
      </c>
      <c r="E25" s="205" t="s">
        <v>358</v>
      </c>
      <c r="F25" s="525" t="s">
        <v>359</v>
      </c>
      <c r="G25" s="526" t="s">
        <v>242</v>
      </c>
      <c r="H25" s="527" t="s">
        <v>360</v>
      </c>
      <c r="I25" s="527" t="s">
        <v>244</v>
      </c>
      <c r="J25" s="528" t="s">
        <v>361</v>
      </c>
      <c r="K25" s="529" t="s">
        <v>362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39">
      <c r="A26" s="530" t="s">
        <v>622</v>
      </c>
      <c r="B26" s="530" t="s">
        <v>255</v>
      </c>
      <c r="C26" s="531">
        <v>11</v>
      </c>
      <c r="D26" s="532" t="s">
        <v>298</v>
      </c>
      <c r="E26" s="531" t="s">
        <v>269</v>
      </c>
      <c r="F26" s="531" t="s">
        <v>269</v>
      </c>
      <c r="G26" s="531">
        <v>0.3</v>
      </c>
      <c r="H26" s="531"/>
      <c r="I26" s="531"/>
      <c r="J26" s="531"/>
      <c r="K26" s="531" t="s">
        <v>368</v>
      </c>
      <c r="U26" s="338"/>
      <c r="V26" s="338" t="str">
        <f>IF(OR(B25 = [1]DataBank!$Y$23, B25 = [1]DataBank!$Y$22, B25 = [1]DataBank!$Y$24, B25 =[1]DataBank!$Y$25, B25 = ""),  "NAValue", "ComponentsList")</f>
        <v>ComponentsList</v>
      </c>
      <c r="W26" s="338" t="str">
        <f>IF(B25= [1]DataBank!$Y$17,  "UnitNumbers", "NAValue")</f>
        <v>NAValue</v>
      </c>
      <c r="X26" s="338" t="str">
        <f>IF(OR(B25= [1]DataBank!$Y$20, B25 =[1]DataBank!$Y$19), "ReactionNumbers", "NAValue")</f>
        <v>NAValue</v>
      </c>
      <c r="Y26" s="338"/>
    </row>
    <row r="27" spans="1:39">
      <c r="A27" s="530" t="s">
        <v>593</v>
      </c>
      <c r="B27" s="530" t="s">
        <v>256</v>
      </c>
      <c r="C27" s="531">
        <v>200</v>
      </c>
      <c r="D27" s="532" t="s">
        <v>466</v>
      </c>
      <c r="E27" s="531" t="s">
        <v>269</v>
      </c>
      <c r="F27" s="531">
        <v>15</v>
      </c>
      <c r="G27" s="531">
        <v>0.2</v>
      </c>
      <c r="H27" s="531"/>
      <c r="I27" s="531"/>
      <c r="J27" s="531"/>
      <c r="K27" s="531" t="s">
        <v>369</v>
      </c>
      <c r="U27" s="338"/>
      <c r="V27" s="338" t="str">
        <f>IF(OR(B27 = [1]DataBank!$Y$23, B27 = [1]DataBank!$Y$22, B27 = [1]DataBank!$Y$24, B27 =[1]DataBank!$Y$25, B27 = ""),  "NAValue", "ComponentsList")</f>
        <v>ComponentsList</v>
      </c>
      <c r="W27" s="338" t="str">
        <f>IF(B27= [1]DataBank!$Y$17,  "UnitNumbers", "NAValue")</f>
        <v>NAValue</v>
      </c>
      <c r="X27" s="338" t="str">
        <f>IF(OR(B27= [1]DataBank!$Y$20, B27 =[1]DataBank!$Y$19), "ReactionNumbers", "NAValue")</f>
        <v>ReactionNumbers</v>
      </c>
      <c r="Y27" s="338"/>
    </row>
    <row r="28" spans="1:39">
      <c r="A28" s="530" t="s">
        <v>593</v>
      </c>
      <c r="B28" s="530" t="s">
        <v>256</v>
      </c>
      <c r="C28" s="531">
        <v>200</v>
      </c>
      <c r="D28" s="532" t="s">
        <v>505</v>
      </c>
      <c r="E28" s="531" t="s">
        <v>269</v>
      </c>
      <c r="F28" s="531">
        <v>16</v>
      </c>
      <c r="G28" s="541">
        <v>0.2</v>
      </c>
      <c r="H28" s="531"/>
      <c r="I28" s="531"/>
      <c r="J28" s="531"/>
      <c r="K28" s="531" t="s">
        <v>369</v>
      </c>
      <c r="U28" s="338"/>
      <c r="V28" s="338" t="str">
        <f>IF(OR(B28 = [1]DataBank!$Y$23, B28 = [1]DataBank!$Y$22, B28 = [1]DataBank!$Y$24, B28 =[1]DataBank!$Y$25, B28 = ""),  "NAValue", "ComponentsList")</f>
        <v>ComponentsList</v>
      </c>
      <c r="W28" s="338" t="str">
        <f>IF(B28= [1]DataBank!$Y$17,  "UnitNumbers", "NAValue")</f>
        <v>NAValue</v>
      </c>
      <c r="X28" s="338" t="str">
        <f>IF(OR(B28= [1]DataBank!$Y$20, B28 =[1]DataBank!$Y$19), "ReactionNumbers", "NAValue")</f>
        <v>ReactionNumbers</v>
      </c>
      <c r="Y28" s="338"/>
    </row>
    <row r="29" spans="1:39">
      <c r="A29" s="530" t="s">
        <v>597</v>
      </c>
      <c r="B29" s="530" t="s">
        <v>254</v>
      </c>
      <c r="C29" s="531">
        <v>400</v>
      </c>
      <c r="D29" s="532" t="s">
        <v>462</v>
      </c>
      <c r="E29" s="531" t="s">
        <v>269</v>
      </c>
      <c r="F29" s="531">
        <v>13</v>
      </c>
      <c r="G29" s="533">
        <v>0.36</v>
      </c>
      <c r="H29" s="531"/>
      <c r="I29" s="531"/>
      <c r="J29" s="531"/>
      <c r="K29" s="531" t="s">
        <v>369</v>
      </c>
      <c r="U29" s="338"/>
      <c r="V29" s="338" t="str">
        <f>IF(OR(B29 = [1]DataBank!$Y$23, B29 = [1]DataBank!$Y$22, B29 = [1]DataBank!$Y$24, B29 =[1]DataBank!$Y$25, B29 = ""),  "NAValue", "ComponentsList")</f>
        <v>ComponentsList</v>
      </c>
      <c r="W29" s="338" t="str">
        <f>IF(B29= [1]DataBank!$Y$17,  "UnitNumbers", "NAValue")</f>
        <v>NAValue</v>
      </c>
      <c r="X29" s="338" t="str">
        <f>IF(OR(B29= [1]DataBank!$Y$20, B29 =[1]DataBank!$Y$19), "ReactionNumbers", "NAValue")</f>
        <v>ReactionNumbers</v>
      </c>
      <c r="Y29" s="338"/>
    </row>
    <row r="30" spans="1:39">
      <c r="A30" s="11" t="s">
        <v>626</v>
      </c>
      <c r="B30" s="530" t="s">
        <v>254</v>
      </c>
      <c r="C30" s="536">
        <v>510</v>
      </c>
      <c r="D30" s="536" t="s">
        <v>500</v>
      </c>
      <c r="E30" s="536" t="s">
        <v>269</v>
      </c>
      <c r="F30" s="536">
        <v>11</v>
      </c>
      <c r="G30" s="536">
        <v>0.15</v>
      </c>
      <c r="H30" s="531"/>
      <c r="I30" s="531"/>
      <c r="J30" s="531"/>
      <c r="K30" s="531" t="s">
        <v>369</v>
      </c>
      <c r="U30" s="338"/>
      <c r="V30" s="338" t="str">
        <f>IF(OR(B30 = [1]DataBank!$Y$23, B30 = [1]DataBank!$Y$22, B30 = [1]DataBank!$Y$24, B30 =[1]DataBank!$Y$25, B30 = ""),  "NAValue", "ComponentsList")</f>
        <v>ComponentsList</v>
      </c>
      <c r="W30" s="338" t="str">
        <f>IF(B30= [1]DataBank!$Y$17,  "UnitNumbers", "NAValue")</f>
        <v>NAValue</v>
      </c>
      <c r="X30" s="338" t="str">
        <f>IF(OR(B30= [1]DataBank!$Y$20, B30 =[1]DataBank!$Y$19), "ReactionNumbers", "NAValue")</f>
        <v>ReactionNumbers</v>
      </c>
      <c r="Y30" s="338"/>
    </row>
    <row r="31" spans="1:39">
      <c r="A31" s="530" t="s">
        <v>623</v>
      </c>
      <c r="B31" s="535" t="s">
        <v>256</v>
      </c>
      <c r="C31" s="536">
        <v>600</v>
      </c>
      <c r="D31" s="537" t="s">
        <v>466</v>
      </c>
      <c r="E31" s="531" t="s">
        <v>269</v>
      </c>
      <c r="F31" s="531">
        <v>5</v>
      </c>
      <c r="G31" s="536">
        <v>0.15</v>
      </c>
      <c r="H31" s="531"/>
      <c r="I31" s="531"/>
      <c r="J31" s="531"/>
      <c r="K31" s="531" t="s">
        <v>369</v>
      </c>
      <c r="U31" s="338"/>
      <c r="V31" s="338" t="str">
        <f>IF(OR(B31 = [1]DataBank!$Y$23, B31 = [1]DataBank!$Y$22, B31 = [1]DataBank!$Y$24, B31 =[1]DataBank!$Y$25, B31 = ""),  "NAValue", "ComponentsList")</f>
        <v>ComponentsList</v>
      </c>
      <c r="W31" s="338" t="str">
        <f>IF(B31= [1]DataBank!$Y$17,  "UnitNumbers", "NAValue")</f>
        <v>NAValue</v>
      </c>
      <c r="X31" s="338" t="str">
        <f>IF(OR(B31= [1]DataBank!$Y$20, B31 =[1]DataBank!$Y$19), "ReactionNumbers", "NAValue")</f>
        <v>ReactionNumbers</v>
      </c>
      <c r="Y31" s="338"/>
    </row>
    <row r="32" spans="1:39">
      <c r="A32" s="542" t="s">
        <v>627</v>
      </c>
      <c r="B32" s="530" t="s">
        <v>254</v>
      </c>
      <c r="C32" s="405">
        <v>210</v>
      </c>
      <c r="D32" s="532" t="s">
        <v>186</v>
      </c>
      <c r="E32" s="405" t="s">
        <v>269</v>
      </c>
      <c r="F32" s="405">
        <v>17</v>
      </c>
      <c r="G32" s="238">
        <v>0.1</v>
      </c>
      <c r="H32" s="531"/>
      <c r="I32" s="531"/>
      <c r="J32" s="531"/>
      <c r="K32" s="531" t="s">
        <v>369</v>
      </c>
      <c r="L32" s="11"/>
      <c r="M32" s="11"/>
      <c r="N32" s="11"/>
      <c r="O32" s="11"/>
      <c r="P32" s="11"/>
      <c r="Q32" s="11"/>
      <c r="R32" s="11"/>
      <c r="S32" s="11"/>
      <c r="T32" s="11"/>
      <c r="U32" s="338"/>
      <c r="V32" s="338" t="str">
        <f>IF(OR(B32 = [1]DataBank!$Y$23, B32 = [1]DataBank!$Y$22, B32 = [1]DataBank!$Y$24, B32 =[1]DataBank!$Y$25, B32 = ""),  "NAValue", "ComponentsList")</f>
        <v>ComponentsList</v>
      </c>
      <c r="W32" s="338" t="str">
        <f>IF(B32= [1]DataBank!$Y$17,  "UnitNumbers", "NAValue")</f>
        <v>NAValue</v>
      </c>
      <c r="X32" s="338" t="str">
        <f>IF(OR(B32= [1]DataBank!$Y$20, B32 =[1]DataBank!$Y$19), "ReactionNumbers", "NAValue")</f>
        <v>ReactionNumbers</v>
      </c>
      <c r="Y32" s="338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</row>
    <row r="33" spans="1:25">
      <c r="A33" s="530" t="s">
        <v>628</v>
      </c>
      <c r="B33" s="530" t="s">
        <v>346</v>
      </c>
      <c r="C33" s="531">
        <v>2000</v>
      </c>
      <c r="D33" s="532" t="s">
        <v>269</v>
      </c>
      <c r="E33" s="531" t="s">
        <v>269</v>
      </c>
      <c r="F33" s="531" t="s">
        <v>269</v>
      </c>
      <c r="G33" s="531">
        <v>7.0000000000000007E-2</v>
      </c>
      <c r="H33" s="531"/>
      <c r="I33" s="531"/>
      <c r="J33" s="531"/>
      <c r="K33" s="531" t="s">
        <v>369</v>
      </c>
      <c r="U33" s="338"/>
      <c r="V33" s="338" t="str">
        <f>IF(OR(B33 = [1]DataBank!$Y$23, B33 = [1]DataBank!$Y$22, B33 = [1]DataBank!$Y$24, B33 =[1]DataBank!$Y$25, B33 = ""),  "NAValue", "ComponentsList")</f>
        <v>NAValue</v>
      </c>
      <c r="W33" s="338" t="str">
        <f>IF(B33= [1]DataBank!$Y$17,  "UnitNumbers", "NAValue")</f>
        <v>NAValue</v>
      </c>
      <c r="X33" s="338" t="str">
        <f>IF(OR(B33= [1]DataBank!$Y$20, B33 =[1]DataBank!$Y$19), "ReactionNumbers", "NAValue")</f>
        <v>NAValue</v>
      </c>
      <c r="Y33" s="338"/>
    </row>
    <row r="34" spans="1:25">
      <c r="A34" s="530" t="s">
        <v>624</v>
      </c>
      <c r="B34" s="530" t="s">
        <v>346</v>
      </c>
      <c r="C34" s="531">
        <v>7000</v>
      </c>
      <c r="D34" s="532" t="s">
        <v>269</v>
      </c>
      <c r="E34" s="531" t="s">
        <v>269</v>
      </c>
      <c r="F34" s="531" t="s">
        <v>269</v>
      </c>
      <c r="G34" s="531">
        <v>7.0000000000000007E-2</v>
      </c>
      <c r="H34" s="536"/>
      <c r="I34" s="536"/>
      <c r="J34" s="531"/>
      <c r="K34" s="531" t="s">
        <v>369</v>
      </c>
      <c r="U34" s="338"/>
      <c r="V34" s="338" t="str">
        <f>IF(OR(B34 = [1]DataBank!$Y$23, B34 = [1]DataBank!$Y$22, B34 = [1]DataBank!$Y$24, B34 =[1]DataBank!$Y$25, B34 = ""),  "NAValue", "ComponentsList")</f>
        <v>NAValue</v>
      </c>
      <c r="W34" s="338" t="str">
        <f>IF(B34= [1]DataBank!$Y$17,  "UnitNumbers", "NAValue")</f>
        <v>NAValue</v>
      </c>
      <c r="X34" s="338" t="str">
        <f>IF(OR(B34= [1]DataBank!$Y$20, B34 =[1]DataBank!$Y$19), "ReactionNumbers", "NAValue")</f>
        <v>NAValue</v>
      </c>
      <c r="Y34" s="338"/>
    </row>
    <row r="35" spans="1:25">
      <c r="A35" s="530" t="s">
        <v>625</v>
      </c>
      <c r="B35" s="530" t="s">
        <v>346</v>
      </c>
      <c r="C35" s="531">
        <v>9700</v>
      </c>
      <c r="D35" s="532" t="s">
        <v>269</v>
      </c>
      <c r="E35" s="531" t="s">
        <v>269</v>
      </c>
      <c r="F35" s="531" t="s">
        <v>269</v>
      </c>
      <c r="G35" s="531">
        <v>7.0000000000000007E-2</v>
      </c>
      <c r="H35" s="531"/>
      <c r="I35" s="531"/>
      <c r="J35" s="531"/>
      <c r="K35" s="531" t="s">
        <v>369</v>
      </c>
      <c r="U35" s="338"/>
      <c r="V35" s="338" t="str">
        <f>IF(OR(B35 = [1]DataBank!$Y$23, B35 = [1]DataBank!$Y$22, B35 = [1]DataBank!$Y$24, B35 =[1]DataBank!$Y$25, B35 = ""),  "NAValue", "ComponentsList")</f>
        <v>NAValue</v>
      </c>
      <c r="W35" s="338" t="str">
        <f>IF(B35= [1]DataBank!$Y$17,  "UnitNumbers", "NAValue")</f>
        <v>NAValue</v>
      </c>
      <c r="X35" s="338" t="str">
        <f>IF(OR(B35= [1]DataBank!$Y$20, B35 =[1]DataBank!$Y$19), "ReactionNumbers", "NAValue")</f>
        <v>NAValue</v>
      </c>
      <c r="Y35" s="338"/>
    </row>
    <row r="36" spans="1:25">
      <c r="A36" s="535"/>
      <c r="B36" s="535"/>
      <c r="C36" s="535"/>
      <c r="D36" s="535"/>
      <c r="E36" s="535"/>
      <c r="F36" s="535"/>
      <c r="G36" s="535"/>
      <c r="H36" s="531"/>
      <c r="I36" s="531"/>
      <c r="J36" s="531"/>
      <c r="K36" s="531"/>
      <c r="U36" s="338"/>
      <c r="V36" s="338" t="e">
        <f>IF(OR(#REF! = [1]DataBank!$Y$23,#REF! = [1]DataBank!$Y$22,#REF! = [1]DataBank!$Y$24,#REF! = [1]DataBank!$Y$25,#REF! = ""),  "NAValue", "ComponentsList")</f>
        <v>#REF!</v>
      </c>
      <c r="W36" s="338" t="e">
        <f>IF(#REF!= [1]DataBank!$Y$17,  "UnitNumbers", "NAValue")</f>
        <v>#REF!</v>
      </c>
      <c r="X36" s="338" t="e">
        <f>IF(OR(#REF!= [1]DataBank!$Y$20,#REF! = [1]DataBank!$Y$19), "ReactionNumbers", "NAValue")</f>
        <v>#REF!</v>
      </c>
      <c r="Y36" s="338"/>
    </row>
    <row r="37" spans="1:25">
      <c r="A37" s="535"/>
      <c r="B37" s="535"/>
      <c r="C37" s="535"/>
      <c r="D37" s="535"/>
      <c r="E37" s="535"/>
      <c r="F37" s="535"/>
      <c r="G37" s="535"/>
      <c r="H37" s="531"/>
      <c r="I37" s="531"/>
      <c r="J37" s="531"/>
      <c r="K37" s="531"/>
      <c r="U37" s="338"/>
      <c r="V37" s="338" t="str">
        <f>IF(OR(B36 = [1]DataBank!$Y$23, B36 = [1]DataBank!$Y$22, B36 = [1]DataBank!$Y$24, B36 =[1]DataBank!$Y$25, B36 = ""),  "NAValue", "ComponentsList")</f>
        <v>NAValue</v>
      </c>
      <c r="W37" s="338" t="str">
        <f>IF(B36= [1]DataBank!$Y$17,  "UnitNumbers", "NAValue")</f>
        <v>NAValue</v>
      </c>
      <c r="X37" s="338" t="str">
        <f>IF(OR(B36= [1]DataBank!$Y$20, B36 =[1]DataBank!$Y$19), "ReactionNumbers", "NAValue")</f>
        <v>NAValue</v>
      </c>
      <c r="Y37" s="338"/>
    </row>
    <row r="38" spans="1:25">
      <c r="A38" s="530"/>
      <c r="B38" s="530"/>
      <c r="C38" s="531"/>
      <c r="D38" s="532"/>
      <c r="E38" s="531"/>
      <c r="F38" s="531"/>
      <c r="G38" s="531"/>
      <c r="H38" s="531"/>
      <c r="I38" s="531"/>
      <c r="J38" s="531"/>
      <c r="K38" s="531"/>
      <c r="U38" s="338"/>
      <c r="V38" s="338" t="str">
        <f>IF(OR(B37 = [1]DataBank!$Y$23, B37 = [1]DataBank!$Y$22, B37 = [1]DataBank!$Y$24, B37 =[1]DataBank!$Y$25, B37 = ""),  "NAValue", "ComponentsList")</f>
        <v>NAValue</v>
      </c>
      <c r="W38" s="338" t="str">
        <f>IF(B37= [1]DataBank!$Y$17,  "UnitNumbers", "NAValue")</f>
        <v>NAValue</v>
      </c>
      <c r="X38" s="338" t="str">
        <f>IF(OR(B37= [1]DataBank!$Y$20, B37 =[1]DataBank!$Y$19), "ReactionNumbers", "NAValue")</f>
        <v>NAValue</v>
      </c>
      <c r="Y38" s="338"/>
    </row>
    <row r="39" spans="1:25">
      <c r="A39" s="530"/>
      <c r="B39" s="530"/>
      <c r="C39" s="531"/>
      <c r="D39" s="532"/>
      <c r="E39" s="531"/>
      <c r="F39" s="531"/>
      <c r="G39" s="531"/>
      <c r="H39" s="531"/>
      <c r="I39" s="531"/>
      <c r="J39" s="531"/>
      <c r="K39" s="531"/>
      <c r="U39" s="338"/>
      <c r="V39" s="338" t="str">
        <f>IF(OR(B38 = [1]DataBank!$Y$23, B38 = [1]DataBank!$Y$22, B38 = [1]DataBank!$Y$24, B38 =[1]DataBank!$Y$25, B38 = ""),  "NAValue", "ComponentsList")</f>
        <v>NAValue</v>
      </c>
      <c r="W39" s="338" t="str">
        <f>IF(B38= [1]DataBank!$Y$17,  "UnitNumbers", "NAValue")</f>
        <v>NAValue</v>
      </c>
      <c r="X39" s="338" t="str">
        <f>IF(OR(B38= [1]DataBank!$Y$20, B38 =[1]DataBank!$Y$19), "ReactionNumbers", "NAValue")</f>
        <v>NAValue</v>
      </c>
      <c r="Y39" s="338"/>
    </row>
    <row r="40" spans="1:25">
      <c r="A40" s="530"/>
      <c r="B40" s="530"/>
      <c r="C40" s="531"/>
      <c r="D40" s="532"/>
      <c r="E40" s="531"/>
      <c r="F40" s="531"/>
      <c r="G40" s="531"/>
      <c r="H40" s="531"/>
      <c r="I40" s="531"/>
      <c r="J40" s="531"/>
      <c r="K40" s="531"/>
      <c r="U40" s="338"/>
      <c r="V40" s="338" t="str">
        <f>IF(OR(B39 = [1]DataBank!$Y$23, B39 = [1]DataBank!$Y$22, B39 = [1]DataBank!$Y$24, B39 =[1]DataBank!$Y$25, B39 = ""),  "NAValue", "ComponentsList")</f>
        <v>NAValue</v>
      </c>
      <c r="W40" s="338" t="str">
        <f>IF(B39= [1]DataBank!$Y$17,  "UnitNumbers", "NAValue")</f>
        <v>NAValue</v>
      </c>
      <c r="X40" s="338" t="str">
        <f>IF(OR(B39= [1]DataBank!$Y$20, B39 =[1]DataBank!$Y$19), "ReactionNumbers", "NAValue")</f>
        <v>NAValue</v>
      </c>
      <c r="Y40" s="338"/>
    </row>
    <row r="41" spans="1:25">
      <c r="A41" s="530"/>
      <c r="B41" s="530"/>
      <c r="C41" s="531"/>
      <c r="D41" s="532"/>
      <c r="E41" s="531"/>
      <c r="F41" s="531"/>
      <c r="G41" s="531"/>
      <c r="H41" s="531"/>
      <c r="I41" s="531"/>
      <c r="J41" s="531"/>
      <c r="K41" s="531"/>
      <c r="U41" s="338"/>
      <c r="V41" s="338" t="str">
        <f>IF(OR(B40 = [1]DataBank!$Y$23, B40 = [1]DataBank!$Y$22, B40 = [1]DataBank!$Y$24, B40 =[1]DataBank!$Y$25, B40 = ""),  "NAValue", "ComponentsList")</f>
        <v>NAValue</v>
      </c>
      <c r="W41" s="338" t="str">
        <f>IF(B40= [1]DataBank!$Y$17,  "UnitNumbers", "NAValue")</f>
        <v>NAValue</v>
      </c>
      <c r="X41" s="338" t="str">
        <f>IF(OR(B40= [1]DataBank!$Y$20, B40 =[1]DataBank!$Y$19), "ReactionNumbers", "NAValue")</f>
        <v>NAValue</v>
      </c>
      <c r="Y41" s="338"/>
    </row>
    <row r="42" spans="1:25">
      <c r="A42" s="530"/>
      <c r="B42" s="530"/>
      <c r="C42" s="531"/>
      <c r="D42" s="532"/>
      <c r="E42" s="531"/>
      <c r="F42" s="531"/>
      <c r="G42" s="531"/>
      <c r="H42" s="531"/>
      <c r="I42" s="531"/>
      <c r="J42" s="531"/>
      <c r="K42" s="531"/>
      <c r="U42" s="338"/>
      <c r="V42" s="338" t="str">
        <f>IF(OR(B41 = [1]DataBank!$Y$23, B41 = [1]DataBank!$Y$22, B41 = [1]DataBank!$Y$24, B41 =[1]DataBank!$Y$25, B41 = ""),  "NAValue", "ComponentsList")</f>
        <v>NAValue</v>
      </c>
      <c r="W42" s="338" t="str">
        <f>IF(B41= [1]DataBank!$Y$17,  "UnitNumbers", "NAValue")</f>
        <v>NAValue</v>
      </c>
      <c r="X42" s="338" t="str">
        <f>IF(OR(B41= [1]DataBank!$Y$20, B41 =[1]DataBank!$Y$19), "ReactionNumbers", "NAValue")</f>
        <v>NAValue</v>
      </c>
      <c r="Y42" s="338"/>
    </row>
    <row r="43" spans="1:25">
      <c r="A43" s="530"/>
      <c r="B43" s="530"/>
      <c r="C43" s="531"/>
      <c r="D43" s="532"/>
      <c r="E43" s="531"/>
      <c r="F43" s="531"/>
      <c r="G43" s="531"/>
      <c r="H43" s="531"/>
      <c r="I43" s="531"/>
      <c r="J43" s="531"/>
      <c r="K43" s="531"/>
      <c r="O43" s="538"/>
      <c r="P43" s="348"/>
      <c r="Q43" s="539"/>
      <c r="R43" s="540"/>
      <c r="S43" s="539"/>
      <c r="T43" s="539"/>
      <c r="U43" s="539"/>
      <c r="V43" s="338" t="str">
        <f>IF(OR(B42 = [1]DataBank!$Y$23, B42 = [1]DataBank!$Y$22, B42 = [1]DataBank!$Y$24, B42 =[1]DataBank!$Y$25, B42 = ""),  "NAValue", "ComponentsList")</f>
        <v>NAValue</v>
      </c>
      <c r="W43" s="338" t="str">
        <f>IF(B42= [1]DataBank!$Y$17,  "UnitNumbers", "NAValue")</f>
        <v>NAValue</v>
      </c>
      <c r="X43" s="338" t="str">
        <f>IF(OR(B42= [1]DataBank!$Y$20, B42 =[1]DataBank!$Y$19), "ReactionNumbers", "NAValue")</f>
        <v>NAValue</v>
      </c>
      <c r="Y43" s="338"/>
    </row>
    <row r="44" spans="1:25">
      <c r="A44" s="530"/>
      <c r="B44" s="530"/>
      <c r="C44" s="531"/>
      <c r="D44" s="532"/>
      <c r="E44" s="531"/>
      <c r="F44" s="531"/>
      <c r="G44" s="531"/>
      <c r="H44" s="531"/>
      <c r="I44" s="531"/>
      <c r="J44" s="531"/>
      <c r="K44" s="531"/>
      <c r="U44" s="338"/>
      <c r="V44" s="338" t="str">
        <f>IF(OR(B43 = [1]DataBank!$Y$23, B43 = [1]DataBank!$Y$22, B43 = [1]DataBank!$Y$24, B43 =[1]DataBank!$Y$25, B43 = ""),  "NAValue", "ComponentsList")</f>
        <v>NAValue</v>
      </c>
      <c r="W44" s="338" t="str">
        <f>IF(B43= [1]DataBank!$Y$17,  "UnitNumbers", "NAValue")</f>
        <v>NAValue</v>
      </c>
      <c r="X44" s="338" t="str">
        <f>IF(OR(B43= [1]DataBank!$Y$20, B43 =[1]DataBank!$Y$19), "ReactionNumbers", "NAValue")</f>
        <v>NAValue</v>
      </c>
      <c r="Y44" s="338"/>
    </row>
    <row r="45" spans="1:25">
      <c r="A45" s="530"/>
      <c r="B45" s="530"/>
      <c r="C45" s="531"/>
      <c r="D45" s="532"/>
      <c r="E45" s="531"/>
      <c r="F45" s="531"/>
      <c r="G45" s="531"/>
      <c r="H45" s="531"/>
      <c r="I45" s="531"/>
      <c r="J45" s="531"/>
      <c r="K45" s="531"/>
      <c r="U45" s="338"/>
      <c r="V45" s="338" t="str">
        <f>IF(OR(B44 = [1]DataBank!$Y$23, B44 = [1]DataBank!$Y$22, B44 = [1]DataBank!$Y$24, B44 =[1]DataBank!$Y$25, B44 = ""),  "NAValue", "ComponentsList")</f>
        <v>NAValue</v>
      </c>
      <c r="W45" s="338" t="str">
        <f>IF(B44= [1]DataBank!$Y$17,  "UnitNumbers", "NAValue")</f>
        <v>NAValue</v>
      </c>
      <c r="X45" s="338" t="str">
        <f>IF(OR(B44= [1]DataBank!$Y$20, B44 =[1]DataBank!$Y$19), "ReactionNumbers", "NAValue")</f>
        <v>NAValue</v>
      </c>
      <c r="Y45" s="338"/>
    </row>
    <row r="46" spans="1:25" ht="18">
      <c r="A46" s="530"/>
      <c r="B46" s="530"/>
      <c r="C46" s="531"/>
      <c r="D46" s="532"/>
      <c r="E46" s="531"/>
      <c r="F46" s="531"/>
      <c r="G46" s="531"/>
      <c r="H46" s="531"/>
      <c r="I46" s="531"/>
      <c r="J46" s="531"/>
      <c r="K46" s="531"/>
      <c r="O46" s="48">
        <v>2</v>
      </c>
      <c r="P46" s="43" t="s">
        <v>187</v>
      </c>
      <c r="Q46" s="30" t="s">
        <v>164</v>
      </c>
      <c r="U46" s="338"/>
      <c r="V46" s="338" t="str">
        <f>IF(OR(B45 = [1]DataBank!$Y$23, B45 = [1]DataBank!$Y$22, B45 = [1]DataBank!$Y$24, B45 =[1]DataBank!$Y$25, B45 = ""),  "NAValue", "ComponentsList")</f>
        <v>NAValue</v>
      </c>
      <c r="W46" s="338" t="str">
        <f>IF(B45= [1]DataBank!$Y$17,  "UnitNumbers", "NAValue")</f>
        <v>NAValue</v>
      </c>
      <c r="X46" s="338" t="str">
        <f>IF(OR(B45= [1]DataBank!$Y$20, B45 =[1]DataBank!$Y$19), "ReactionNumbers", "NAValue")</f>
        <v>NAValue</v>
      </c>
      <c r="Y46" s="338"/>
    </row>
    <row r="47" spans="1:25" ht="18">
      <c r="A47" s="530"/>
      <c r="B47" s="530"/>
      <c r="C47" s="531"/>
      <c r="D47" s="532"/>
      <c r="E47" s="531"/>
      <c r="F47" s="531"/>
      <c r="G47" s="531"/>
      <c r="H47" s="531"/>
      <c r="I47" s="531"/>
      <c r="J47" s="531"/>
      <c r="K47" s="531"/>
      <c r="O47" s="48">
        <v>3</v>
      </c>
      <c r="P47" s="43" t="s">
        <v>188</v>
      </c>
      <c r="Q47" s="30" t="s">
        <v>163</v>
      </c>
      <c r="U47" s="338"/>
      <c r="V47" s="338" t="str">
        <f>IF(OR(B46 = [1]DataBank!$Y$23, B46 = [1]DataBank!$Y$22, B46 = [1]DataBank!$Y$24, B46 =[1]DataBank!$Y$25, B46 = ""),  "NAValue", "ComponentsList")</f>
        <v>NAValue</v>
      </c>
      <c r="W47" s="338" t="str">
        <f>IF(B46= [1]DataBank!$Y$17,  "UnitNumbers", "NAValue")</f>
        <v>NAValue</v>
      </c>
      <c r="X47" s="338" t="str">
        <f>IF(OR(B46= [1]DataBank!$Y$20, B46 =[1]DataBank!$Y$19), "ReactionNumbers", "NAValue")</f>
        <v>NAValue</v>
      </c>
      <c r="Y47" s="338"/>
    </row>
    <row r="48" spans="1:25" ht="18">
      <c r="A48" s="530"/>
      <c r="B48" s="530"/>
      <c r="C48" s="531"/>
      <c r="D48" s="532"/>
      <c r="E48" s="531"/>
      <c r="F48" s="531"/>
      <c r="G48" s="531"/>
      <c r="H48" s="531"/>
      <c r="I48" s="531"/>
      <c r="J48" s="531"/>
      <c r="K48" s="531"/>
      <c r="O48" s="48">
        <v>4</v>
      </c>
      <c r="P48" s="43" t="s">
        <v>189</v>
      </c>
      <c r="Q48" s="30" t="s">
        <v>296</v>
      </c>
      <c r="U48" s="338"/>
      <c r="V48" s="338" t="str">
        <f>IF(OR(B47 = [1]DataBank!$Y$23, B47 = [1]DataBank!$Y$22, B47 = [1]DataBank!$Y$24, B47 =[1]DataBank!$Y$25, B47 = ""),  "NAValue", "ComponentsList")</f>
        <v>NAValue</v>
      </c>
      <c r="W48" s="338" t="str">
        <f>IF(B47= [1]DataBank!$Y$17,  "UnitNumbers", "NAValue")</f>
        <v>NAValue</v>
      </c>
      <c r="X48" s="338" t="str">
        <f>IF(OR(B47= [1]DataBank!$Y$20, B47 =[1]DataBank!$Y$19), "ReactionNumbers", "NAValue")</f>
        <v>NAValue</v>
      </c>
      <c r="Y48" s="338"/>
    </row>
    <row r="49" spans="1:25" ht="18">
      <c r="A49" s="166"/>
      <c r="B49" s="166"/>
      <c r="C49" s="276"/>
      <c r="D49" s="295"/>
      <c r="E49" s="276"/>
      <c r="F49" s="276"/>
      <c r="G49" s="276"/>
      <c r="H49" s="268"/>
      <c r="I49" s="276"/>
      <c r="J49" s="276"/>
      <c r="K49" s="276"/>
      <c r="O49" s="48">
        <v>5</v>
      </c>
      <c r="P49" s="43" t="s">
        <v>535</v>
      </c>
      <c r="Q49" s="30" t="s">
        <v>466</v>
      </c>
      <c r="U49" s="338"/>
      <c r="V49" s="338" t="str">
        <f>IF(OR(B48 = [1]DataBank!$Y$23, B48 = [1]DataBank!$Y$22, B48 = [1]DataBank!$Y$24, B48 =[1]DataBank!$Y$25, B48 = ""),  "NAValue", "ComponentsList")</f>
        <v>NAValue</v>
      </c>
      <c r="W49" s="338" t="str">
        <f>IF(B48= [1]DataBank!$Y$17,  "UnitNumbers", "NAValue")</f>
        <v>NAValue</v>
      </c>
      <c r="X49" s="338" t="str">
        <f>IF(OR(B48= [1]DataBank!$Y$20, B48 =[1]DataBank!$Y$19), "ReactionNumbers", "NAValue")</f>
        <v>NAValue</v>
      </c>
      <c r="Y49" s="338"/>
    </row>
    <row r="50" spans="1:25" ht="18">
      <c r="A50" s="166"/>
      <c r="B50" s="166"/>
      <c r="C50" s="276"/>
      <c r="D50" s="295"/>
      <c r="E50" s="276"/>
      <c r="F50" s="276"/>
      <c r="G50" s="276"/>
      <c r="H50" s="268"/>
      <c r="I50" s="276"/>
      <c r="J50" s="276"/>
      <c r="K50" s="276"/>
      <c r="O50" s="48">
        <v>6</v>
      </c>
      <c r="P50" s="43" t="s">
        <v>536</v>
      </c>
      <c r="Q50" s="30" t="s">
        <v>505</v>
      </c>
      <c r="U50" s="338"/>
      <c r="V50" s="338" t="str">
        <f>IF(OR(B49 = [1]DataBank!$Y$23, B49 = [1]DataBank!$Y$22, B49 = [1]DataBank!$Y$24, B49 =[1]DataBank!$Y$25, B49 = ""),  "NAValue", "ComponentsList")</f>
        <v>NAValue</v>
      </c>
      <c r="W50" s="338" t="str">
        <f>IF(B49= [1]DataBank!$Y$17,  "UnitNumbers", "NAValue")</f>
        <v>NAValue</v>
      </c>
      <c r="X50" s="338" t="str">
        <f>IF(OR(B49= [1]DataBank!$Y$20, B49 =[1]DataBank!$Y$19), "ReactionNumbers", "NAValue")</f>
        <v>NAValue</v>
      </c>
      <c r="Y50" s="338"/>
    </row>
    <row r="51" spans="1:25" ht="18.600000000000001" thickBot="1">
      <c r="A51" s="167"/>
      <c r="B51" s="167"/>
      <c r="C51" s="277"/>
      <c r="D51" s="337"/>
      <c r="E51" s="277"/>
      <c r="F51" s="277"/>
      <c r="G51" s="277"/>
      <c r="H51" s="269"/>
      <c r="I51" s="269"/>
      <c r="J51" s="277"/>
      <c r="K51" s="277"/>
      <c r="O51" s="48">
        <v>7</v>
      </c>
      <c r="P51" s="43" t="s">
        <v>537</v>
      </c>
      <c r="Q51" s="30" t="s">
        <v>298</v>
      </c>
      <c r="U51" s="338"/>
      <c r="V51" s="338" t="str">
        <f>IF(OR(B50 = [1]DataBank!$Y$23, B50 = [1]DataBank!$Y$22, B50 = [1]DataBank!$Y$24, B50 =[1]DataBank!$Y$25, B50 = ""),  "NAValue", "ComponentsList")</f>
        <v>NAValue</v>
      </c>
      <c r="W51" s="338" t="str">
        <f>IF(B50= [1]DataBank!$Y$17,  "UnitNumbers", "NAValue")</f>
        <v>NAValue</v>
      </c>
      <c r="X51" s="338" t="str">
        <f>IF(OR(B50= [1]DataBank!$Y$20, B50 =[1]DataBank!$Y$19), "ReactionNumbers", "NAValue")</f>
        <v>NAValue</v>
      </c>
      <c r="Y51" s="338"/>
    </row>
    <row r="52" spans="1: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U52" s="338"/>
      <c r="V52" s="338" t="str">
        <f>IF(OR(B51 = [1]DataBank!$Y$23, B51 = [1]DataBank!$Y$22, B51 = [1]DataBank!$Y$24, B51 =[1]DataBank!$Y$25, B51 = ""),  "NAValue", "ComponentsList")</f>
        <v>NAValue</v>
      </c>
      <c r="W52" s="338" t="str">
        <f>IF(B51= [1]DataBank!$Y$17,  "UnitNumbers", "NAValue")</f>
        <v>NAValue</v>
      </c>
      <c r="X52" s="338" t="str">
        <f>IF(OR(B51= [1]DataBank!$Y$20, B51 =[1]DataBank!$Y$19),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324" t="s">
        <v>22</v>
      </c>
      <c r="C62" s="11"/>
      <c r="D62" s="11"/>
      <c r="E62" s="11"/>
      <c r="F62" s="11"/>
      <c r="G62" s="11"/>
      <c r="H62" s="11"/>
      <c r="I62" s="11"/>
      <c r="J62" s="11"/>
      <c r="K62" s="11"/>
    </row>
    <row r="75" spans="12:12">
      <c r="L75">
        <f>1-60/45</f>
        <v>-0.33333333333333326</v>
      </c>
    </row>
    <row r="81" spans="15:17">
      <c r="O81" t="s">
        <v>539</v>
      </c>
    </row>
    <row r="92" spans="15:17">
      <c r="Q92">
        <f>0.35/0.55</f>
        <v>0.63636363636363624</v>
      </c>
    </row>
    <row r="99" spans="16:16">
      <c r="P99">
        <f>1-0.46/0.59</f>
        <v>0.22033898305084743</v>
      </c>
    </row>
  </sheetData>
  <mergeCells count="4">
    <mergeCell ref="B2:C2"/>
    <mergeCell ref="U22:Y24"/>
    <mergeCell ref="D24:G24"/>
    <mergeCell ref="H24:J24"/>
  </mergeCells>
  <dataValidations count="9">
    <dataValidation type="list" allowBlank="1" showInputMessage="1" showErrorMessage="1" sqref="Q12:S15 D38:F48 D33:F34" xr:uid="{4D3821B8-BA17-430C-8EFD-D859ACB94F8E}">
      <formula1>INDIRECT(V13)</formula1>
    </dataValidation>
    <dataValidation type="list" allowBlank="1" showInputMessage="1" showErrorMessage="1" sqref="R43:T43" xr:uid="{13731BFD-F709-40B7-94B9-73EF255B19C8}">
      <formula1>INDIRECT(V36)</formula1>
    </dataValidation>
    <dataValidation type="list" allowBlank="1" showInputMessage="1" showErrorMessage="1" sqref="D49:D51 F49:F51 Q1:S11 E49:E50 D29:E29 D32 D27:F28" xr:uid="{8C4E9E8C-3E91-4AC8-A3E4-48ADC4411066}">
      <formula1>INDIRECT(V1)</formula1>
    </dataValidation>
    <dataValidation type="list" showInputMessage="1" showErrorMessage="1" sqref="E51" xr:uid="{721177D6-B227-43BA-8E80-51C31DB74D06}">
      <formula1>INDIRECT(W51)</formula1>
    </dataValidation>
    <dataValidation type="list" allowBlank="1" showInputMessage="1" showErrorMessage="1" sqref="C6" xr:uid="{B2D44C8B-2E95-4461-80E6-71158762D010}">
      <formula1>DynamicSwitch</formula1>
    </dataValidation>
    <dataValidation type="list" allowBlank="1" showInputMessage="1" showErrorMessage="1" sqref="D34:F34" xr:uid="{40FD172D-3272-496D-95B1-83632D215691}">
      <formula1>INDIRECT(V38)</formula1>
    </dataValidation>
    <dataValidation type="list" allowBlank="1" showInputMessage="1" showErrorMessage="1" sqref="D35:F35 D31:F31" xr:uid="{4C202554-1B76-4CC9-A629-E78A9E5C4FA0}">
      <formula1>INDIRECT(V33)</formula1>
    </dataValidation>
    <dataValidation type="list" allowBlank="1" showInputMessage="1" showErrorMessage="1" sqref="Q46:Q51" xr:uid="{925EEF28-F2E3-4BDE-9669-314AE439160E}">
      <formula1>$F$5:$F$34</formula1>
    </dataValidation>
    <dataValidation type="list" allowBlank="1" showInputMessage="1" showErrorMessage="1" sqref="D26:F26" xr:uid="{7C8601FB-C503-4201-9C81-0E49C2564C66}">
      <formula1>INDIRECT(#REF!)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8D2241E-6CB2-4C93-989A-EBDDDEBB1EFE}">
          <x14:formula1>
            <xm:f>Systemblatt!$N$5:$N$17</xm:f>
          </x14:formula1>
          <xm:sqref>N18</xm:sqref>
        </x14:dataValidation>
        <x14:dataValidation type="list" allowBlank="1" showInputMessage="1" showErrorMessage="1" xr:uid="{7221E65F-4168-474E-BA8C-2411CF97BC67}">
          <x14:formula1>
            <xm:f>Systemblatt!$F$5:$F$37</xm:f>
          </x14:formula1>
          <xm:sqref>M18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Grinding (100)</vt:lpstr>
      <vt:lpstr>Hydrolysis (200)</vt:lpstr>
      <vt:lpstr>Ethanol.Ferm,(210)</vt:lpstr>
      <vt:lpstr>Distillation.ethoh(230)</vt:lpstr>
      <vt:lpstr>MCF (400)</vt:lpstr>
      <vt:lpstr>pasturisation+Decanting (500)</vt:lpstr>
      <vt:lpstr>MP.Ferm,(510)</vt:lpstr>
      <vt:lpstr>Dewatering.MP(520)</vt:lpstr>
      <vt:lpstr>Spray.Dry.MP(550)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CHP (700)</vt:lpstr>
      <vt:lpstr>Composting (800)</vt:lpstr>
      <vt:lpstr>Extrusion (900)</vt:lpstr>
      <vt:lpstr>Uncertainty_test_idea</vt:lpstr>
      <vt:lpstr>Uncertainty_old</vt:lpstr>
      <vt:lpstr>DataBank</vt:lpstr>
      <vt:lpstr>Systemblatt</vt:lpstr>
      <vt:lpstr>Pools</vt:lpstr>
      <vt:lpstr>Sources</vt:lpstr>
      <vt:lpstr>Distributor</vt:lpstr>
      <vt:lpstr>Sensitivity</vt:lpstr>
      <vt:lpstr>Uncertainty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2024-06-27T09:51:18Z</dcterms:modified>
</cp:coreProperties>
</file>