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drawings/drawing8.xml" ContentType="application/vnd.openxmlformats-officedocument.drawingml.chartshape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350" yWindow="1080" windowWidth="23790" windowHeight="10410"/>
  </bookViews>
  <sheets>
    <sheet name="Monthly Returns" sheetId="2" r:id="rId1"/>
    <sheet name="Stats" sheetId="5" r:id="rId2"/>
    <sheet name="Rolling 12M" sheetId="3" r:id="rId3"/>
    <sheet name="Chart1" sheetId="7" r:id="rId4"/>
    <sheet name="Chart2" sheetId="11" r:id="rId5"/>
    <sheet name="Chart3" sheetId="12" r:id="rId6"/>
    <sheet name="Chart4" sheetId="13" r:id="rId7"/>
    <sheet name="Appendix" sheetId="4" r:id="rId8"/>
  </sheets>
  <definedNames>
    <definedName name="_xlnm._FilterDatabase" localSheetId="0" hidden="1">'Monthly Returns'!$M$23:$Z$30</definedName>
    <definedName name="bcr">OFFSET(Stats!$G$5,0,0,COUNT(Stats!$G$5:$G$961),1)</definedName>
    <definedName name="bdown">OFFSET(Stats!$H$6,0,0,COUNT(Stats!$H$6:$H$961),1)</definedName>
    <definedName name="bearbr">OFFSET(Stats!$Q$6,COUNTIF(br,"&gt;=0"),0,COUNTIF(br,"&lt;0"),1)</definedName>
    <definedName name="bearfr">OFFSET(Stats!$R$6,COUNTIF(br,"&gt;=0"),0,COUNTIF(br,"&lt;0"),1)</definedName>
    <definedName name="br">OFFSET(Stats!$F$6,0,0,COUNT(Stats!$F$6:$F$951),1)</definedName>
    <definedName name="bullbr">OFFSET(Stats!$Q$6,0,0,COUNTIF(br,"&gt;0"),1)</definedName>
    <definedName name="bullfr">OFFSET(Stats!$R$6,0,0,COUNTIF(br,"&gt;0"),1)</definedName>
    <definedName name="ct">OFFSET(Stats!$B$5,0,0,COUNT(Stats!$B$5:$B$961),1)</definedName>
    <definedName name="fcr">OFFSET(Stats!$D$5,0,0,COUNT(Stats!$D$5:$D$951),1)</definedName>
    <definedName name="fdown">OFFSET(Stats!$E$6,0,0,COUNT(Stats!$E$6:$E$961),1)</definedName>
    <definedName name="fr">OFFSET(Stats!$C$6,0,0,COUNT(Stats!$C$6:$C$1099),1)</definedName>
    <definedName name="rbeta">OFFSET('Rolling 12M'!$K$4,0,0,COUNT('Rolling 12M'!$K$4:$K$1000),1)</definedName>
    <definedName name="rbr">OFFSET('Rolling 12M'!$F$4,0,0,COUNT('Rolling 12M'!$F$4:$F$1000),1)</definedName>
    <definedName name="rbrv">OFFSET('Rolling 12M'!$H$4,0,0,COUNT('Rolling 12M'!$H$4:$H$1000),1)</definedName>
    <definedName name="rbv">OFFSET('Rolling 12M'!$G$4,0,0,COUNT('Rolling 12M'!$G$4:$G$1000),1)</definedName>
    <definedName name="rcorrel">OFFSET('Rolling 12M'!$L$4,0,0,COUNT('Rolling 12M'!$L$4:$L$1000),1)</definedName>
    <definedName name="rf">OFFSET(Stats!$I$6,0,0,COUNT(Stats!$I$6:$I$951),1)</definedName>
    <definedName name="rfr">OFFSET('Rolling 12M'!$C$4,0,0,COUNT('Rolling 12M'!$C$4:$C$1000),1)</definedName>
    <definedName name="rfrv">OFFSET('Rolling 12M'!$E$4,0,0,COUNT('Rolling 12M'!$E$4:$E$1000),1)</definedName>
    <definedName name="rfv">OFFSET('Rolling 12M'!$D$4,0,0,COUNT('Rolling 12M'!$D$4:$D$1000),1)</definedName>
    <definedName name="rsr">OFFSET('Rolling 12M'!$I$4,0,0,COUNT('Rolling 12M'!$I$4:$I$1000),1)</definedName>
    <definedName name="rsv">OFFSET('Rolling 12M'!$J$4,0,0,COUNT('Rolling 12M'!$J$4:$J$1000),1)</definedName>
    <definedName name="rt">OFFSET('Rolling 12M'!$B$4,0,0,COUNT('Rolling 12M'!$B$4:$B$1000),1)</definedName>
    <definedName name="t">OFFSET(Stats!$B$6,0,0,COUNT(Stats!$B$6:$B$961),1)</definedName>
    <definedName name="ve1d">OFFSET('Rolling 12M'!$N$4,0,0,COUNT('Rolling 12M'!$N$4:$N$1000),1)</definedName>
    <definedName name="ve1u">OFFSET('Rolling 12M'!$M$4,0,0,COUNT('Rolling 12M'!$M$4:$M$1000),1)</definedName>
    <definedName name="ve2d">OFFSET('Rolling 12M'!$P$4,0,0,COUNT('Rolling 12M'!$P$4:$P$1000),1)</definedName>
    <definedName name="ve2u">OFFSET('Rolling 12M'!$O$4,0,0,COUNT('Rolling 12M'!$O$4:$O$1000),1)</definedName>
  </definedNames>
  <calcPr calcId="145621"/>
</workbook>
</file>

<file path=xl/calcChain.xml><?xml version="1.0" encoding="utf-8"?>
<calcChain xmlns="http://schemas.openxmlformats.org/spreadsheetml/2006/main">
  <c r="G16" i="2" l="1" a="1"/>
  <c r="G16" i="2" s="1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2" i="4"/>
  <c r="C1" i="5"/>
  <c r="E1" i="5"/>
  <c r="B2" i="2"/>
  <c r="C2" i="2" l="1"/>
  <c r="B3" i="2"/>
  <c r="C3" i="2" s="1"/>
  <c r="B4" i="2" l="1"/>
  <c r="F3" i="5"/>
  <c r="F2" i="3" s="1"/>
  <c r="C3" i="5"/>
  <c r="C2" i="3" s="1"/>
  <c r="B5" i="2" l="1"/>
  <c r="C4" i="2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M74" i="5"/>
  <c r="L74" i="5"/>
  <c r="M87" i="5"/>
  <c r="L87" i="5"/>
  <c r="M61" i="5"/>
  <c r="L61" i="5"/>
  <c r="R5" i="5"/>
  <c r="Q5" i="5"/>
  <c r="M41" i="5"/>
  <c r="L41" i="5"/>
  <c r="L36" i="5"/>
  <c r="M7" i="5"/>
  <c r="M10" i="5"/>
  <c r="L10" i="5"/>
  <c r="M4" i="5"/>
  <c r="L4" i="5"/>
  <c r="B6" i="2" l="1"/>
  <c r="C5" i="2"/>
  <c r="B18" i="5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4" i="3"/>
  <c r="I6" i="5"/>
  <c r="I7" i="5"/>
  <c r="M8" i="5"/>
  <c r="L8" i="5"/>
  <c r="B7" i="2" l="1"/>
  <c r="C6" i="2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I8" i="5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B8" i="2" l="1"/>
  <c r="C7" i="2"/>
  <c r="I9" i="5"/>
  <c r="B9" i="2" l="1"/>
  <c r="C8" i="2"/>
  <c r="I10" i="5"/>
  <c r="B10" i="2" l="1"/>
  <c r="C9" i="2"/>
  <c r="I11" i="5"/>
  <c r="B11" i="2" l="1"/>
  <c r="C10" i="2"/>
  <c r="I12" i="5"/>
  <c r="B12" i="2" l="1"/>
  <c r="C11" i="2"/>
  <c r="I13" i="5"/>
  <c r="B13" i="2" l="1"/>
  <c r="C12" i="2"/>
  <c r="I14" i="5"/>
  <c r="B14" i="2" l="1"/>
  <c r="C13" i="2"/>
  <c r="I15" i="5"/>
  <c r="B15" i="2" l="1"/>
  <c r="C14" i="2"/>
  <c r="I16" i="5"/>
  <c r="B16" i="2" l="1"/>
  <c r="C15" i="2"/>
  <c r="I17" i="5"/>
  <c r="B17" i="2" l="1"/>
  <c r="C16" i="2"/>
  <c r="I18" i="5"/>
  <c r="B18" i="2" l="1"/>
  <c r="C17" i="2"/>
  <c r="I19" i="5"/>
  <c r="B19" i="2" l="1"/>
  <c r="C18" i="2"/>
  <c r="I20" i="5"/>
  <c r="B20" i="2" l="1"/>
  <c r="C19" i="2"/>
  <c r="I21" i="5"/>
  <c r="B21" i="2" l="1"/>
  <c r="C20" i="2"/>
  <c r="I22" i="5"/>
  <c r="B22" i="2" l="1"/>
  <c r="C21" i="2"/>
  <c r="I23" i="5"/>
  <c r="B23" i="2" l="1"/>
  <c r="C22" i="2"/>
  <c r="I24" i="5"/>
  <c r="B24" i="2" l="1"/>
  <c r="C23" i="2"/>
  <c r="I25" i="5"/>
  <c r="B25" i="2" l="1"/>
  <c r="C24" i="2"/>
  <c r="I26" i="5"/>
  <c r="B26" i="2" l="1"/>
  <c r="C25" i="2"/>
  <c r="I27" i="5"/>
  <c r="B27" i="2" l="1"/>
  <c r="C26" i="2"/>
  <c r="I28" i="5"/>
  <c r="B28" i="2" l="1"/>
  <c r="C27" i="2"/>
  <c r="I29" i="5"/>
  <c r="B29" i="2" l="1"/>
  <c r="C28" i="2"/>
  <c r="I30" i="5"/>
  <c r="B30" i="2" l="1"/>
  <c r="C29" i="2"/>
  <c r="I31" i="5"/>
  <c r="B31" i="2" l="1"/>
  <c r="C30" i="2"/>
  <c r="I32" i="5"/>
  <c r="B32" i="2" l="1"/>
  <c r="C31" i="2"/>
  <c r="I33" i="5"/>
  <c r="B33" i="2" l="1"/>
  <c r="C32" i="2"/>
  <c r="I34" i="5"/>
  <c r="B34" i="2" l="1"/>
  <c r="C33" i="2"/>
  <c r="I35" i="5"/>
  <c r="B35" i="2" l="1"/>
  <c r="C34" i="2"/>
  <c r="I36" i="5"/>
  <c r="B36" i="2" l="1"/>
  <c r="C35" i="2"/>
  <c r="I37" i="5"/>
  <c r="B37" i="2" l="1"/>
  <c r="C36" i="2"/>
  <c r="I38" i="5"/>
  <c r="B38" i="2" l="1"/>
  <c r="C37" i="2"/>
  <c r="I39" i="5"/>
  <c r="B39" i="2" l="1"/>
  <c r="C38" i="2"/>
  <c r="I40" i="5"/>
  <c r="F39" i="5"/>
  <c r="C39" i="5"/>
  <c r="B40" i="2" l="1"/>
  <c r="C39" i="2"/>
  <c r="I41" i="5"/>
  <c r="F40" i="5"/>
  <c r="C40" i="5"/>
  <c r="B41" i="2" l="1"/>
  <c r="C40" i="2"/>
  <c r="I42" i="5"/>
  <c r="F41" i="5"/>
  <c r="C41" i="5"/>
  <c r="B42" i="2" l="1"/>
  <c r="C41" i="2"/>
  <c r="I43" i="5"/>
  <c r="F42" i="5"/>
  <c r="C42" i="5"/>
  <c r="B43" i="2" l="1"/>
  <c r="C42" i="2"/>
  <c r="I44" i="5"/>
  <c r="F43" i="5"/>
  <c r="C43" i="5"/>
  <c r="B44" i="2" l="1"/>
  <c r="C43" i="2"/>
  <c r="I45" i="5"/>
  <c r="F44" i="5"/>
  <c r="C44" i="5"/>
  <c r="B45" i="2" l="1"/>
  <c r="C44" i="2"/>
  <c r="I46" i="5"/>
  <c r="F45" i="5"/>
  <c r="C45" i="5"/>
  <c r="B46" i="2" l="1"/>
  <c r="C45" i="2"/>
  <c r="I47" i="5"/>
  <c r="F46" i="5"/>
  <c r="C46" i="5"/>
  <c r="B47" i="2" l="1"/>
  <c r="C46" i="2"/>
  <c r="I48" i="5"/>
  <c r="F47" i="5"/>
  <c r="C47" i="5"/>
  <c r="B48" i="2" l="1"/>
  <c r="C47" i="2"/>
  <c r="I49" i="5"/>
  <c r="F48" i="5"/>
  <c r="C48" i="5"/>
  <c r="B49" i="2" l="1"/>
  <c r="C48" i="2"/>
  <c r="I50" i="5"/>
  <c r="F49" i="5"/>
  <c r="C49" i="5"/>
  <c r="B50" i="2" l="1"/>
  <c r="C49" i="2"/>
  <c r="I51" i="5"/>
  <c r="F50" i="5"/>
  <c r="C50" i="5"/>
  <c r="B51" i="2" l="1"/>
  <c r="C50" i="2"/>
  <c r="K37" i="3"/>
  <c r="F37" i="3" a="1"/>
  <c r="C37" i="3" a="1"/>
  <c r="C37" i="3" s="1"/>
  <c r="L37" i="3"/>
  <c r="D37" i="3"/>
  <c r="I52" i="5"/>
  <c r="F51" i="5"/>
  <c r="C51" i="5"/>
  <c r="G37" i="3"/>
  <c r="F37" i="3"/>
  <c r="B52" i="2" l="1"/>
  <c r="C51" i="2"/>
  <c r="K38" i="3"/>
  <c r="C38" i="3" a="1"/>
  <c r="C38" i="3" s="1"/>
  <c r="F38" i="3" a="1"/>
  <c r="I37" i="3"/>
  <c r="H37" i="3"/>
  <c r="L38" i="3"/>
  <c r="D38" i="3"/>
  <c r="I53" i="5"/>
  <c r="F52" i="5"/>
  <c r="C52" i="5"/>
  <c r="G38" i="3"/>
  <c r="F38" i="3"/>
  <c r="J37" i="3"/>
  <c r="E37" i="3"/>
  <c r="B53" i="2" l="1"/>
  <c r="C52" i="2"/>
  <c r="K39" i="3"/>
  <c r="H38" i="3"/>
  <c r="F39" i="3" a="1"/>
  <c r="C39" i="3" a="1"/>
  <c r="C39" i="3" s="1"/>
  <c r="G39" i="3"/>
  <c r="F39" i="3"/>
  <c r="E38" i="3"/>
  <c r="I38" i="3"/>
  <c r="L39" i="3"/>
  <c r="D39" i="3"/>
  <c r="I54" i="5"/>
  <c r="F53" i="5"/>
  <c r="C53" i="5"/>
  <c r="J38" i="3"/>
  <c r="B54" i="2" l="1"/>
  <c r="C53" i="2"/>
  <c r="K40" i="3"/>
  <c r="J39" i="3"/>
  <c r="H39" i="3"/>
  <c r="F40" i="3" a="1"/>
  <c r="F40" i="3" s="1"/>
  <c r="C40" i="3" a="1"/>
  <c r="C40" i="3" s="1"/>
  <c r="D40" i="3"/>
  <c r="L40" i="3"/>
  <c r="G40" i="3"/>
  <c r="I39" i="3"/>
  <c r="E39" i="3"/>
  <c r="I55" i="5"/>
  <c r="F54" i="5"/>
  <c r="C54" i="5"/>
  <c r="B55" i="2" l="1"/>
  <c r="C54" i="2"/>
  <c r="K41" i="3"/>
  <c r="J40" i="3"/>
  <c r="F41" i="3" a="1"/>
  <c r="F41" i="3" s="1"/>
  <c r="C41" i="3" a="1"/>
  <c r="I56" i="5"/>
  <c r="F55" i="5"/>
  <c r="C55" i="5"/>
  <c r="G41" i="3"/>
  <c r="H40" i="3"/>
  <c r="E40" i="3"/>
  <c r="I40" i="3"/>
  <c r="C41" i="3"/>
  <c r="D41" i="3"/>
  <c r="L41" i="3"/>
  <c r="B56" i="2" l="1"/>
  <c r="C55" i="2"/>
  <c r="K42" i="3"/>
  <c r="J41" i="3"/>
  <c r="H41" i="3"/>
  <c r="C42" i="3" a="1"/>
  <c r="C42" i="3" s="1"/>
  <c r="F42" i="3" a="1"/>
  <c r="D42" i="3"/>
  <c r="L42" i="3"/>
  <c r="I57" i="5"/>
  <c r="F56" i="5"/>
  <c r="C56" i="5"/>
  <c r="I41" i="3"/>
  <c r="E41" i="3"/>
  <c r="F42" i="3"/>
  <c r="G42" i="3"/>
  <c r="B57" i="2" l="1"/>
  <c r="C56" i="2"/>
  <c r="K43" i="3"/>
  <c r="C43" i="3" a="1"/>
  <c r="F43" i="3" a="1"/>
  <c r="F43" i="3" s="1"/>
  <c r="H42" i="3"/>
  <c r="G43" i="3"/>
  <c r="E42" i="3"/>
  <c r="I42" i="3"/>
  <c r="C43" i="3"/>
  <c r="D43" i="3"/>
  <c r="L43" i="3"/>
  <c r="I58" i="5"/>
  <c r="F57" i="5"/>
  <c r="C57" i="5"/>
  <c r="J42" i="3"/>
  <c r="B58" i="2" l="1"/>
  <c r="C57" i="2"/>
  <c r="H43" i="3"/>
  <c r="K44" i="3"/>
  <c r="J43" i="3"/>
  <c r="C44" i="3" a="1"/>
  <c r="C44" i="3" s="1"/>
  <c r="F44" i="3" a="1"/>
  <c r="F44" i="3" s="1"/>
  <c r="G44" i="3"/>
  <c r="D44" i="3"/>
  <c r="L44" i="3"/>
  <c r="I59" i="5"/>
  <c r="F58" i="5"/>
  <c r="C58" i="5"/>
  <c r="I43" i="3"/>
  <c r="E43" i="3"/>
  <c r="B59" i="2" l="1"/>
  <c r="C58" i="2"/>
  <c r="K45" i="3"/>
  <c r="J44" i="3"/>
  <c r="C45" i="3" a="1"/>
  <c r="C45" i="3" s="1"/>
  <c r="F45" i="3" a="1"/>
  <c r="H44" i="3"/>
  <c r="D45" i="3"/>
  <c r="L45" i="3"/>
  <c r="I60" i="5"/>
  <c r="F59" i="5"/>
  <c r="C59" i="5"/>
  <c r="G45" i="3"/>
  <c r="F45" i="3"/>
  <c r="E44" i="3"/>
  <c r="I44" i="3"/>
  <c r="B60" i="2" l="1"/>
  <c r="C59" i="2"/>
  <c r="K46" i="3"/>
  <c r="E45" i="3"/>
  <c r="C46" i="3" a="1"/>
  <c r="C46" i="3" s="1"/>
  <c r="F46" i="3" a="1"/>
  <c r="F46" i="3" s="1"/>
  <c r="L46" i="3"/>
  <c r="D46" i="3"/>
  <c r="G46" i="3"/>
  <c r="J45" i="3"/>
  <c r="I45" i="3"/>
  <c r="H45" i="3"/>
  <c r="I61" i="5"/>
  <c r="F60" i="5"/>
  <c r="C60" i="5"/>
  <c r="B61" i="2" l="1"/>
  <c r="C60" i="2"/>
  <c r="K47" i="3"/>
  <c r="H46" i="3"/>
  <c r="F47" i="3" a="1"/>
  <c r="F47" i="3" s="1"/>
  <c r="C47" i="3" a="1"/>
  <c r="C47" i="3"/>
  <c r="L47" i="3"/>
  <c r="D47" i="3"/>
  <c r="I62" i="5"/>
  <c r="F61" i="5"/>
  <c r="C61" i="5"/>
  <c r="G47" i="3"/>
  <c r="J46" i="3"/>
  <c r="E46" i="3"/>
  <c r="I46" i="3"/>
  <c r="B62" i="2" l="1"/>
  <c r="C61" i="2"/>
  <c r="K48" i="3"/>
  <c r="F48" i="3" a="1"/>
  <c r="C48" i="3" a="1"/>
  <c r="C48" i="3" s="1"/>
  <c r="H47" i="3"/>
  <c r="G48" i="3"/>
  <c r="F48" i="3"/>
  <c r="J47" i="3"/>
  <c r="I47" i="3"/>
  <c r="E47" i="3"/>
  <c r="D48" i="3"/>
  <c r="L48" i="3"/>
  <c r="I63" i="5"/>
  <c r="F62" i="5"/>
  <c r="C62" i="5"/>
  <c r="B63" i="2" l="1"/>
  <c r="C62" i="2"/>
  <c r="H48" i="3"/>
  <c r="K49" i="3"/>
  <c r="F49" i="3" a="1"/>
  <c r="C49" i="3" a="1"/>
  <c r="I64" i="5"/>
  <c r="F63" i="5"/>
  <c r="C63" i="5"/>
  <c r="D49" i="3"/>
  <c r="C49" i="3"/>
  <c r="L49" i="3"/>
  <c r="F49" i="3"/>
  <c r="G49" i="3"/>
  <c r="E48" i="3"/>
  <c r="I48" i="3"/>
  <c r="J48" i="3"/>
  <c r="B64" i="2" l="1"/>
  <c r="C63" i="2"/>
  <c r="K50" i="3"/>
  <c r="F50" i="3" a="1"/>
  <c r="F50" i="3" s="1"/>
  <c r="C50" i="3" a="1"/>
  <c r="J49" i="3"/>
  <c r="C50" i="3"/>
  <c r="L50" i="3"/>
  <c r="D50" i="3"/>
  <c r="I65" i="5"/>
  <c r="F64" i="5"/>
  <c r="C64" i="5"/>
  <c r="H49" i="3"/>
  <c r="I49" i="3"/>
  <c r="E49" i="3"/>
  <c r="G50" i="3"/>
  <c r="B65" i="2" l="1"/>
  <c r="C64" i="2"/>
  <c r="H50" i="3"/>
  <c r="K51" i="3"/>
  <c r="C51" i="3" a="1"/>
  <c r="C51" i="3" s="1"/>
  <c r="F51" i="3" a="1"/>
  <c r="F51" i="3" s="1"/>
  <c r="G51" i="3"/>
  <c r="J50" i="3"/>
  <c r="E50" i="3"/>
  <c r="I50" i="3"/>
  <c r="D51" i="3"/>
  <c r="L51" i="3"/>
  <c r="I66" i="5"/>
  <c r="F65" i="5"/>
  <c r="C65" i="5"/>
  <c r="B66" i="2" l="1"/>
  <c r="C65" i="2"/>
  <c r="K52" i="3"/>
  <c r="J51" i="3"/>
  <c r="F52" i="3" a="1"/>
  <c r="F52" i="3" s="1"/>
  <c r="C52" i="3" a="1"/>
  <c r="C52" i="3" s="1"/>
  <c r="L52" i="3"/>
  <c r="D52" i="3"/>
  <c r="I67" i="5"/>
  <c r="F66" i="5"/>
  <c r="C66" i="5"/>
  <c r="H51" i="3"/>
  <c r="G52" i="3"/>
  <c r="I51" i="3"/>
  <c r="E51" i="3"/>
  <c r="G22" i="2" a="1"/>
  <c r="G22" i="2" l="1"/>
  <c r="B67" i="2"/>
  <c r="C66" i="2"/>
  <c r="K53" i="3"/>
  <c r="H52" i="3"/>
  <c r="C53" i="3" a="1"/>
  <c r="F53" i="3" a="1"/>
  <c r="F53" i="3" s="1"/>
  <c r="G53" i="3"/>
  <c r="D53" i="3"/>
  <c r="C53" i="3"/>
  <c r="L53" i="3"/>
  <c r="I68" i="5"/>
  <c r="F67" i="5"/>
  <c r="C67" i="5"/>
  <c r="J52" i="3"/>
  <c r="I52" i="3"/>
  <c r="E52" i="3"/>
  <c r="B68" i="2" l="1"/>
  <c r="C67" i="2"/>
  <c r="K54" i="3"/>
  <c r="J53" i="3"/>
  <c r="C54" i="3" a="1"/>
  <c r="C54" i="3" s="1"/>
  <c r="F54" i="3" a="1"/>
  <c r="F54" i="3" s="1"/>
  <c r="D54" i="3"/>
  <c r="L54" i="3"/>
  <c r="G54" i="3"/>
  <c r="I53" i="3"/>
  <c r="E53" i="3"/>
  <c r="H53" i="3"/>
  <c r="I69" i="5"/>
  <c r="F68" i="5"/>
  <c r="C68" i="5"/>
  <c r="C68" i="2" l="1"/>
  <c r="K55" i="3"/>
  <c r="C55" i="3" a="1"/>
  <c r="C55" i="3" s="1"/>
  <c r="F55" i="3" a="1"/>
  <c r="D55" i="3"/>
  <c r="L55" i="3"/>
  <c r="I70" i="5"/>
  <c r="F69" i="5"/>
  <c r="C69" i="5"/>
  <c r="H54" i="3"/>
  <c r="J54" i="3"/>
  <c r="F55" i="3"/>
  <c r="G55" i="3"/>
  <c r="I54" i="3"/>
  <c r="E54" i="3"/>
  <c r="C38" i="5" l="1"/>
  <c r="C36" i="3" s="1" a="1"/>
  <c r="F38" i="5"/>
  <c r="F36" i="3" s="1" a="1"/>
  <c r="K56" i="3"/>
  <c r="H55" i="3"/>
  <c r="F56" i="3" a="1"/>
  <c r="F56" i="3" s="1"/>
  <c r="C56" i="3" a="1"/>
  <c r="J55" i="3"/>
  <c r="L56" i="3"/>
  <c r="C56" i="3"/>
  <c r="D56" i="3"/>
  <c r="I71" i="5"/>
  <c r="F70" i="5"/>
  <c r="C70" i="5"/>
  <c r="G56" i="3"/>
  <c r="I55" i="3"/>
  <c r="E55" i="3"/>
  <c r="G36" i="3" l="1"/>
  <c r="K36" i="3"/>
  <c r="F36" i="3"/>
  <c r="H36" i="3" s="1"/>
  <c r="D36" i="3"/>
  <c r="L36" i="3"/>
  <c r="C36" i="3"/>
  <c r="K57" i="3"/>
  <c r="J56" i="3"/>
  <c r="C57" i="3" a="1"/>
  <c r="F57" i="3" a="1"/>
  <c r="F57" i="3" s="1"/>
  <c r="D57" i="3"/>
  <c r="C57" i="3"/>
  <c r="L57" i="3"/>
  <c r="I72" i="5"/>
  <c r="F71" i="5"/>
  <c r="C71" i="5"/>
  <c r="H56" i="3"/>
  <c r="G57" i="3"/>
  <c r="I56" i="3"/>
  <c r="E56" i="3"/>
  <c r="J36" i="3" l="1"/>
  <c r="E36" i="3"/>
  <c r="I36" i="3"/>
  <c r="K58" i="3"/>
  <c r="H57" i="3"/>
  <c r="F58" i="3" a="1"/>
  <c r="F58" i="3" s="1"/>
  <c r="C58" i="3" a="1"/>
  <c r="C58" i="3" s="1"/>
  <c r="G58" i="3"/>
  <c r="I57" i="3"/>
  <c r="E57" i="3"/>
  <c r="L58" i="3"/>
  <c r="D58" i="3"/>
  <c r="F72" i="5"/>
  <c r="C72" i="5"/>
  <c r="J57" i="3"/>
  <c r="K59" i="3" l="1"/>
  <c r="J58" i="3"/>
  <c r="H58" i="3"/>
  <c r="F59" i="3" a="1"/>
  <c r="F59" i="3" s="1"/>
  <c r="C59" i="3" a="1"/>
  <c r="G59" i="3"/>
  <c r="C59" i="3"/>
  <c r="L59" i="3"/>
  <c r="D59" i="3"/>
  <c r="I58" i="3"/>
  <c r="E58" i="3"/>
  <c r="J59" i="3" l="1"/>
  <c r="H59" i="3"/>
  <c r="I59" i="3"/>
  <c r="E59" i="3"/>
  <c r="G23" i="2" l="1"/>
  <c r="F6" i="5" l="1"/>
  <c r="F9" i="5"/>
  <c r="C7" i="5"/>
  <c r="C6" i="5"/>
  <c r="C9" i="5"/>
  <c r="C8" i="5"/>
  <c r="F7" i="5"/>
  <c r="C11" i="5"/>
  <c r="F8" i="5"/>
  <c r="F11" i="5"/>
  <c r="F10" i="5"/>
  <c r="C10" i="5"/>
  <c r="C13" i="5"/>
  <c r="C12" i="5"/>
  <c r="F12" i="5"/>
  <c r="F13" i="5"/>
  <c r="F15" i="5"/>
  <c r="C15" i="5"/>
  <c r="F14" i="5"/>
  <c r="C14" i="5"/>
  <c r="C16" i="5"/>
  <c r="F16" i="5"/>
  <c r="C17" i="5"/>
  <c r="F17" i="5"/>
  <c r="F18" i="5"/>
  <c r="C18" i="5"/>
  <c r="F19" i="5"/>
  <c r="C20" i="5"/>
  <c r="C19" i="5"/>
  <c r="F21" i="5"/>
  <c r="F20" i="5"/>
  <c r="C23" i="5"/>
  <c r="C21" i="5"/>
  <c r="C22" i="5"/>
  <c r="F23" i="5"/>
  <c r="F24" i="5"/>
  <c r="F22" i="5"/>
  <c r="C24" i="5"/>
  <c r="F26" i="5"/>
  <c r="C26" i="5"/>
  <c r="C25" i="5"/>
  <c r="F25" i="5"/>
  <c r="F27" i="5"/>
  <c r="C27" i="5"/>
  <c r="F28" i="5"/>
  <c r="C28" i="5"/>
  <c r="F29" i="5"/>
  <c r="C31" i="5"/>
  <c r="C29" i="5"/>
  <c r="F30" i="5"/>
  <c r="C30" i="5"/>
  <c r="F31" i="5"/>
  <c r="F32" i="5"/>
  <c r="C32" i="5"/>
  <c r="F33" i="5"/>
  <c r="C34" i="5"/>
  <c r="C33" i="5"/>
  <c r="F34" i="5"/>
  <c r="C36" i="5"/>
  <c r="F36" i="5"/>
  <c r="F35" i="5"/>
  <c r="C35" i="5"/>
  <c r="F37" i="5"/>
  <c r="F35" i="3" s="1" a="1"/>
  <c r="C37" i="5"/>
  <c r="C35" i="3" s="1" a="1"/>
  <c r="P36" i="3"/>
  <c r="N36" i="3"/>
  <c r="O36" i="3"/>
  <c r="M36" i="3"/>
  <c r="P37" i="3"/>
  <c r="N37" i="3"/>
  <c r="O37" i="3"/>
  <c r="M37" i="3"/>
  <c r="P38" i="3"/>
  <c r="M38" i="3"/>
  <c r="O38" i="3"/>
  <c r="N38" i="3"/>
  <c r="P39" i="3"/>
  <c r="N39" i="3"/>
  <c r="O39" i="3"/>
  <c r="M39" i="3"/>
  <c r="O40" i="3"/>
  <c r="M40" i="3"/>
  <c r="P40" i="3"/>
  <c r="N40" i="3"/>
  <c r="P41" i="3"/>
  <c r="N41" i="3"/>
  <c r="O41" i="3"/>
  <c r="M41" i="3"/>
  <c r="O42" i="3"/>
  <c r="M42" i="3"/>
  <c r="P42" i="3"/>
  <c r="N42" i="3"/>
  <c r="P43" i="3"/>
  <c r="N43" i="3"/>
  <c r="O43" i="3"/>
  <c r="M43" i="3"/>
  <c r="P44" i="3"/>
  <c r="N44" i="3"/>
  <c r="O44" i="3"/>
  <c r="M44" i="3"/>
  <c r="P45" i="3"/>
  <c r="N45" i="3"/>
  <c r="O45" i="3"/>
  <c r="M45" i="3"/>
  <c r="P46" i="3"/>
  <c r="M46" i="3"/>
  <c r="O46" i="3"/>
  <c r="N46" i="3"/>
  <c r="P47" i="3"/>
  <c r="N47" i="3"/>
  <c r="O47" i="3"/>
  <c r="M47" i="3"/>
  <c r="P48" i="3"/>
  <c r="N48" i="3"/>
  <c r="O48" i="3"/>
  <c r="M48" i="3"/>
  <c r="P49" i="3"/>
  <c r="N49" i="3"/>
  <c r="O49" i="3"/>
  <c r="M49" i="3"/>
  <c r="P50" i="3"/>
  <c r="N50" i="3"/>
  <c r="O50" i="3"/>
  <c r="M50" i="3"/>
  <c r="P51" i="3"/>
  <c r="N51" i="3"/>
  <c r="O51" i="3"/>
  <c r="M51" i="3"/>
  <c r="P52" i="3"/>
  <c r="N52" i="3"/>
  <c r="O52" i="3"/>
  <c r="M52" i="3"/>
  <c r="O53" i="3"/>
  <c r="M53" i="3"/>
  <c r="P53" i="3"/>
  <c r="N53" i="3"/>
  <c r="P54" i="3"/>
  <c r="M54" i="3"/>
  <c r="O54" i="3"/>
  <c r="N54" i="3"/>
  <c r="O55" i="3"/>
  <c r="M55" i="3"/>
  <c r="P55" i="3"/>
  <c r="N55" i="3"/>
  <c r="P56" i="3"/>
  <c r="N56" i="3"/>
  <c r="O56" i="3"/>
  <c r="M56" i="3"/>
  <c r="O57" i="3"/>
  <c r="M57" i="3"/>
  <c r="P57" i="3"/>
  <c r="N57" i="3"/>
  <c r="O58" i="3"/>
  <c r="M58" i="3"/>
  <c r="P58" i="3"/>
  <c r="N58" i="3"/>
  <c r="O59" i="3"/>
  <c r="M59" i="3"/>
  <c r="P59" i="3"/>
  <c r="N59" i="3"/>
  <c r="C33" i="3" l="1" a="1"/>
  <c r="F34" i="3" a="1"/>
  <c r="F32" i="3" a="1"/>
  <c r="C32" i="3" a="1"/>
  <c r="C30" i="3" a="1"/>
  <c r="F29" i="3" a="1"/>
  <c r="F28" i="3" a="1"/>
  <c r="C29" i="3" a="1"/>
  <c r="C26" i="3" a="1"/>
  <c r="C25" i="3" a="1"/>
  <c r="F23" i="3" a="1"/>
  <c r="C24" i="3" a="1"/>
  <c r="C22" i="3" a="1"/>
  <c r="F22" i="3" a="1"/>
  <c r="C20" i="3" a="1"/>
  <c r="C21" i="3" a="1"/>
  <c r="F19" i="3" a="1"/>
  <c r="C18" i="3" a="1"/>
  <c r="C16" i="3" a="1"/>
  <c r="F15" i="3" a="1"/>
  <c r="F14" i="3" a="1"/>
  <c r="C12" i="3" a="1"/>
  <c r="C13" i="3" a="1"/>
  <c r="F11" i="3" a="1"/>
  <c r="C10" i="3" a="1"/>
  <c r="C8" i="3" a="1"/>
  <c r="F9" i="3" a="1"/>
  <c r="C9" i="3" a="1"/>
  <c r="C6" i="3" a="1"/>
  <c r="D6" i="5" a="1"/>
  <c r="D7" i="5" a="1"/>
  <c r="D8" i="5" a="1"/>
  <c r="D9" i="5" a="1"/>
  <c r="D10" i="5" a="1"/>
  <c r="D11" i="5" a="1"/>
  <c r="D12" i="5" a="1"/>
  <c r="D13" i="5" a="1"/>
  <c r="D15" i="5" a="1"/>
  <c r="C4" i="3" a="1"/>
  <c r="D39" i="5" a="1"/>
  <c r="D40" i="5" a="1"/>
  <c r="D41" i="5" a="1"/>
  <c r="D42" i="5" a="1"/>
  <c r="D43" i="5" a="1"/>
  <c r="D44" i="5" a="1"/>
  <c r="D45" i="5" a="1"/>
  <c r="D46" i="5" a="1"/>
  <c r="D47" i="5" a="1"/>
  <c r="D48" i="5" a="1"/>
  <c r="D49" i="5" a="1"/>
  <c r="D50" i="5" a="1"/>
  <c r="D51" i="5" a="1"/>
  <c r="D52" i="5" a="1"/>
  <c r="D53" i="5" a="1"/>
  <c r="D54" i="5" a="1"/>
  <c r="D55" i="5" a="1"/>
  <c r="D56" i="5" a="1"/>
  <c r="D57" i="5" a="1"/>
  <c r="D58" i="5" a="1"/>
  <c r="D59" i="5" a="1"/>
  <c r="D60" i="5" a="1"/>
  <c r="D61" i="5" a="1"/>
  <c r="D62" i="5" a="1"/>
  <c r="D63" i="5" a="1"/>
  <c r="D64" i="5" a="1"/>
  <c r="D65" i="5" a="1"/>
  <c r="D66" i="5" a="1"/>
  <c r="D67" i="5" a="1"/>
  <c r="D68" i="5" a="1"/>
  <c r="D69" i="5" a="1"/>
  <c r="D70" i="5" a="1"/>
  <c r="D38" i="5" a="1"/>
  <c r="D71" i="5" a="1"/>
  <c r="D72" i="5" a="1"/>
  <c r="F7" i="3" a="1"/>
  <c r="F33" i="3" a="1"/>
  <c r="C34" i="3" a="1"/>
  <c r="C31" i="3" a="1"/>
  <c r="F31" i="3" a="1"/>
  <c r="F30" i="3" a="1"/>
  <c r="C28" i="3" a="1"/>
  <c r="C27" i="3" a="1"/>
  <c r="F27" i="3" a="1"/>
  <c r="F26" i="3" a="1"/>
  <c r="F25" i="3" a="1"/>
  <c r="C23" i="3" a="1"/>
  <c r="F24" i="3" a="1"/>
  <c r="F20" i="3" a="1"/>
  <c r="F21" i="3" a="1"/>
  <c r="C19" i="3" a="1"/>
  <c r="F18" i="3" a="1"/>
  <c r="C17" i="3" a="1"/>
  <c r="F17" i="3" a="1"/>
  <c r="F16" i="3" a="1"/>
  <c r="C15" i="3" a="1"/>
  <c r="C14" i="3" a="1"/>
  <c r="F12" i="3" a="1"/>
  <c r="F13" i="3" a="1"/>
  <c r="F10" i="3" a="1"/>
  <c r="C11" i="3" a="1"/>
  <c r="F8" i="3" a="1"/>
  <c r="F6" i="3" a="1"/>
  <c r="F5" i="3" a="1"/>
  <c r="C7" i="3" a="1"/>
  <c r="C5" i="3" a="1"/>
  <c r="G6" i="5" a="1"/>
  <c r="G7" i="5" a="1"/>
  <c r="G8" i="5" a="1"/>
  <c r="G9" i="5" a="1"/>
  <c r="G10" i="5" a="1"/>
  <c r="G11" i="5" a="1"/>
  <c r="G12" i="5" a="1"/>
  <c r="G13" i="5" a="1"/>
  <c r="G14" i="5" a="1"/>
  <c r="G15" i="5" a="1"/>
  <c r="G16" i="5" a="1"/>
  <c r="G17" i="5" a="1"/>
  <c r="F4" i="3" a="1"/>
  <c r="G18" i="5" a="1"/>
  <c r="G19" i="5" a="1"/>
  <c r="G20" i="5" a="1"/>
  <c r="G21" i="5" a="1"/>
  <c r="G22" i="5" a="1"/>
  <c r="G23" i="5" a="1"/>
  <c r="G24" i="5" a="1"/>
  <c r="G25" i="5" a="1"/>
  <c r="G26" i="5" a="1"/>
  <c r="G27" i="5" a="1"/>
  <c r="G28" i="5" a="1"/>
  <c r="G29" i="5" a="1"/>
  <c r="G30" i="5" a="1"/>
  <c r="G31" i="5" a="1"/>
  <c r="G32" i="5" a="1"/>
  <c r="G33" i="5" a="1"/>
  <c r="G34" i="5" a="1"/>
  <c r="G35" i="5" a="1"/>
  <c r="G36" i="5" a="1"/>
  <c r="G37" i="5" a="1"/>
  <c r="G38" i="5" a="1"/>
  <c r="G39" i="5" a="1"/>
  <c r="G40" i="5" a="1"/>
  <c r="G41" i="5" a="1"/>
  <c r="G42" i="5" a="1"/>
  <c r="G43" i="5" a="1"/>
  <c r="G44" i="5" a="1"/>
  <c r="G45" i="5" a="1"/>
  <c r="G46" i="5" a="1"/>
  <c r="G47" i="5" a="1"/>
  <c r="G48" i="5" a="1"/>
  <c r="G49" i="5" a="1"/>
  <c r="G50" i="5" a="1"/>
  <c r="G51" i="5" a="1"/>
  <c r="G52" i="5" a="1"/>
  <c r="G53" i="5" a="1"/>
  <c r="G54" i="5" a="1"/>
  <c r="G55" i="5" a="1"/>
  <c r="G56" i="5" a="1"/>
  <c r="G57" i="5" a="1"/>
  <c r="G58" i="5" a="1"/>
  <c r="G59" i="5" a="1"/>
  <c r="G60" i="5" a="1"/>
  <c r="G61" i="5" a="1"/>
  <c r="G62" i="5" a="1"/>
  <c r="G63" i="5" a="1"/>
  <c r="G64" i="5" a="1"/>
  <c r="G65" i="5" a="1"/>
  <c r="G66" i="5" a="1"/>
  <c r="G67" i="5" a="1"/>
  <c r="G68" i="5" a="1"/>
  <c r="G69" i="5" a="1"/>
  <c r="G70" i="5" a="1"/>
  <c r="G71" i="5" a="1"/>
  <c r="G72" i="5" a="1"/>
  <c r="D37" i="5" a="1"/>
  <c r="L35" i="3"/>
  <c r="C35" i="3"/>
  <c r="D35" i="3"/>
  <c r="D35" i="5" a="1"/>
  <c r="C33" i="3"/>
  <c r="L33" i="3"/>
  <c r="D33" i="3"/>
  <c r="K34" i="3"/>
  <c r="G34" i="3"/>
  <c r="F34" i="3"/>
  <c r="H34" i="3" s="1"/>
  <c r="G32" i="3"/>
  <c r="K32" i="3"/>
  <c r="F32" i="3"/>
  <c r="H32" i="3" s="1"/>
  <c r="D34" i="5" a="1"/>
  <c r="D32" i="3"/>
  <c r="L32" i="3"/>
  <c r="C32" i="3"/>
  <c r="D32" i="5" a="1"/>
  <c r="L30" i="3"/>
  <c r="D30" i="3"/>
  <c r="C30" i="3"/>
  <c r="K29" i="3"/>
  <c r="G29" i="3"/>
  <c r="F29" i="3"/>
  <c r="H29" i="3" s="1"/>
  <c r="G28" i="3"/>
  <c r="K28" i="3"/>
  <c r="F28" i="3"/>
  <c r="H28" i="3" s="1"/>
  <c r="D31" i="5" a="1"/>
  <c r="D29" i="3"/>
  <c r="C29" i="3"/>
  <c r="L29" i="3"/>
  <c r="D28" i="5" a="1"/>
  <c r="D26" i="3"/>
  <c r="L26" i="3"/>
  <c r="C26" i="3"/>
  <c r="D27" i="5" a="1"/>
  <c r="C25" i="3"/>
  <c r="D25" i="3"/>
  <c r="L25" i="3"/>
  <c r="G23" i="3"/>
  <c r="K23" i="3"/>
  <c r="F23" i="3"/>
  <c r="H23" i="3" s="1"/>
  <c r="D26" i="5" a="1"/>
  <c r="D24" i="3"/>
  <c r="C24" i="3"/>
  <c r="L24" i="3"/>
  <c r="D24" i="5" a="1"/>
  <c r="D22" i="3"/>
  <c r="L22" i="3"/>
  <c r="C22" i="3"/>
  <c r="F22" i="3"/>
  <c r="K22" i="3"/>
  <c r="G22" i="3"/>
  <c r="D22" i="5" a="1"/>
  <c r="D20" i="3"/>
  <c r="L20" i="3"/>
  <c r="C20" i="3"/>
  <c r="D23" i="5" a="1"/>
  <c r="D23" i="5" s="1"/>
  <c r="L21" i="3"/>
  <c r="D21" i="3"/>
  <c r="C21" i="3"/>
  <c r="K19" i="3"/>
  <c r="G19" i="3"/>
  <c r="F19" i="3"/>
  <c r="D20" i="5" a="1"/>
  <c r="C18" i="3"/>
  <c r="L18" i="3"/>
  <c r="D18" i="3"/>
  <c r="D18" i="5" a="1"/>
  <c r="D16" i="3"/>
  <c r="L16" i="3"/>
  <c r="C16" i="3"/>
  <c r="F15" i="3"/>
  <c r="G15" i="3"/>
  <c r="K15" i="3"/>
  <c r="K14" i="3"/>
  <c r="G14" i="3"/>
  <c r="F14" i="3"/>
  <c r="H14" i="3" s="1"/>
  <c r="D14" i="5" a="1"/>
  <c r="C12" i="3"/>
  <c r="L12" i="3"/>
  <c r="D12" i="3"/>
  <c r="C13" i="3"/>
  <c r="D13" i="3"/>
  <c r="L13" i="3"/>
  <c r="F11" i="3"/>
  <c r="K11" i="3"/>
  <c r="G11" i="3"/>
  <c r="L10" i="3"/>
  <c r="C10" i="3"/>
  <c r="D10" i="3"/>
  <c r="C8" i="3"/>
  <c r="L8" i="3"/>
  <c r="D8" i="3"/>
  <c r="G9" i="3"/>
  <c r="K9" i="3"/>
  <c r="F9" i="3"/>
  <c r="H9" i="3" s="1"/>
  <c r="D9" i="3"/>
  <c r="L9" i="3"/>
  <c r="C9" i="3"/>
  <c r="L6" i="3"/>
  <c r="D6" i="3"/>
  <c r="C6" i="3"/>
  <c r="E6" i="5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D6" i="5"/>
  <c r="D7" i="5"/>
  <c r="D8" i="5"/>
  <c r="D9" i="5"/>
  <c r="D10" i="5"/>
  <c r="D11" i="5"/>
  <c r="D12" i="5"/>
  <c r="D13" i="5"/>
  <c r="D14" i="5"/>
  <c r="D15" i="5"/>
  <c r="L4" i="3"/>
  <c r="C4" i="3"/>
  <c r="D4" i="3"/>
  <c r="D18" i="5"/>
  <c r="D20" i="5"/>
  <c r="D22" i="5"/>
  <c r="D24" i="5"/>
  <c r="D26" i="5"/>
  <c r="D27" i="5"/>
  <c r="D28" i="5"/>
  <c r="D31" i="5"/>
  <c r="D32" i="5"/>
  <c r="D34" i="5"/>
  <c r="D35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F7" i="3"/>
  <c r="G7" i="3"/>
  <c r="K7" i="3"/>
  <c r="G35" i="3"/>
  <c r="K35" i="3"/>
  <c r="F35" i="3"/>
  <c r="H35" i="3" s="1"/>
  <c r="K33" i="3"/>
  <c r="F33" i="3"/>
  <c r="G33" i="3"/>
  <c r="D36" i="5" a="1"/>
  <c r="D36" i="5" s="1"/>
  <c r="L34" i="3"/>
  <c r="D34" i="3"/>
  <c r="C34" i="3"/>
  <c r="D33" i="5" a="1"/>
  <c r="D33" i="5" s="1"/>
  <c r="C31" i="3"/>
  <c r="L31" i="3"/>
  <c r="D31" i="3"/>
  <c r="K31" i="3"/>
  <c r="G31" i="3"/>
  <c r="F31" i="3"/>
  <c r="K30" i="3"/>
  <c r="G30" i="3"/>
  <c r="F30" i="3"/>
  <c r="D30" i="5" a="1"/>
  <c r="D30" i="5" s="1"/>
  <c r="L28" i="3"/>
  <c r="D28" i="3"/>
  <c r="C28" i="3"/>
  <c r="D29" i="5" a="1"/>
  <c r="D29" i="5" s="1"/>
  <c r="D27" i="3"/>
  <c r="L27" i="3"/>
  <c r="C27" i="3"/>
  <c r="G27" i="3"/>
  <c r="K27" i="3"/>
  <c r="F27" i="3"/>
  <c r="H27" i="3" s="1"/>
  <c r="K26" i="3"/>
  <c r="G26" i="3"/>
  <c r="F26" i="3"/>
  <c r="K25" i="3"/>
  <c r="G25" i="3"/>
  <c r="F25" i="3"/>
  <c r="D25" i="5" a="1"/>
  <c r="D25" i="5" s="1"/>
  <c r="C23" i="3"/>
  <c r="L23" i="3"/>
  <c r="D23" i="3"/>
  <c r="K24" i="3"/>
  <c r="G24" i="3"/>
  <c r="F24" i="3"/>
  <c r="K20" i="3"/>
  <c r="G20" i="3"/>
  <c r="F20" i="3"/>
  <c r="K21" i="3"/>
  <c r="G21" i="3"/>
  <c r="F21" i="3"/>
  <c r="D21" i="5" a="1"/>
  <c r="D21" i="5" s="1"/>
  <c r="D19" i="3"/>
  <c r="L19" i="3"/>
  <c r="C19" i="3"/>
  <c r="K18" i="3"/>
  <c r="G18" i="3"/>
  <c r="F18" i="3"/>
  <c r="D19" i="5" a="1"/>
  <c r="D19" i="5" s="1"/>
  <c r="D17" i="3"/>
  <c r="L17" i="3"/>
  <c r="C17" i="3"/>
  <c r="G17" i="3"/>
  <c r="K17" i="3"/>
  <c r="F17" i="3"/>
  <c r="H17" i="3" s="1"/>
  <c r="K16" i="3"/>
  <c r="G16" i="3"/>
  <c r="F16" i="3"/>
  <c r="D17" i="5" a="1"/>
  <c r="D17" i="5" s="1"/>
  <c r="C15" i="3"/>
  <c r="L15" i="3"/>
  <c r="D15" i="3"/>
  <c r="D16" i="5" a="1"/>
  <c r="D16" i="5" s="1"/>
  <c r="D14" i="3"/>
  <c r="L14" i="3"/>
  <c r="C14" i="3"/>
  <c r="G12" i="3"/>
  <c r="K12" i="3"/>
  <c r="F12" i="3"/>
  <c r="H12" i="3" s="1"/>
  <c r="K13" i="3"/>
  <c r="G13" i="3"/>
  <c r="F13" i="3"/>
  <c r="K10" i="3"/>
  <c r="F10" i="3"/>
  <c r="G10" i="3"/>
  <c r="D11" i="3"/>
  <c r="L11" i="3"/>
  <c r="C11" i="3"/>
  <c r="F8" i="3"/>
  <c r="K8" i="3"/>
  <c r="G8" i="3"/>
  <c r="K6" i="3"/>
  <c r="G6" i="3"/>
  <c r="F6" i="3"/>
  <c r="G5" i="3"/>
  <c r="K5" i="3"/>
  <c r="F5" i="3"/>
  <c r="H5" i="3" s="1"/>
  <c r="L7" i="3"/>
  <c r="D7" i="3"/>
  <c r="C7" i="3"/>
  <c r="C5" i="3"/>
  <c r="L5" i="3"/>
  <c r="D5" i="3"/>
  <c r="G6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G7" i="5"/>
  <c r="G8" i="5"/>
  <c r="G9" i="5"/>
  <c r="G10" i="5"/>
  <c r="G12" i="5"/>
  <c r="G11" i="5"/>
  <c r="G13" i="5"/>
  <c r="G14" i="5"/>
  <c r="G15" i="5"/>
  <c r="G16" i="5"/>
  <c r="G17" i="5"/>
  <c r="K4" i="3"/>
  <c r="G4" i="3"/>
  <c r="F4" i="3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J16" i="3" l="1"/>
  <c r="H4" i="3"/>
  <c r="H21" i="3"/>
  <c r="H24" i="3"/>
  <c r="H26" i="3"/>
  <c r="H30" i="3"/>
  <c r="H7" i="3"/>
  <c r="H19" i="3"/>
  <c r="J5" i="3"/>
  <c r="M5" i="3"/>
  <c r="N5" i="3"/>
  <c r="O5" i="3"/>
  <c r="P5" i="3"/>
  <c r="E5" i="3"/>
  <c r="I5" i="3"/>
  <c r="J7" i="3"/>
  <c r="N7" i="3"/>
  <c r="M7" i="3"/>
  <c r="P7" i="3"/>
  <c r="O7" i="3"/>
  <c r="H8" i="3"/>
  <c r="I19" i="3"/>
  <c r="E19" i="3"/>
  <c r="J19" i="3"/>
  <c r="N19" i="3"/>
  <c r="M19" i="3"/>
  <c r="P19" i="3"/>
  <c r="O19" i="3"/>
  <c r="E27" i="3"/>
  <c r="I27" i="3"/>
  <c r="J27" i="3"/>
  <c r="N27" i="3"/>
  <c r="M27" i="3"/>
  <c r="P27" i="3"/>
  <c r="O27" i="3"/>
  <c r="E28" i="3"/>
  <c r="I28" i="3"/>
  <c r="J31" i="3"/>
  <c r="N31" i="3"/>
  <c r="M31" i="3"/>
  <c r="P31" i="3"/>
  <c r="O31" i="3"/>
  <c r="I31" i="3"/>
  <c r="E31" i="3"/>
  <c r="I34" i="3"/>
  <c r="E34" i="3"/>
  <c r="J4" i="3"/>
  <c r="N4" i="3"/>
  <c r="M4" i="3"/>
  <c r="P4" i="3"/>
  <c r="O4" i="3"/>
  <c r="J6" i="3"/>
  <c r="N6" i="3"/>
  <c r="M6" i="3"/>
  <c r="P6" i="3"/>
  <c r="O6" i="3"/>
  <c r="E9" i="3"/>
  <c r="I9" i="3"/>
  <c r="J9" i="3"/>
  <c r="N9" i="3"/>
  <c r="M9" i="3"/>
  <c r="P9" i="3"/>
  <c r="O9" i="3"/>
  <c r="J8" i="3"/>
  <c r="P8" i="3"/>
  <c r="M8" i="3"/>
  <c r="O8" i="3"/>
  <c r="N8" i="3"/>
  <c r="E8" i="3"/>
  <c r="I8" i="3"/>
  <c r="E10" i="3"/>
  <c r="I10" i="3"/>
  <c r="H11" i="3"/>
  <c r="I13" i="3"/>
  <c r="E13" i="3"/>
  <c r="H15" i="3"/>
  <c r="I21" i="3"/>
  <c r="E21" i="3"/>
  <c r="I20" i="3"/>
  <c r="E20" i="3"/>
  <c r="J20" i="3"/>
  <c r="N20" i="3"/>
  <c r="M20" i="3"/>
  <c r="P20" i="3"/>
  <c r="O20" i="3"/>
  <c r="H22" i="3"/>
  <c r="E24" i="3"/>
  <c r="I24" i="3"/>
  <c r="I25" i="3"/>
  <c r="E25" i="3"/>
  <c r="E26" i="3"/>
  <c r="I26" i="3"/>
  <c r="J26" i="3"/>
  <c r="N26" i="3"/>
  <c r="M26" i="3"/>
  <c r="P26" i="3"/>
  <c r="O26" i="3"/>
  <c r="J29" i="3"/>
  <c r="N29" i="3"/>
  <c r="M29" i="3"/>
  <c r="P29" i="3"/>
  <c r="O29" i="3"/>
  <c r="I30" i="3"/>
  <c r="E30" i="3"/>
  <c r="E32" i="3"/>
  <c r="I32" i="3"/>
  <c r="J32" i="3"/>
  <c r="M32" i="3"/>
  <c r="N32" i="3"/>
  <c r="O32" i="3"/>
  <c r="P32" i="3"/>
  <c r="J33" i="3"/>
  <c r="N33" i="3"/>
  <c r="M33" i="3"/>
  <c r="P33" i="3"/>
  <c r="O33" i="3"/>
  <c r="I33" i="3"/>
  <c r="E33" i="3"/>
  <c r="J35" i="3"/>
  <c r="N35" i="3"/>
  <c r="M35" i="3"/>
  <c r="P35" i="3"/>
  <c r="O35" i="3"/>
  <c r="E7" i="3"/>
  <c r="I7" i="3"/>
  <c r="H6" i="3"/>
  <c r="E11" i="3"/>
  <c r="I11" i="3"/>
  <c r="J11" i="3"/>
  <c r="N11" i="3"/>
  <c r="M11" i="3"/>
  <c r="P11" i="3"/>
  <c r="O11" i="3"/>
  <c r="H10" i="3"/>
  <c r="H13" i="3"/>
  <c r="E14" i="3"/>
  <c r="I14" i="3"/>
  <c r="J14" i="3"/>
  <c r="N14" i="3"/>
  <c r="M14" i="3"/>
  <c r="O14" i="3"/>
  <c r="P14" i="3"/>
  <c r="J15" i="3"/>
  <c r="M15" i="3"/>
  <c r="N15" i="3"/>
  <c r="O15" i="3"/>
  <c r="P15" i="3"/>
  <c r="I15" i="3"/>
  <c r="E15" i="3"/>
  <c r="H16" i="3"/>
  <c r="I17" i="3"/>
  <c r="E17" i="3"/>
  <c r="J17" i="3"/>
  <c r="N17" i="3"/>
  <c r="M17" i="3"/>
  <c r="P17" i="3"/>
  <c r="O17" i="3"/>
  <c r="H18" i="3"/>
  <c r="H20" i="3"/>
  <c r="J23" i="3"/>
  <c r="N23" i="3"/>
  <c r="M23" i="3"/>
  <c r="P23" i="3"/>
  <c r="O23" i="3"/>
  <c r="E23" i="3"/>
  <c r="I23" i="3"/>
  <c r="H25" i="3"/>
  <c r="J28" i="3"/>
  <c r="N28" i="3"/>
  <c r="M28" i="3"/>
  <c r="P28" i="3"/>
  <c r="O28" i="3"/>
  <c r="H31" i="3"/>
  <c r="J34" i="3"/>
  <c r="M34" i="3"/>
  <c r="N34" i="3"/>
  <c r="O34" i="3"/>
  <c r="P34" i="3"/>
  <c r="H33" i="3"/>
  <c r="E4" i="3"/>
  <c r="I4" i="3"/>
  <c r="I6" i="3"/>
  <c r="E6" i="3"/>
  <c r="J10" i="3"/>
  <c r="M10" i="3"/>
  <c r="N10" i="3"/>
  <c r="O10" i="3"/>
  <c r="P10" i="3"/>
  <c r="J13" i="3"/>
  <c r="M13" i="3"/>
  <c r="N13" i="3"/>
  <c r="O13" i="3"/>
  <c r="P13" i="3"/>
  <c r="J12" i="3"/>
  <c r="M12" i="3"/>
  <c r="N12" i="3"/>
  <c r="O12" i="3"/>
  <c r="P12" i="3"/>
  <c r="I12" i="3"/>
  <c r="E12" i="3"/>
  <c r="E16" i="3"/>
  <c r="I16" i="3"/>
  <c r="M16" i="3"/>
  <c r="N16" i="3"/>
  <c r="O16" i="3"/>
  <c r="P16" i="3"/>
  <c r="J18" i="3"/>
  <c r="P18" i="3"/>
  <c r="M18" i="3"/>
  <c r="O18" i="3"/>
  <c r="N18" i="3"/>
  <c r="E18" i="3"/>
  <c r="I18" i="3"/>
  <c r="J21" i="3"/>
  <c r="N21" i="3"/>
  <c r="M21" i="3"/>
  <c r="P21" i="3"/>
  <c r="O21" i="3"/>
  <c r="E22" i="3"/>
  <c r="I22" i="3"/>
  <c r="J22" i="3"/>
  <c r="M22" i="3"/>
  <c r="N22" i="3"/>
  <c r="P22" i="3"/>
  <c r="O22" i="3"/>
  <c r="J24" i="3"/>
  <c r="N24" i="3"/>
  <c r="M24" i="3"/>
  <c r="P24" i="3"/>
  <c r="O24" i="3"/>
  <c r="J25" i="3"/>
  <c r="N25" i="3"/>
  <c r="M25" i="3"/>
  <c r="P25" i="3"/>
  <c r="O25" i="3"/>
  <c r="I29" i="3"/>
  <c r="E29" i="3"/>
  <c r="J30" i="3"/>
  <c r="N30" i="3"/>
  <c r="M30" i="3"/>
  <c r="O30" i="3"/>
  <c r="P30" i="3"/>
  <c r="E35" i="3"/>
  <c r="I35" i="3"/>
  <c r="L12" i="5" a="1"/>
  <c r="M11" i="5" a="1"/>
  <c r="L11" i="5" a="1"/>
  <c r="L13" i="5" a="1"/>
  <c r="M17" i="5"/>
  <c r="L17" i="5"/>
  <c r="M18" i="5"/>
  <c r="L18" i="5"/>
  <c r="M16" i="5"/>
  <c r="M12" i="5" a="1"/>
  <c r="M13" i="5" a="1"/>
  <c r="L16" i="5"/>
  <c r="Q6" i="5" l="1"/>
  <c r="R6" i="5" s="1"/>
  <c r="P7" i="5"/>
  <c r="K58" i="5"/>
  <c r="A60" i="4" s="1"/>
  <c r="K47" i="5"/>
  <c r="M26" i="5"/>
  <c r="M71" i="5"/>
  <c r="K71" i="5" s="1"/>
  <c r="L71" i="5" s="1"/>
  <c r="M66" i="5"/>
  <c r="K66" i="5" s="1"/>
  <c r="L66" i="5" s="1"/>
  <c r="M23" i="5"/>
  <c r="M24" i="5" s="1"/>
  <c r="M25" i="5"/>
  <c r="M21" i="5"/>
  <c r="M68" i="5"/>
  <c r="K68" i="5" s="1"/>
  <c r="L68" i="5" s="1"/>
  <c r="M14" i="5" a="1"/>
  <c r="M14" i="5" s="1"/>
  <c r="M19" i="5"/>
  <c r="M43" i="5"/>
  <c r="M65" i="5"/>
  <c r="K65" i="5" s="1"/>
  <c r="L65" i="5" s="1"/>
  <c r="M31" i="5"/>
  <c r="M70" i="5"/>
  <c r="K70" i="5" s="1"/>
  <c r="L70" i="5" s="1"/>
  <c r="M67" i="5"/>
  <c r="K67" i="5" s="1"/>
  <c r="L67" i="5" s="1"/>
  <c r="M28" i="5"/>
  <c r="M32" i="5"/>
  <c r="M30" i="5" a="1"/>
  <c r="M30" i="5" s="1"/>
  <c r="M29" i="5" s="1"/>
  <c r="M42" i="5"/>
  <c r="M63" i="5"/>
  <c r="K63" i="5" s="1"/>
  <c r="L63" i="5" s="1"/>
  <c r="M69" i="5"/>
  <c r="K69" i="5" s="1"/>
  <c r="L69" i="5" s="1"/>
  <c r="M64" i="5"/>
  <c r="K64" i="5" s="1"/>
  <c r="L64" i="5" s="1"/>
  <c r="M62" i="5"/>
  <c r="K62" i="5" s="1"/>
  <c r="L62" i="5" s="1"/>
  <c r="M22" i="5"/>
  <c r="M5" i="5"/>
  <c r="M6" i="5"/>
  <c r="L11" i="5"/>
  <c r="L12" i="5"/>
  <c r="L13" i="5"/>
  <c r="M13" i="5"/>
  <c r="M12" i="5"/>
  <c r="M11" i="5"/>
  <c r="L93" i="5"/>
  <c r="K93" i="5" s="1"/>
  <c r="M93" i="5" s="1"/>
  <c r="L23" i="5"/>
  <c r="L24" i="5" s="1"/>
  <c r="L84" i="5"/>
  <c r="K84" i="5" s="1"/>
  <c r="M84" i="5" s="1"/>
  <c r="L5" i="5"/>
  <c r="L91" i="5"/>
  <c r="K91" i="5" s="1"/>
  <c r="M91" i="5" s="1"/>
  <c r="L25" i="5"/>
  <c r="L89" i="5"/>
  <c r="K89" i="5" s="1"/>
  <c r="M89" i="5" s="1"/>
  <c r="L43" i="5"/>
  <c r="L78" i="5"/>
  <c r="K78" i="5" s="1"/>
  <c r="M78" i="5" s="1"/>
  <c r="L19" i="5"/>
  <c r="L76" i="5"/>
  <c r="K76" i="5" s="1"/>
  <c r="M76" i="5" s="1"/>
  <c r="L92" i="5"/>
  <c r="K92" i="5" s="1"/>
  <c r="M92" i="5" s="1"/>
  <c r="L28" i="5"/>
  <c r="L75" i="5"/>
  <c r="K75" i="5" s="1"/>
  <c r="M75" i="5" s="1"/>
  <c r="L32" i="5"/>
  <c r="L88" i="5"/>
  <c r="K88" i="5" s="1"/>
  <c r="M88" i="5" s="1"/>
  <c r="L80" i="5"/>
  <c r="K80" i="5" s="1"/>
  <c r="M80" i="5" s="1"/>
  <c r="L94" i="5"/>
  <c r="K94" i="5" s="1"/>
  <c r="M94" i="5" s="1"/>
  <c r="L22" i="5"/>
  <c r="L39" i="5" s="1"/>
  <c r="L82" i="5"/>
  <c r="K82" i="5" s="1"/>
  <c r="M82" i="5" s="1"/>
  <c r="L81" i="5"/>
  <c r="K81" i="5" s="1"/>
  <c r="M81" i="5" s="1"/>
  <c r="L31" i="5"/>
  <c r="L97" i="5"/>
  <c r="K97" i="5" s="1"/>
  <c r="M97" i="5" s="1"/>
  <c r="L83" i="5"/>
  <c r="K83" i="5" s="1"/>
  <c r="M83" i="5" s="1"/>
  <c r="L14" i="5" a="1"/>
  <c r="L14" i="5" s="1"/>
  <c r="L96" i="5"/>
  <c r="K96" i="5" s="1"/>
  <c r="M96" i="5" s="1"/>
  <c r="L77" i="5"/>
  <c r="K77" i="5" s="1"/>
  <c r="M77" i="5" s="1"/>
  <c r="L21" i="5"/>
  <c r="L38" i="5" s="1"/>
  <c r="L42" i="5"/>
  <c r="L79" i="5"/>
  <c r="K79" i="5" s="1"/>
  <c r="M79" i="5" s="1"/>
  <c r="L6" i="5"/>
  <c r="L95" i="5"/>
  <c r="K95" i="5" s="1"/>
  <c r="M95" i="5" s="1"/>
  <c r="L30" i="5" a="1"/>
  <c r="L30" i="5" s="1"/>
  <c r="L29" i="5" s="1"/>
  <c r="L37" i="5" a="1"/>
  <c r="L37" i="5" s="1"/>
  <c r="L90" i="5"/>
  <c r="K90" i="5" s="1"/>
  <c r="M90" i="5" s="1"/>
  <c r="L26" i="5"/>
  <c r="Q7" i="5" l="1"/>
  <c r="R7" i="5" s="1"/>
  <c r="P8" i="5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B59" i="4" s="1"/>
  <c r="K48" i="5"/>
  <c r="M27" i="5"/>
  <c r="M33" i="5"/>
  <c r="M34" i="5" s="1"/>
  <c r="L33" i="5"/>
  <c r="L34" i="5" s="1"/>
  <c r="B60" i="4"/>
  <c r="L27" i="5"/>
  <c r="B7" i="4" l="1"/>
  <c r="P9" i="5"/>
  <c r="Q8" i="5"/>
  <c r="R8" i="5" s="1"/>
  <c r="B26" i="4"/>
  <c r="B36" i="4"/>
  <c r="B14" i="4"/>
  <c r="B4" i="4"/>
  <c r="B15" i="4"/>
  <c r="B12" i="4"/>
  <c r="B22" i="4"/>
  <c r="B6" i="4"/>
  <c r="B11" i="4"/>
  <c r="B3" i="4"/>
  <c r="B2" i="4"/>
  <c r="B20" i="4"/>
  <c r="B23" i="4"/>
  <c r="B46" i="4"/>
  <c r="B28" i="4"/>
  <c r="B34" i="4"/>
  <c r="B55" i="4"/>
  <c r="B19" i="4"/>
  <c r="B16" i="4"/>
  <c r="B10" i="4"/>
  <c r="B39" i="4"/>
  <c r="B44" i="4"/>
  <c r="B50" i="4"/>
  <c r="B47" i="4"/>
  <c r="B31" i="4"/>
  <c r="B40" i="4"/>
  <c r="B17" i="4"/>
  <c r="B52" i="4"/>
  <c r="B51" i="4"/>
  <c r="B43" i="4"/>
  <c r="B35" i="4"/>
  <c r="B27" i="4"/>
  <c r="B38" i="4"/>
  <c r="B24" i="4"/>
  <c r="B8" i="4"/>
  <c r="B30" i="4"/>
  <c r="B25" i="4"/>
  <c r="B9" i="4"/>
  <c r="B48" i="4"/>
  <c r="B32" i="4"/>
  <c r="B18" i="4"/>
  <c r="B33" i="4"/>
  <c r="B21" i="4"/>
  <c r="B13" i="4"/>
  <c r="B5" i="4"/>
  <c r="B54" i="4"/>
  <c r="B56" i="4"/>
  <c r="B42" i="4"/>
  <c r="B57" i="4"/>
  <c r="B29" i="4"/>
  <c r="B41" i="4"/>
  <c r="B49" i="4"/>
  <c r="B37" i="4"/>
  <c r="B58" i="4"/>
  <c r="B53" i="4"/>
  <c r="B45" i="4"/>
  <c r="K49" i="5"/>
  <c r="K50" i="5" s="1"/>
  <c r="K51" i="5" s="1"/>
  <c r="K52" i="5" s="1"/>
  <c r="K53" i="5" s="1"/>
  <c r="K54" i="5" s="1"/>
  <c r="K55" i="5" s="1"/>
  <c r="K56" i="5" s="1"/>
  <c r="K57" i="5" s="1"/>
  <c r="P10" i="5" l="1"/>
  <c r="Q9" i="5"/>
  <c r="R9" i="5" s="1"/>
  <c r="L47" i="5" a="1"/>
  <c r="L53" i="5" s="1"/>
  <c r="P11" i="5" l="1"/>
  <c r="Q10" i="5"/>
  <c r="R10" i="5" s="1"/>
  <c r="L47" i="5"/>
  <c r="L54" i="5"/>
  <c r="L57" i="5"/>
  <c r="L51" i="5"/>
  <c r="L58" i="5"/>
  <c r="L48" i="5"/>
  <c r="L52" i="5"/>
  <c r="L55" i="5"/>
  <c r="L49" i="5"/>
  <c r="L56" i="5"/>
  <c r="L50" i="5"/>
  <c r="P12" i="5" l="1"/>
  <c r="Q11" i="5"/>
  <c r="R11" i="5" s="1"/>
  <c r="M50" i="5"/>
  <c r="M53" i="5"/>
  <c r="M58" i="5"/>
  <c r="M51" i="5"/>
  <c r="M55" i="5"/>
  <c r="M49" i="5"/>
  <c r="M52" i="5"/>
  <c r="M57" i="5"/>
  <c r="M56" i="5"/>
  <c r="M47" i="5"/>
  <c r="M48" i="5"/>
  <c r="M54" i="5"/>
  <c r="P13" i="5" l="1"/>
  <c r="Q12" i="5"/>
  <c r="R12" i="5" s="1"/>
  <c r="P14" i="5" l="1"/>
  <c r="Q13" i="5"/>
  <c r="R13" i="5" s="1"/>
  <c r="P15" i="5" l="1"/>
  <c r="Q14" i="5"/>
  <c r="R14" i="5" s="1"/>
  <c r="P16" i="5" l="1"/>
  <c r="Q15" i="5"/>
  <c r="R15" i="5" s="1"/>
  <c r="P17" i="5" l="1"/>
  <c r="Q16" i="5"/>
  <c r="R16" i="5" s="1"/>
  <c r="P18" i="5" l="1"/>
  <c r="Q17" i="5"/>
  <c r="R17" i="5" s="1"/>
  <c r="P19" i="5" l="1"/>
  <c r="Q18" i="5"/>
  <c r="R18" i="5" s="1"/>
  <c r="P20" i="5" l="1"/>
  <c r="Q19" i="5"/>
  <c r="R19" i="5" s="1"/>
  <c r="P21" i="5" l="1"/>
  <c r="Q20" i="5"/>
  <c r="R20" i="5" s="1"/>
  <c r="P22" i="5" l="1"/>
  <c r="Q21" i="5"/>
  <c r="R21" i="5" s="1"/>
  <c r="P23" i="5" l="1"/>
  <c r="Q22" i="5"/>
  <c r="R22" i="5" s="1"/>
  <c r="P24" i="5" l="1"/>
  <c r="Q23" i="5"/>
  <c r="R23" i="5" s="1"/>
  <c r="P25" i="5" l="1"/>
  <c r="Q24" i="5"/>
  <c r="R24" i="5" s="1"/>
  <c r="P26" i="5" l="1"/>
  <c r="Q25" i="5"/>
  <c r="R25" i="5" s="1"/>
  <c r="P27" i="5" l="1"/>
  <c r="Q26" i="5"/>
  <c r="R26" i="5" s="1"/>
  <c r="P28" i="5" l="1"/>
  <c r="Q27" i="5"/>
  <c r="R27" i="5" s="1"/>
  <c r="P29" i="5" l="1"/>
  <c r="Q28" i="5"/>
  <c r="R28" i="5" s="1"/>
  <c r="P30" i="5" l="1"/>
  <c r="Q29" i="5"/>
  <c r="R29" i="5" s="1"/>
  <c r="P31" i="5" l="1"/>
  <c r="Q30" i="5"/>
  <c r="R30" i="5" s="1"/>
  <c r="P32" i="5" l="1"/>
  <c r="Q31" i="5"/>
  <c r="R31" i="5" s="1"/>
  <c r="P33" i="5" l="1"/>
  <c r="Q32" i="5"/>
  <c r="R32" i="5" s="1"/>
  <c r="P34" i="5" l="1"/>
  <c r="Q33" i="5"/>
  <c r="R33" i="5" s="1"/>
  <c r="P35" i="5" l="1"/>
  <c r="Q34" i="5"/>
  <c r="R34" i="5" s="1"/>
  <c r="P36" i="5" l="1"/>
  <c r="Q35" i="5"/>
  <c r="R35" i="5" s="1"/>
  <c r="P37" i="5" l="1"/>
  <c r="Q36" i="5"/>
  <c r="R36" i="5" s="1"/>
  <c r="P38" i="5" l="1"/>
  <c r="Q37" i="5"/>
  <c r="R37" i="5" s="1"/>
  <c r="P39" i="5" l="1"/>
  <c r="Q38" i="5"/>
  <c r="R38" i="5" s="1"/>
  <c r="P40" i="5" l="1"/>
  <c r="Q39" i="5"/>
  <c r="R39" i="5" s="1"/>
  <c r="P41" i="5" l="1"/>
  <c r="Q40" i="5"/>
  <c r="R40" i="5" s="1"/>
  <c r="P42" i="5" l="1"/>
  <c r="Q41" i="5"/>
  <c r="R41" i="5" s="1"/>
  <c r="P43" i="5" l="1"/>
  <c r="Q42" i="5"/>
  <c r="R42" i="5" s="1"/>
  <c r="P44" i="5" l="1"/>
  <c r="Q43" i="5"/>
  <c r="R43" i="5" s="1"/>
  <c r="P45" i="5" l="1"/>
  <c r="Q44" i="5"/>
  <c r="R44" i="5" s="1"/>
  <c r="P46" i="5" l="1"/>
  <c r="Q45" i="5"/>
  <c r="R45" i="5" s="1"/>
  <c r="P47" i="5" l="1"/>
  <c r="Q46" i="5"/>
  <c r="R46" i="5" s="1"/>
  <c r="P48" i="5" l="1"/>
  <c r="Q47" i="5"/>
  <c r="R47" i="5" s="1"/>
  <c r="P49" i="5" l="1"/>
  <c r="Q48" i="5"/>
  <c r="R48" i="5" s="1"/>
  <c r="P50" i="5" l="1"/>
  <c r="Q49" i="5"/>
  <c r="R49" i="5" s="1"/>
  <c r="P51" i="5" l="1"/>
  <c r="Q50" i="5"/>
  <c r="R50" i="5" s="1"/>
  <c r="P52" i="5" l="1"/>
  <c r="Q51" i="5"/>
  <c r="R51" i="5" s="1"/>
  <c r="P53" i="5" l="1"/>
  <c r="Q52" i="5"/>
  <c r="R52" i="5" s="1"/>
  <c r="P54" i="5" l="1"/>
  <c r="Q53" i="5"/>
  <c r="R53" i="5" s="1"/>
  <c r="P55" i="5" l="1"/>
  <c r="Q54" i="5"/>
  <c r="R54" i="5" s="1"/>
  <c r="P56" i="5" l="1"/>
  <c r="Q55" i="5"/>
  <c r="R55" i="5" s="1"/>
  <c r="P57" i="5" l="1"/>
  <c r="Q56" i="5"/>
  <c r="R56" i="5" s="1"/>
  <c r="P58" i="5" l="1"/>
  <c r="Q57" i="5"/>
  <c r="R57" i="5" s="1"/>
  <c r="P59" i="5" l="1"/>
  <c r="Q58" i="5"/>
  <c r="R58" i="5" s="1"/>
  <c r="P60" i="5" l="1"/>
  <c r="Q59" i="5"/>
  <c r="R59" i="5" s="1"/>
  <c r="P61" i="5" l="1"/>
  <c r="Q60" i="5"/>
  <c r="R60" i="5" s="1"/>
  <c r="P62" i="5" l="1"/>
  <c r="Q61" i="5"/>
  <c r="R61" i="5" s="1"/>
  <c r="P63" i="5" l="1"/>
  <c r="Q62" i="5"/>
  <c r="R62" i="5" s="1"/>
  <c r="P64" i="5" l="1"/>
  <c r="Q63" i="5"/>
  <c r="R63" i="5" s="1"/>
  <c r="P65" i="5" l="1"/>
  <c r="Q64" i="5"/>
  <c r="R64" i="5" s="1"/>
  <c r="P66" i="5" l="1"/>
  <c r="Q65" i="5"/>
  <c r="R65" i="5" s="1"/>
  <c r="P67" i="5" l="1"/>
  <c r="Q66" i="5"/>
  <c r="R66" i="5" s="1"/>
  <c r="P68" i="5" l="1"/>
  <c r="Q67" i="5"/>
  <c r="R67" i="5" s="1"/>
  <c r="P69" i="5" l="1"/>
  <c r="Q68" i="5"/>
  <c r="R68" i="5" s="1"/>
  <c r="P70" i="5" l="1"/>
  <c r="Q69" i="5"/>
  <c r="R69" i="5" s="1"/>
  <c r="P71" i="5" l="1"/>
  <c r="Q70" i="5"/>
  <c r="R70" i="5" s="1"/>
  <c r="P72" i="5" l="1"/>
  <c r="Q71" i="5"/>
  <c r="R71" i="5" s="1"/>
  <c r="P73" i="5" l="1"/>
  <c r="Q72" i="5"/>
  <c r="R72" i="5" s="1"/>
  <c r="P74" i="5" l="1"/>
  <c r="P75" i="5" l="1"/>
  <c r="P76" i="5" l="1"/>
  <c r="P77" i="5" l="1"/>
  <c r="P78" i="5" l="1"/>
  <c r="P79" i="5" l="1"/>
  <c r="P80" i="5" l="1"/>
  <c r="P81" i="5" l="1"/>
  <c r="P82" i="5" l="1"/>
  <c r="P83" i="5" l="1"/>
  <c r="P84" i="5" l="1"/>
  <c r="P85" i="5" l="1"/>
  <c r="P86" i="5" l="1"/>
  <c r="P87" i="5" l="1"/>
  <c r="P88" i="5" l="1"/>
  <c r="P89" i="5" l="1"/>
  <c r="P90" i="5" l="1"/>
  <c r="P91" i="5" l="1"/>
  <c r="P92" i="5" l="1"/>
  <c r="P93" i="5" l="1"/>
  <c r="P94" i="5" l="1"/>
  <c r="P95" i="5" l="1"/>
  <c r="P96" i="5" l="1"/>
  <c r="P97" i="5" l="1"/>
  <c r="P98" i="5" l="1"/>
  <c r="P99" i="5" l="1"/>
  <c r="P100" i="5" l="1"/>
  <c r="P101" i="5" l="1"/>
  <c r="P102" i="5" l="1"/>
  <c r="P103" i="5" l="1"/>
</calcChain>
</file>

<file path=xl/sharedStrings.xml><?xml version="1.0" encoding="utf-8"?>
<sst xmlns="http://schemas.openxmlformats.org/spreadsheetml/2006/main" count="73" uniqueCount="62">
  <si>
    <t>Total</t>
  </si>
  <si>
    <t>Monthly returns</t>
  </si>
  <si>
    <t>Cum. returns</t>
  </si>
  <si>
    <t>Drawdown</t>
  </si>
  <si>
    <t>Average return</t>
  </si>
  <si>
    <t>Std</t>
  </si>
  <si>
    <t>Confidence level</t>
  </si>
  <si>
    <t>z-value</t>
  </si>
  <si>
    <t>Return last 1 year</t>
  </si>
  <si>
    <t>Ann Return last 3 years</t>
  </si>
  <si>
    <t>Ann Return last 5 years</t>
  </si>
  <si>
    <t>Ann Return in time window</t>
  </si>
  <si>
    <t>Ann Vol last 1 year</t>
  </si>
  <si>
    <t>Ann Vol last 3 years</t>
  </si>
  <si>
    <t>Ann Vol last 5 years</t>
  </si>
  <si>
    <t>Ann Vol in time window</t>
  </si>
  <si>
    <t>Up months %</t>
  </si>
  <si>
    <t>Down months %</t>
  </si>
  <si>
    <t>Max monthly loss</t>
  </si>
  <si>
    <t>Max drawdown</t>
  </si>
  <si>
    <t>Date of Max drawdown</t>
  </si>
  <si>
    <t xml:space="preserve">Sharpe ratio </t>
  </si>
  <si>
    <t>sortino ratio</t>
  </si>
  <si>
    <t>downside deviation</t>
  </si>
  <si>
    <t>skewness</t>
  </si>
  <si>
    <t>Excess kurtosis</t>
  </si>
  <si>
    <t>Modified monthly VaR 99%</t>
  </si>
  <si>
    <t>Conditional montly VaR 99%</t>
  </si>
  <si>
    <t>Annualized alpha</t>
  </si>
  <si>
    <t>Beta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</si>
  <si>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</si>
  <si>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Average monthly return during negative</t>
  </si>
  <si>
    <t>Average monthly return during postive</t>
  </si>
  <si>
    <t>Histogram Bin</t>
  </si>
  <si>
    <t>Frequency</t>
  </si>
  <si>
    <t>Percentage</t>
  </si>
  <si>
    <t>TB3MS</t>
  </si>
  <si>
    <t>Monthly</t>
  </si>
  <si>
    <t>Norm pdf</t>
  </si>
  <si>
    <t>10 worst months</t>
  </si>
  <si>
    <t>10 best months</t>
  </si>
  <si>
    <t>Spread</t>
  </si>
  <si>
    <t>Correlation</t>
  </si>
  <si>
    <t>Vol Envelope</t>
  </si>
  <si>
    <t>Return</t>
  </si>
  <si>
    <t>Ann Vol</t>
  </si>
  <si>
    <t>Return/Vol</t>
  </si>
  <si>
    <t>SI+Vol</t>
  </si>
  <si>
    <t>SI-Vol</t>
  </si>
  <si>
    <t>SI+2Vol</t>
  </si>
  <si>
    <t>SI-2Vol</t>
  </si>
  <si>
    <t>10 Biggest Market Declines</t>
  </si>
  <si>
    <t>Risk-free</t>
  </si>
  <si>
    <t>Start Date</t>
  </si>
  <si>
    <t>End Date</t>
  </si>
  <si>
    <t>Annualized</t>
  </si>
  <si>
    <t>Inception</t>
  </si>
  <si>
    <t>Current</t>
  </si>
  <si>
    <t>SI Return</t>
  </si>
  <si>
    <t>Sorting</t>
  </si>
  <si>
    <t>Prudence Enhanced Income</t>
  </si>
  <si>
    <t>JPEIJACC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</si>
</sst>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%"/>
    <numFmt numFmtId="166" formatCode="0.000%"/>
    <numFmt numFmtId="167" formatCode="[$-409]mmm\-yy;@"/>
    <numFmt numFmtId="168" formatCode="#,##0.00%"/>
    <numFmt numFmtId="169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139">
    <xf numFmtId="0" fontId="0" fillId="0" borderId="0" xfId="0"/>
    <xf numFmtId="17" fontId="0" fillId="0" borderId="0" xfId="0" applyNumberFormat="1"/>
    <xf numFmtId="0" fontId="0" fillId="0" borderId="2" xfId="0" applyFont="1" applyBorder="1"/>
    <xf numFmtId="0" fontId="0" fillId="0" borderId="3" xfId="0" applyFont="1" applyBorder="1"/>
    <xf numFmtId="165" fontId="0" fillId="0" borderId="0" xfId="0" applyNumberFormat="1"/>
    <xf numFmtId="0" fontId="0" fillId="0" borderId="0" xfId="0"/>
    <xf numFmtId="0" fontId="2" fillId="0" borderId="0" xfId="0" applyFont="1"/>
    <xf numFmtId="10" fontId="2" fillId="0" borderId="0" xfId="1" applyNumberFormat="1" applyFont="1"/>
    <xf numFmtId="10" fontId="0" fillId="0" borderId="0" xfId="1" applyNumberFormat="1" applyFont="1"/>
    <xf numFmtId="10" fontId="2" fillId="0" borderId="0" xfId="0" applyNumberFormat="1" applyFont="1"/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0" fontId="0" fillId="0" borderId="0" xfId="0"/>
    <xf numFmtId="0" fontId="0" fillId="0" borderId="0" xfId="0"/>
    <xf numFmtId="165" fontId="0" fillId="0" borderId="0" xfId="1" applyNumberFormat="1" applyFont="1"/>
    <xf numFmtId="17" fontId="0" fillId="0" borderId="0" xfId="0" applyNumberFormat="1"/>
    <xf numFmtId="10" fontId="0" fillId="0" borderId="0" xfId="1" applyNumberFormat="1" applyFont="1"/>
    <xf numFmtId="167" fontId="0" fillId="0" borderId="0" xfId="0" applyNumberFormat="1"/>
    <xf numFmtId="10" fontId="0" fillId="0" borderId="0" xfId="0" applyNumberFormat="1"/>
    <xf numFmtId="164" fontId="0" fillId="0" borderId="0" xfId="0" applyNumberFormat="1"/>
    <xf numFmtId="10" fontId="0" fillId="0" borderId="0" xfId="1" applyNumberFormat="1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10" fontId="0" fillId="0" borderId="0" xfId="1" applyNumberFormat="1" applyFont="1"/>
    <xf numFmtId="167" fontId="0" fillId="0" borderId="0" xfId="0" applyNumberFormat="1"/>
    <xf numFmtId="0" fontId="2" fillId="0" borderId="4" xfId="0" applyFont="1" applyBorder="1"/>
    <xf numFmtId="0" fontId="0" fillId="0" borderId="1" xfId="0" applyBorder="1"/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0" fontId="0" fillId="0" borderId="0" xfId="1" applyNumberFormat="1" applyFont="1" applyBorder="1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0" fillId="0" borderId="0" xfId="1" applyNumberFormat="1" applyFont="1" applyFill="1" applyBorder="1" applyAlignment="1"/>
    <xf numFmtId="2" fontId="0" fillId="0" borderId="0" xfId="0" applyNumberFormat="1"/>
    <xf numFmtId="17" fontId="2" fillId="0" borderId="0" xfId="0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center"/>
    </xf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2" fillId="0" borderId="0" xfId="1" applyNumberFormat="1" applyFont="1" applyAlignment="1"/>
    <xf numFmtId="0" fontId="2" fillId="0" borderId="0" xfId="0" applyFont="1" applyAlignment="1"/>
    <xf numFmtId="2" fontId="0" fillId="0" borderId="0" xfId="0" applyNumberFormat="1"/>
    <xf numFmtId="0" fontId="0" fillId="0" borderId="0" xfId="0"/>
    <xf numFmtId="0" fontId="2" fillId="0" borderId="0" xfId="0" applyFont="1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7" fontId="0" fillId="0" borderId="1" xfId="0" applyNumberFormat="1" applyBorder="1"/>
    <xf numFmtId="0" fontId="2" fillId="0" borderId="4" xfId="0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2" fillId="0" borderId="4" xfId="0" applyNumberFormat="1" applyFont="1" applyBorder="1"/>
    <xf numFmtId="10" fontId="0" fillId="0" borderId="0" xfId="0" applyNumberFormat="1" applyBorder="1"/>
    <xf numFmtId="10" fontId="0" fillId="0" borderId="5" xfId="0" applyNumberFormat="1" applyBorder="1"/>
    <xf numFmtId="2" fontId="0" fillId="0" borderId="0" xfId="0" applyNumberFormat="1" applyBorder="1"/>
    <xf numFmtId="2" fontId="0" fillId="0" borderId="5" xfId="0" applyNumberFormat="1" applyBorder="1"/>
    <xf numFmtId="9" fontId="0" fillId="0" borderId="0" xfId="1" applyNumberFormat="1" applyFont="1" applyBorder="1"/>
    <xf numFmtId="9" fontId="0" fillId="0" borderId="5" xfId="1" applyNumberFormat="1" applyFont="1" applyBorder="1"/>
    <xf numFmtId="9" fontId="0" fillId="0" borderId="0" xfId="0" applyNumberFormat="1" applyBorder="1"/>
    <xf numFmtId="9" fontId="0" fillId="0" borderId="5" xfId="0" applyNumberFormat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10" fontId="2" fillId="0" borderId="6" xfId="0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Border="1" applyAlignment="1">
      <alignment horizontal="center"/>
    </xf>
    <xf numFmtId="0" fontId="0" fillId="0" borderId="0" xfId="0" applyFill="1" applyBorder="1" applyAlignment="1"/>
    <xf numFmtId="10" fontId="0" fillId="0" borderId="0" xfId="1" applyNumberFormat="1" applyFont="1" applyFill="1" applyBorder="1" applyAlignme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7" fontId="0" fillId="0" borderId="0" xfId="0" applyNumberFormat="1" applyFill="1" applyBorder="1"/>
    <xf numFmtId="167" fontId="0" fillId="0" borderId="5" xfId="0" applyNumberFormat="1" applyFill="1" applyBorder="1"/>
    <xf numFmtId="0" fontId="5" fillId="0" borderId="0" xfId="0" applyFont="1"/>
    <xf numFmtId="17" fontId="4" fillId="0" borderId="0" xfId="0" applyNumberFormat="1" applyFont="1"/>
    <xf numFmtId="9" fontId="0" fillId="0" borderId="0" xfId="1" applyNumberFormat="1" applyFont="1" applyFill="1"/>
    <xf numFmtId="165" fontId="2" fillId="0" borderId="0" xfId="1" applyNumberFormat="1" applyFont="1" applyBorder="1"/>
    <xf numFmtId="0" fontId="0" fillId="0" borderId="0" xfId="0"/>
    <xf numFmtId="0" fontId="2" fillId="0" borderId="0" xfId="0" applyFont="1"/>
    <xf numFmtId="10" fontId="2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0" borderId="0" xfId="0" applyFont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/>
    <xf numFmtId="10" fontId="0" fillId="0" borderId="0" xfId="1" applyNumberFormat="1" applyFont="1" applyFill="1" applyBorder="1" applyAlignment="1"/>
    <xf numFmtId="2" fontId="0" fillId="0" borderId="0" xfId="0" applyNumberFormat="1"/>
    <xf numFmtId="10" fontId="1" fillId="0" borderId="0" xfId="1" applyNumberFormat="1" applyFont="1"/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17" fontId="2" fillId="0" borderId="0" xfId="0" applyNumberFormat="1" applyFont="1"/>
    <xf numFmtId="166" fontId="0" fillId="0" borderId="0" xfId="1" applyNumberFormat="1" applyFont="1"/>
    <xf numFmtId="10" fontId="2" fillId="0" borderId="0" xfId="0" applyNumberFormat="1" applyFont="1" applyAlignment="1"/>
    <xf numFmtId="167" fontId="2" fillId="0" borderId="0" xfId="0" applyNumberFormat="1" applyFont="1"/>
    <xf numFmtId="0" fontId="0" fillId="0" borderId="0" xfId="0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0" fontId="7" fillId="0" borderId="0" xfId="1" applyNumberFormat="1" applyFont="1" applyAlignment="1">
      <alignment horizontal="center"/>
    </xf>
    <xf numFmtId="14" fontId="2" fillId="0" borderId="0" xfId="0" applyNumberFormat="1" applyFont="1"/>
    <xf numFmtId="17" fontId="7" fillId="0" borderId="0" xfId="0" applyNumberFormat="1" applyFont="1"/>
    <xf numFmtId="10" fontId="4" fillId="0" borderId="0" xfId="1" applyNumberFormat="1" applyFont="1"/>
    <xf numFmtId="0" fontId="0" fillId="0" borderId="4" xfId="0" applyFont="1" applyBorder="1" applyAlignment="1">
      <alignment horizontal="center"/>
    </xf>
    <xf numFmtId="0" fontId="2" fillId="0" borderId="0" xfId="1" applyNumberFormat="1" applyFont="1"/>
    <xf numFmtId="0" fontId="8" fillId="0" borderId="0" xfId="2"/>
    <xf numFmtId="168" fontId="8" fillId="0" borderId="0" xfId="2" applyNumberFormat="1"/>
    <xf numFmtId="4" fontId="8" fillId="0" borderId="0" xfId="2" applyNumberFormat="1"/>
    <xf numFmtId="10" fontId="2" fillId="0" borderId="7" xfId="1" applyNumberFormat="1" applyFont="1" applyBorder="1"/>
    <xf numFmtId="10" fontId="2" fillId="0" borderId="8" xfId="1" applyNumberFormat="1" applyFont="1" applyBorder="1"/>
    <xf numFmtId="10" fontId="0" fillId="0" borderId="0" xfId="0" applyNumberFormat="1"/>
    <xf numFmtId="10" fontId="8" fillId="0" borderId="0" xfId="2" applyNumberFormat="1"/>
    <xf numFmtId="1" fontId="8" fillId="0" borderId="0" xfId="2" applyNumberFormat="1"/>
    <xf numFmtId="10" fontId="8" fillId="0" borderId="0" xfId="1" applyNumberFormat="1" applyFont="1" applyBorder="1"/>
    <xf numFmtId="10" fontId="8" fillId="0" borderId="5" xfId="1" applyNumberFormat="1" applyFont="1" applyBorder="1"/>
    <xf numFmtId="17" fontId="6" fillId="0" borderId="0" xfId="0" applyNumberFormat="1" applyFont="1" applyAlignment="1">
      <alignment horizontal="left"/>
    </xf>
    <xf numFmtId="169" fontId="0" fillId="0" borderId="0" xfId="0" applyNumberFormat="1" applyFont="1" applyFill="1" applyBorder="1" applyAlignment="1" applyProtection="1"/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203392"/>
        <c:axId val="166204928"/>
      </c:barChart>
      <c:catAx>
        <c:axId val="166203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6204928"/>
        <c:crosses val="autoZero"/>
        <c:auto val="1"/>
        <c:lblAlgn val="ctr"/>
        <c:lblOffset val="100"/>
        <c:noMultiLvlLbl val="0"/>
      </c:catAx>
      <c:valAx>
        <c:axId val="16620492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66203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Monthly</a:t>
            </a:r>
            <a:r>
              <a:rPr lang="en-US" sz="1400" baseline="0"/>
              <a:t> Returns Distribution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Stats!$C$3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Stats!$K$47:$K$58</c:f>
              <c:numCache>
                <c:formatCode>0.00%</c:formatCode>
                <c:ptCount val="12"/>
                <c:pt idx="0">
                  <c:v>-5.0799999999999998E-2</c:v>
                </c:pt>
                <c:pt idx="1">
                  <c:v>-2.2736363636363631E-2</c:v>
                </c:pt>
                <c:pt idx="2">
                  <c:v>5.327272727272736E-3</c:v>
                </c:pt>
                <c:pt idx="3">
                  <c:v>3.3390909090909103E-2</c:v>
                </c:pt>
                <c:pt idx="4">
                  <c:v>6.145454545454547E-2</c:v>
                </c:pt>
                <c:pt idx="5">
                  <c:v>8.951818181818183E-2</c:v>
                </c:pt>
                <c:pt idx="6">
                  <c:v>0.1175818181818182</c:v>
                </c:pt>
                <c:pt idx="7">
                  <c:v>0.14564545454545458</c:v>
                </c:pt>
                <c:pt idx="8">
                  <c:v>0.17370909090909095</c:v>
                </c:pt>
                <c:pt idx="9">
                  <c:v>0.20177272727272733</c:v>
                </c:pt>
                <c:pt idx="10">
                  <c:v>0.2298363636363637</c:v>
                </c:pt>
                <c:pt idx="11">
                  <c:v>0.25790000000000002</c:v>
                </c:pt>
              </c:numCache>
            </c:numRef>
          </c:cat>
          <c:val>
            <c:numRef>
              <c:f>Stats!$M$47:$M$58</c:f>
              <c:numCache>
                <c:formatCode>0%</c:formatCode>
                <c:ptCount val="12"/>
                <c:pt idx="0">
                  <c:v>1.4925373134328358E-2</c:v>
                </c:pt>
                <c:pt idx="1">
                  <c:v>1.4925373134328358E-2</c:v>
                </c:pt>
                <c:pt idx="2">
                  <c:v>0.23880597014925373</c:v>
                </c:pt>
                <c:pt idx="3">
                  <c:v>0.53731343283582089</c:v>
                </c:pt>
                <c:pt idx="4">
                  <c:v>5.9701492537313432E-2</c:v>
                </c:pt>
                <c:pt idx="5">
                  <c:v>8.9552238805970144E-2</c:v>
                </c:pt>
                <c:pt idx="6">
                  <c:v>1.4925373134328358E-2</c:v>
                </c:pt>
                <c:pt idx="7">
                  <c:v>1.4925373134328358E-2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1.4925373134328358E-2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51648"/>
        <c:axId val="167453824"/>
      </c:barChart>
      <c:lineChart>
        <c:grouping val="standard"/>
        <c:varyColors val="0"/>
        <c:ser>
          <c:idx val="2"/>
          <c:order val="1"/>
          <c:tx>
            <c:v>Normal Distribution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Appendix!$A$2:$A$60</c:f>
              <c:numCache>
                <c:formatCode>0.00%</c:formatCode>
                <c:ptCount val="59"/>
                <c:pt idx="0">
                  <c:v>-5.0799999999999998E-2</c:v>
                </c:pt>
                <c:pt idx="1">
                  <c:v>-4.5477586206896549E-2</c:v>
                </c:pt>
                <c:pt idx="2">
                  <c:v>-4.01551724137931E-2</c:v>
                </c:pt>
                <c:pt idx="3">
                  <c:v>-3.4832758620689651E-2</c:v>
                </c:pt>
                <c:pt idx="4">
                  <c:v>-2.9510344827586202E-2</c:v>
                </c:pt>
                <c:pt idx="5">
                  <c:v>-2.4187931034482753E-2</c:v>
                </c:pt>
                <c:pt idx="6">
                  <c:v>-1.8865517241379304E-2</c:v>
                </c:pt>
                <c:pt idx="7">
                  <c:v>-1.3543103448275855E-2</c:v>
                </c:pt>
                <c:pt idx="8">
                  <c:v>-8.2206896551724057E-3</c:v>
                </c:pt>
                <c:pt idx="9">
                  <c:v>-2.8982758620689567E-3</c:v>
                </c:pt>
                <c:pt idx="10">
                  <c:v>2.4241379310344924E-3</c:v>
                </c:pt>
                <c:pt idx="11">
                  <c:v>7.7465517241379414E-3</c:v>
                </c:pt>
                <c:pt idx="12">
                  <c:v>1.306896551724139E-2</c:v>
                </c:pt>
                <c:pt idx="13">
                  <c:v>1.8391379310344839E-2</c:v>
                </c:pt>
                <c:pt idx="14">
                  <c:v>2.3713793103448289E-2</c:v>
                </c:pt>
                <c:pt idx="15">
                  <c:v>2.9036206896551738E-2</c:v>
                </c:pt>
                <c:pt idx="16">
                  <c:v>3.4358620689655187E-2</c:v>
                </c:pt>
                <c:pt idx="17">
                  <c:v>3.9681034482758636E-2</c:v>
                </c:pt>
                <c:pt idx="18">
                  <c:v>4.5003448275862085E-2</c:v>
                </c:pt>
                <c:pt idx="19">
                  <c:v>5.0325862068965534E-2</c:v>
                </c:pt>
                <c:pt idx="20">
                  <c:v>5.5648275862068983E-2</c:v>
                </c:pt>
                <c:pt idx="21">
                  <c:v>6.0970689655172432E-2</c:v>
                </c:pt>
                <c:pt idx="22">
                  <c:v>6.6293103448275881E-2</c:v>
                </c:pt>
                <c:pt idx="23">
                  <c:v>7.1615517241379323E-2</c:v>
                </c:pt>
                <c:pt idx="24">
                  <c:v>7.6937931034482765E-2</c:v>
                </c:pt>
                <c:pt idx="25">
                  <c:v>8.2260344827586207E-2</c:v>
                </c:pt>
                <c:pt idx="26">
                  <c:v>8.7582758620689649E-2</c:v>
                </c:pt>
                <c:pt idx="27">
                  <c:v>9.2905172413793091E-2</c:v>
                </c:pt>
                <c:pt idx="28">
                  <c:v>9.8227586206896533E-2</c:v>
                </c:pt>
                <c:pt idx="29">
                  <c:v>0.10354999999999998</c:v>
                </c:pt>
                <c:pt idx="30">
                  <c:v>0.10887241379310342</c:v>
                </c:pt>
                <c:pt idx="31">
                  <c:v>0.11419482758620686</c:v>
                </c:pt>
                <c:pt idx="32">
                  <c:v>0.1195172413793103</c:v>
                </c:pt>
                <c:pt idx="33">
                  <c:v>0.12483965517241374</c:v>
                </c:pt>
                <c:pt idx="34">
                  <c:v>0.13016206896551719</c:v>
                </c:pt>
                <c:pt idx="35">
                  <c:v>0.13548448275862063</c:v>
                </c:pt>
                <c:pt idx="36">
                  <c:v>0.14080689655172407</c:v>
                </c:pt>
                <c:pt idx="37">
                  <c:v>0.14612931034482751</c:v>
                </c:pt>
                <c:pt idx="38">
                  <c:v>0.15145172413793095</c:v>
                </c:pt>
                <c:pt idx="39">
                  <c:v>0.1567741379310344</c:v>
                </c:pt>
                <c:pt idx="40">
                  <c:v>0.16209655172413784</c:v>
                </c:pt>
                <c:pt idx="41">
                  <c:v>0.16741896551724128</c:v>
                </c:pt>
                <c:pt idx="42">
                  <c:v>0.17274137931034472</c:v>
                </c:pt>
                <c:pt idx="43">
                  <c:v>0.17806379310344816</c:v>
                </c:pt>
                <c:pt idx="44">
                  <c:v>0.18338620689655161</c:v>
                </c:pt>
                <c:pt idx="45">
                  <c:v>0.18870862068965505</c:v>
                </c:pt>
                <c:pt idx="46">
                  <c:v>0.19403103448275849</c:v>
                </c:pt>
                <c:pt idx="47">
                  <c:v>0.19935344827586193</c:v>
                </c:pt>
                <c:pt idx="48">
                  <c:v>0.20467586206896538</c:v>
                </c:pt>
                <c:pt idx="49">
                  <c:v>0.20999827586206882</c:v>
                </c:pt>
                <c:pt idx="50">
                  <c:v>0.21532068965517226</c:v>
                </c:pt>
                <c:pt idx="51">
                  <c:v>0.2206431034482757</c:v>
                </c:pt>
                <c:pt idx="52">
                  <c:v>0.22596551724137914</c:v>
                </c:pt>
                <c:pt idx="53">
                  <c:v>0.23128793103448259</c:v>
                </c:pt>
                <c:pt idx="54">
                  <c:v>0.23661034482758603</c:v>
                </c:pt>
                <c:pt idx="55">
                  <c:v>0.24193275862068947</c:v>
                </c:pt>
                <c:pt idx="56">
                  <c:v>0.24725517241379291</c:v>
                </c:pt>
                <c:pt idx="57">
                  <c:v>0.25257758620689635</c:v>
                </c:pt>
                <c:pt idx="58">
                  <c:v>0.25790000000000002</c:v>
                </c:pt>
              </c:numCache>
            </c:numRef>
          </c:cat>
          <c:val>
            <c:numRef>
              <c:f>Appendix!$B$2:$B$60</c:f>
              <c:numCache>
                <c:formatCode>0.00</c:formatCode>
                <c:ptCount val="59"/>
                <c:pt idx="0">
                  <c:v>1.94998854254929</c:v>
                </c:pt>
                <c:pt idx="1">
                  <c:v>2.4268095205601878</c:v>
                </c:pt>
                <c:pt idx="2">
                  <c:v>2.97167557339775</c:v>
                </c:pt>
                <c:pt idx="3">
                  <c:v>3.5803804152518581</c:v>
                </c:pt>
                <c:pt idx="4">
                  <c:v>4.2444265768434288</c:v>
                </c:pt>
                <c:pt idx="5">
                  <c:v>4.9507494922624993</c:v>
                </c:pt>
                <c:pt idx="6">
                  <c:v>5.6817870414978522</c:v>
                </c:pt>
                <c:pt idx="7">
                  <c:v>6.4159508194011812</c:v>
                </c:pt>
                <c:pt idx="8">
                  <c:v>7.128516752537231</c:v>
                </c:pt>
                <c:pt idx="9">
                  <c:v>7.7929052668925092</c:v>
                </c:pt>
                <c:pt idx="10">
                  <c:v>8.3822709146962922</c:v>
                </c:pt>
                <c:pt idx="11">
                  <c:v>8.8712754336916415</c:v>
                </c:pt>
                <c:pt idx="12">
                  <c:v>9.2378840650145904</c:v>
                </c:pt>
                <c:pt idx="13">
                  <c:v>9.4650088804612746</c:v>
                </c:pt>
                <c:pt idx="14">
                  <c:v>9.5418287516112592</c:v>
                </c:pt>
                <c:pt idx="15">
                  <c:v>9.464644020076646</c:v>
                </c:pt>
                <c:pt idx="16">
                  <c:v>9.2371718685420117</c:v>
                </c:pt>
                <c:pt idx="17">
                  <c:v>8.8702495544018323</c:v>
                </c:pt>
                <c:pt idx="18">
                  <c:v>8.3809784988977665</c:v>
                </c:pt>
                <c:pt idx="19">
                  <c:v>7.7914033648622558</c:v>
                </c:pt>
                <c:pt idx="20">
                  <c:v>7.1268681564771557</c:v>
                </c:pt>
                <c:pt idx="21">
                  <c:v>6.414219749805846</c:v>
                </c:pt>
                <c:pt idx="22">
                  <c:v>5.6800350901937273</c:v>
                </c:pt>
                <c:pt idx="23">
                  <c:v>4.9490321684875145</c:v>
                </c:pt>
                <c:pt idx="24">
                  <c:v>4.242790704627466</c:v>
                </c:pt>
                <c:pt idx="25">
                  <c:v>3.5788625128826759</c:v>
                </c:pt>
                <c:pt idx="26">
                  <c:v>2.970301226865061</c:v>
                </c:pt>
                <c:pt idx="27">
                  <c:v>2.4255936585675726</c:v>
                </c:pt>
                <c:pt idx="28">
                  <c:v>1.9489364426824733</c:v>
                </c:pt>
                <c:pt idx="29">
                  <c:v>1.5407755505681842</c:v>
                </c:pt>
                <c:pt idx="30">
                  <c:v>1.198514117986381</c:v>
                </c:pt>
                <c:pt idx="31">
                  <c:v>0.9172949530989466</c:v>
                </c:pt>
                <c:pt idx="32">
                  <c:v>0.69077550318372227</c:v>
                </c:pt>
                <c:pt idx="33">
                  <c:v>0.5118314000962767</c:v>
                </c:pt>
                <c:pt idx="34">
                  <c:v>0.37314617784518012</c:v>
                </c:pt>
                <c:pt idx="35">
                  <c:v>0.26766595955137246</c:v>
                </c:pt>
                <c:pt idx="36">
                  <c:v>0.18891627035027364</c:v>
                </c:pt>
                <c:pt idx="37">
                  <c:v>0.13119209179262717</c:v>
                </c:pt>
                <c:pt idx="38">
                  <c:v>8.9641274877530777E-2</c:v>
                </c:pt>
                <c:pt idx="39">
                  <c:v>6.0265736186745598E-2</c:v>
                </c:pt>
                <c:pt idx="40">
                  <c:v>3.9865294964773437E-2</c:v>
                </c:pt>
                <c:pt idx="41">
                  <c:v>2.5946666601722793E-2</c:v>
                </c:pt>
                <c:pt idx="42">
                  <c:v>1.6616143534324827E-2</c:v>
                </c:pt>
                <c:pt idx="43">
                  <c:v>1.0469862368413446E-2</c:v>
                </c:pt>
                <c:pt idx="44">
                  <c:v>6.4910325101856271E-3</c:v>
                </c:pt>
                <c:pt idx="45">
                  <c:v>3.9595758782357869E-3</c:v>
                </c:pt>
                <c:pt idx="46">
                  <c:v>2.3765427417343477E-3</c:v>
                </c:pt>
                <c:pt idx="47">
                  <c:v>1.4034749417255019E-3</c:v>
                </c:pt>
                <c:pt idx="48">
                  <c:v>8.1550338952531009E-4</c:v>
                </c:pt>
                <c:pt idx="49">
                  <c:v>4.662393793430423E-4</c:v>
                </c:pt>
                <c:pt idx="50">
                  <c:v>2.6227337653169757E-4</c:v>
                </c:pt>
                <c:pt idx="51">
                  <c:v>1.4516487246573785E-4</c:v>
                </c:pt>
                <c:pt idx="52">
                  <c:v>7.9055290761489072E-5</c:v>
                </c:pt>
                <c:pt idx="53">
                  <c:v>4.236063071176425E-5</c:v>
                </c:pt>
                <c:pt idx="54">
                  <c:v>2.2333457840035992E-5</c:v>
                </c:pt>
                <c:pt idx="55">
                  <c:v>1.1585414980967029E-5</c:v>
                </c:pt>
                <c:pt idx="56">
                  <c:v>5.9132915745934939E-6</c:v>
                </c:pt>
                <c:pt idx="57">
                  <c:v>2.9696759866736958E-6</c:v>
                </c:pt>
                <c:pt idx="58">
                  <c:v>1.4674081084396024E-6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57152"/>
        <c:axId val="167455360"/>
      </c:lineChart>
      <c:catAx>
        <c:axId val="16745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Monthly</a:t>
                </a:r>
                <a:r>
                  <a:rPr lang="en-US" baseline="0"/>
                  <a:t> Returns</a:t>
                </a:r>
                <a:endParaRPr lang="en-US"/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67453824"/>
        <c:crosses val="autoZero"/>
        <c:auto val="1"/>
        <c:lblAlgn val="ctr"/>
        <c:lblOffset val="100"/>
        <c:noMultiLvlLbl val="0"/>
      </c:catAx>
      <c:valAx>
        <c:axId val="16745382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67451648"/>
        <c:crosses val="autoZero"/>
        <c:crossBetween val="between"/>
        <c:majorUnit val="0.1"/>
      </c:valAx>
      <c:valAx>
        <c:axId val="167455360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one"/>
        <c:crossAx val="167457152"/>
        <c:crosses val="max"/>
        <c:crossBetween val="between"/>
      </c:valAx>
      <c:catAx>
        <c:axId val="167457152"/>
        <c:scaling>
          <c:orientation val="minMax"/>
        </c:scaling>
        <c:delete val="0"/>
        <c:axPos val="t"/>
        <c:numFmt formatCode="0.00%" sourceLinked="1"/>
        <c:majorTickMark val="none"/>
        <c:minorTickMark val="none"/>
        <c:tickLblPos val="none"/>
        <c:crossAx val="167455360"/>
        <c:crosses val="max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Historical</a:t>
            </a:r>
            <a:r>
              <a:rPr lang="en-US" sz="1400" baseline="0"/>
              <a:t> Cumulative Returns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Stats!$C$3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[0]!ct</c:f>
              <c:numCache>
                <c:formatCode>mmm\-yy</c:formatCode>
                <c:ptCount val="68"/>
                <c:pt idx="0">
                  <c:v>39813</c:v>
                </c:pt>
                <c:pt idx="1">
                  <c:v>39814</c:v>
                </c:pt>
                <c:pt idx="2">
                  <c:v>39845</c:v>
                </c:pt>
                <c:pt idx="3">
                  <c:v>39873</c:v>
                </c:pt>
                <c:pt idx="4">
                  <c:v>39904</c:v>
                </c:pt>
                <c:pt idx="5">
                  <c:v>39934</c:v>
                </c:pt>
                <c:pt idx="6">
                  <c:v>39965</c:v>
                </c:pt>
                <c:pt idx="7">
                  <c:v>39995</c:v>
                </c:pt>
                <c:pt idx="8">
                  <c:v>40026</c:v>
                </c:pt>
                <c:pt idx="9">
                  <c:v>40057</c:v>
                </c:pt>
                <c:pt idx="10">
                  <c:v>40087</c:v>
                </c:pt>
                <c:pt idx="11">
                  <c:v>40118</c:v>
                </c:pt>
                <c:pt idx="12">
                  <c:v>40148</c:v>
                </c:pt>
                <c:pt idx="13">
                  <c:v>40179</c:v>
                </c:pt>
                <c:pt idx="14">
                  <c:v>40210</c:v>
                </c:pt>
                <c:pt idx="15">
                  <c:v>40238</c:v>
                </c:pt>
                <c:pt idx="16">
                  <c:v>40269</c:v>
                </c:pt>
                <c:pt idx="17">
                  <c:v>40299</c:v>
                </c:pt>
                <c:pt idx="18">
                  <c:v>40330</c:v>
                </c:pt>
                <c:pt idx="19">
                  <c:v>40360</c:v>
                </c:pt>
                <c:pt idx="20">
                  <c:v>40391</c:v>
                </c:pt>
                <c:pt idx="21">
                  <c:v>40422</c:v>
                </c:pt>
                <c:pt idx="22">
                  <c:v>40452</c:v>
                </c:pt>
                <c:pt idx="23">
                  <c:v>40483</c:v>
                </c:pt>
                <c:pt idx="24">
                  <c:v>40513</c:v>
                </c:pt>
                <c:pt idx="25">
                  <c:v>40544</c:v>
                </c:pt>
                <c:pt idx="26">
                  <c:v>40575</c:v>
                </c:pt>
                <c:pt idx="27">
                  <c:v>40603</c:v>
                </c:pt>
                <c:pt idx="28">
                  <c:v>40634</c:v>
                </c:pt>
                <c:pt idx="29">
                  <c:v>40664</c:v>
                </c:pt>
                <c:pt idx="30">
                  <c:v>40695</c:v>
                </c:pt>
                <c:pt idx="31">
                  <c:v>40725</c:v>
                </c:pt>
                <c:pt idx="32">
                  <c:v>40756</c:v>
                </c:pt>
                <c:pt idx="33">
                  <c:v>40787</c:v>
                </c:pt>
                <c:pt idx="34">
                  <c:v>40817</c:v>
                </c:pt>
                <c:pt idx="35">
                  <c:v>40848</c:v>
                </c:pt>
                <c:pt idx="36">
                  <c:v>40878</c:v>
                </c:pt>
                <c:pt idx="37">
                  <c:v>40909</c:v>
                </c:pt>
                <c:pt idx="38">
                  <c:v>40940</c:v>
                </c:pt>
                <c:pt idx="39">
                  <c:v>40969</c:v>
                </c:pt>
                <c:pt idx="40">
                  <c:v>41000</c:v>
                </c:pt>
                <c:pt idx="41">
                  <c:v>41030</c:v>
                </c:pt>
                <c:pt idx="42">
                  <c:v>41061</c:v>
                </c:pt>
                <c:pt idx="43">
                  <c:v>41091</c:v>
                </c:pt>
                <c:pt idx="44">
                  <c:v>41122</c:v>
                </c:pt>
                <c:pt idx="45">
                  <c:v>41153</c:v>
                </c:pt>
                <c:pt idx="46">
                  <c:v>41183</c:v>
                </c:pt>
                <c:pt idx="47">
                  <c:v>41214</c:v>
                </c:pt>
                <c:pt idx="48">
                  <c:v>41244</c:v>
                </c:pt>
                <c:pt idx="49">
                  <c:v>41275</c:v>
                </c:pt>
                <c:pt idx="50">
                  <c:v>41306</c:v>
                </c:pt>
                <c:pt idx="51">
                  <c:v>41334</c:v>
                </c:pt>
                <c:pt idx="52">
                  <c:v>41365</c:v>
                </c:pt>
                <c:pt idx="53">
                  <c:v>41395</c:v>
                </c:pt>
                <c:pt idx="54">
                  <c:v>41426</c:v>
                </c:pt>
                <c:pt idx="55">
                  <c:v>41456</c:v>
                </c:pt>
                <c:pt idx="56">
                  <c:v>41487</c:v>
                </c:pt>
                <c:pt idx="57">
                  <c:v>41518</c:v>
                </c:pt>
                <c:pt idx="58">
                  <c:v>41548</c:v>
                </c:pt>
                <c:pt idx="59">
                  <c:v>41579</c:v>
                </c:pt>
                <c:pt idx="60">
                  <c:v>41609</c:v>
                </c:pt>
                <c:pt idx="61">
                  <c:v>41640</c:v>
                </c:pt>
                <c:pt idx="62">
                  <c:v>41671</c:v>
                </c:pt>
                <c:pt idx="63">
                  <c:v>41699</c:v>
                </c:pt>
                <c:pt idx="64">
                  <c:v>41730</c:v>
                </c:pt>
                <c:pt idx="65">
                  <c:v>41760</c:v>
                </c:pt>
                <c:pt idx="66">
                  <c:v>41791</c:v>
                </c:pt>
                <c:pt idx="67">
                  <c:v>41821</c:v>
                </c:pt>
              </c:numCache>
            </c:numRef>
          </c:cat>
          <c:val>
            <c:numRef>
              <c:f>[0]!fcr</c:f>
              <c:numCache>
                <c:formatCode>0.00%</c:formatCode>
                <c:ptCount val="68"/>
                <c:pt idx="0" formatCode="General">
                  <c:v>0</c:v>
                </c:pt>
                <c:pt idx="1">
                  <c:v>1.9000000000000128E-3</c:v>
                </c:pt>
                <c:pt idx="2">
                  <c:v>3.2057189999999958E-2</c:v>
                </c:pt>
                <c:pt idx="3">
                  <c:v>0.17272658499700011</c:v>
                </c:pt>
                <c:pt idx="4">
                  <c:v>0.4751727712677265</c:v>
                </c:pt>
                <c:pt idx="5">
                  <c:v>0.60336528509089193</c:v>
                </c:pt>
                <c:pt idx="6">
                  <c:v>0.716562874218309</c:v>
                </c:pt>
                <c:pt idx="7">
                  <c:v>0.86006753050295948</c:v>
                </c:pt>
                <c:pt idx="8">
                  <c:v>0.89261871228676148</c:v>
                </c:pt>
                <c:pt idx="9">
                  <c:v>0.93387780021461286</c:v>
                </c:pt>
                <c:pt idx="10">
                  <c:v>0.96153225275768173</c:v>
                </c:pt>
                <c:pt idx="11">
                  <c:v>0.96447455113681846</c:v>
                </c:pt>
                <c:pt idx="12">
                  <c:v>0.97802942553966221</c:v>
                </c:pt>
                <c:pt idx="13">
                  <c:v>1.1265794353976908</c:v>
                </c:pt>
                <c:pt idx="14">
                  <c:v>1.1459313082598102</c:v>
                </c:pt>
                <c:pt idx="15">
                  <c:v>1.2354166438142444</c:v>
                </c:pt>
                <c:pt idx="16">
                  <c:v>1.2707362267865094</c:v>
                </c:pt>
                <c:pt idx="17">
                  <c:v>1.2493913062547164</c:v>
                </c:pt>
                <c:pt idx="18">
                  <c:v>1.3074256019560884</c:v>
                </c:pt>
                <c:pt idx="19">
                  <c:v>1.3574967375185354</c:v>
                </c:pt>
                <c:pt idx="20">
                  <c:v>1.4053539212901618</c:v>
                </c:pt>
                <c:pt idx="21">
                  <c:v>1.571804412643441</c:v>
                </c:pt>
                <c:pt idx="22">
                  <c:v>1.8035239902226152</c:v>
                </c:pt>
                <c:pt idx="23">
                  <c:v>1.8629586988153348</c:v>
                </c:pt>
                <c:pt idx="24">
                  <c:v>1.9142056595241295</c:v>
                </c:pt>
                <c:pt idx="25">
                  <c:v>1.945096239515085</c:v>
                </c:pt>
                <c:pt idx="26">
                  <c:v>1.9742526922862846</c:v>
                </c:pt>
                <c:pt idx="27">
                  <c:v>2.0034003686706905</c:v>
                </c:pt>
                <c:pt idx="28">
                  <c:v>2.0841918385879317</c:v>
                </c:pt>
                <c:pt idx="29">
                  <c:v>2.0487236324441707</c:v>
                </c:pt>
                <c:pt idx="30">
                  <c:v>2.0231143539316396</c:v>
                </c:pt>
                <c:pt idx="31">
                  <c:v>2.01071958508052</c:v>
                </c:pt>
                <c:pt idx="32">
                  <c:v>1.9523116251299579</c:v>
                </c:pt>
                <c:pt idx="33">
                  <c:v>1.8023341945733562</c:v>
                </c:pt>
                <c:pt idx="34">
                  <c:v>1.8869646872494714</c:v>
                </c:pt>
                <c:pt idx="35">
                  <c:v>1.8090166406937356</c:v>
                </c:pt>
                <c:pt idx="36">
                  <c:v>1.9452539477673816</c:v>
                </c:pt>
                <c:pt idx="37">
                  <c:v>2.0303717868578586</c:v>
                </c:pt>
                <c:pt idx="38">
                  <c:v>2.1049189328145617</c:v>
                </c:pt>
                <c:pt idx="39">
                  <c:v>2.1052294247078431</c:v>
                </c:pt>
                <c:pt idx="40">
                  <c:v>2.1061609935352554</c:v>
                </c:pt>
                <c:pt idx="41">
                  <c:v>2.0968425105546498</c:v>
                </c:pt>
                <c:pt idx="42">
                  <c:v>2.145462937970358</c:v>
                </c:pt>
                <c:pt idx="43">
                  <c:v>2.169053910005136</c:v>
                </c:pt>
                <c:pt idx="44">
                  <c:v>2.2007444491051875</c:v>
                </c:pt>
                <c:pt idx="45">
                  <c:v>2.2273106280327606</c:v>
                </c:pt>
                <c:pt idx="46">
                  <c:v>2.2883067989025796</c:v>
                </c:pt>
                <c:pt idx="47">
                  <c:v>2.3576900723594236</c:v>
                </c:pt>
                <c:pt idx="48">
                  <c:v>2.4886399851814409</c:v>
                </c:pt>
                <c:pt idx="49">
                  <c:v>2.6355117285575798</c:v>
                </c:pt>
                <c:pt idx="50">
                  <c:v>2.691135058004511</c:v>
                </c:pt>
                <c:pt idx="51">
                  <c:v>2.7546225810021889</c:v>
                </c:pt>
                <c:pt idx="52">
                  <c:v>2.8642575603674523</c:v>
                </c:pt>
                <c:pt idx="53">
                  <c:v>2.91797074045656</c:v>
                </c:pt>
                <c:pt idx="54">
                  <c:v>2.8964219013840493</c:v>
                </c:pt>
                <c:pt idx="55">
                  <c:v>2.9053836717572326</c:v>
                </c:pt>
                <c:pt idx="56">
                  <c:v>2.9459996619435076</c:v>
                </c:pt>
                <c:pt idx="57">
                  <c:v>3.0355738542696251</c:v>
                </c:pt>
                <c:pt idx="58">
                  <c:v>3.1029679376359276</c:v>
                </c:pt>
                <c:pt idx="59">
                  <c:v>3.1206106997677621</c:v>
                </c:pt>
                <c:pt idx="60">
                  <c:v>3.207143524462885</c:v>
                </c:pt>
                <c:pt idx="61">
                  <c:v>3.510478572576659</c:v>
                </c:pt>
                <c:pt idx="62">
                  <c:v>3.5925692825975544</c:v>
                </c:pt>
                <c:pt idx="63">
                  <c:v>3.5053104662282006</c:v>
                </c:pt>
                <c:pt idx="64">
                  <c:v>3.4557520510996902</c:v>
                </c:pt>
                <c:pt idx="65">
                  <c:v>3.4740206345091993</c:v>
                </c:pt>
                <c:pt idx="66">
                  <c:v>3.5075757892680182</c:v>
                </c:pt>
                <c:pt idx="67">
                  <c:v>3.5661742745285023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Stats!$F$3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[0]!ct</c:f>
              <c:numCache>
                <c:formatCode>mmm\-yy</c:formatCode>
                <c:ptCount val="68"/>
                <c:pt idx="0">
                  <c:v>39813</c:v>
                </c:pt>
                <c:pt idx="1">
                  <c:v>39814</c:v>
                </c:pt>
                <c:pt idx="2">
                  <c:v>39845</c:v>
                </c:pt>
                <c:pt idx="3">
                  <c:v>39873</c:v>
                </c:pt>
                <c:pt idx="4">
                  <c:v>39904</c:v>
                </c:pt>
                <c:pt idx="5">
                  <c:v>39934</c:v>
                </c:pt>
                <c:pt idx="6">
                  <c:v>39965</c:v>
                </c:pt>
                <c:pt idx="7">
                  <c:v>39995</c:v>
                </c:pt>
                <c:pt idx="8">
                  <c:v>40026</c:v>
                </c:pt>
                <c:pt idx="9">
                  <c:v>40057</c:v>
                </c:pt>
                <c:pt idx="10">
                  <c:v>40087</c:v>
                </c:pt>
                <c:pt idx="11">
                  <c:v>40118</c:v>
                </c:pt>
                <c:pt idx="12">
                  <c:v>40148</c:v>
                </c:pt>
                <c:pt idx="13">
                  <c:v>40179</c:v>
                </c:pt>
                <c:pt idx="14">
                  <c:v>40210</c:v>
                </c:pt>
                <c:pt idx="15">
                  <c:v>40238</c:v>
                </c:pt>
                <c:pt idx="16">
                  <c:v>40269</c:v>
                </c:pt>
                <c:pt idx="17">
                  <c:v>40299</c:v>
                </c:pt>
                <c:pt idx="18">
                  <c:v>40330</c:v>
                </c:pt>
                <c:pt idx="19">
                  <c:v>40360</c:v>
                </c:pt>
                <c:pt idx="20">
                  <c:v>40391</c:v>
                </c:pt>
                <c:pt idx="21">
                  <c:v>40422</c:v>
                </c:pt>
                <c:pt idx="22">
                  <c:v>40452</c:v>
                </c:pt>
                <c:pt idx="23">
                  <c:v>40483</c:v>
                </c:pt>
                <c:pt idx="24">
                  <c:v>40513</c:v>
                </c:pt>
                <c:pt idx="25">
                  <c:v>40544</c:v>
                </c:pt>
                <c:pt idx="26">
                  <c:v>40575</c:v>
                </c:pt>
                <c:pt idx="27">
                  <c:v>40603</c:v>
                </c:pt>
                <c:pt idx="28">
                  <c:v>40634</c:v>
                </c:pt>
                <c:pt idx="29">
                  <c:v>40664</c:v>
                </c:pt>
                <c:pt idx="30">
                  <c:v>40695</c:v>
                </c:pt>
                <c:pt idx="31">
                  <c:v>40725</c:v>
                </c:pt>
                <c:pt idx="32">
                  <c:v>40756</c:v>
                </c:pt>
                <c:pt idx="33">
                  <c:v>40787</c:v>
                </c:pt>
                <c:pt idx="34">
                  <c:v>40817</c:v>
                </c:pt>
                <c:pt idx="35">
                  <c:v>40848</c:v>
                </c:pt>
                <c:pt idx="36">
                  <c:v>40878</c:v>
                </c:pt>
                <c:pt idx="37">
                  <c:v>40909</c:v>
                </c:pt>
                <c:pt idx="38">
                  <c:v>40940</c:v>
                </c:pt>
                <c:pt idx="39">
                  <c:v>40969</c:v>
                </c:pt>
                <c:pt idx="40">
                  <c:v>41000</c:v>
                </c:pt>
                <c:pt idx="41">
                  <c:v>41030</c:v>
                </c:pt>
                <c:pt idx="42">
                  <c:v>41061</c:v>
                </c:pt>
                <c:pt idx="43">
                  <c:v>41091</c:v>
                </c:pt>
                <c:pt idx="44">
                  <c:v>41122</c:v>
                </c:pt>
                <c:pt idx="45">
                  <c:v>41153</c:v>
                </c:pt>
                <c:pt idx="46">
                  <c:v>41183</c:v>
                </c:pt>
                <c:pt idx="47">
                  <c:v>41214</c:v>
                </c:pt>
                <c:pt idx="48">
                  <c:v>41244</c:v>
                </c:pt>
                <c:pt idx="49">
                  <c:v>41275</c:v>
                </c:pt>
                <c:pt idx="50">
                  <c:v>41306</c:v>
                </c:pt>
                <c:pt idx="51">
                  <c:v>41334</c:v>
                </c:pt>
                <c:pt idx="52">
                  <c:v>41365</c:v>
                </c:pt>
                <c:pt idx="53">
                  <c:v>41395</c:v>
                </c:pt>
                <c:pt idx="54">
                  <c:v>41426</c:v>
                </c:pt>
                <c:pt idx="55">
                  <c:v>41456</c:v>
                </c:pt>
                <c:pt idx="56">
                  <c:v>41487</c:v>
                </c:pt>
                <c:pt idx="57">
                  <c:v>41518</c:v>
                </c:pt>
                <c:pt idx="58">
                  <c:v>41548</c:v>
                </c:pt>
                <c:pt idx="59">
                  <c:v>41579</c:v>
                </c:pt>
                <c:pt idx="60">
                  <c:v>41609</c:v>
                </c:pt>
                <c:pt idx="61">
                  <c:v>41640</c:v>
                </c:pt>
                <c:pt idx="62">
                  <c:v>41671</c:v>
                </c:pt>
                <c:pt idx="63">
                  <c:v>41699</c:v>
                </c:pt>
                <c:pt idx="64">
                  <c:v>41730</c:v>
                </c:pt>
                <c:pt idx="65">
                  <c:v>41760</c:v>
                </c:pt>
                <c:pt idx="66">
                  <c:v>41791</c:v>
                </c:pt>
                <c:pt idx="67">
                  <c:v>41821</c:v>
                </c:pt>
              </c:numCache>
            </c:numRef>
          </c:cat>
          <c:val>
            <c:numRef>
              <c:f>[0]!bcr</c:f>
              <c:numCache>
                <c:formatCode>0.00%</c:formatCode>
                <c:ptCount val="68"/>
                <c:pt idx="0" formatCode="General">
                  <c:v>0</c:v>
                </c:pt>
                <c:pt idx="1">
                  <c:v>1.0683349374398521E-2</c:v>
                </c:pt>
                <c:pt idx="2">
                  <c:v>1.2800769971126114E-2</c:v>
                </c:pt>
                <c:pt idx="3">
                  <c:v>4.3022136669874866E-2</c:v>
                </c:pt>
                <c:pt idx="4">
                  <c:v>9.2204042348411841E-2</c:v>
                </c:pt>
                <c:pt idx="5">
                  <c:v>0.1365736284889314</c:v>
                </c:pt>
                <c:pt idx="6">
                  <c:v>0.15168431183830577</c:v>
                </c:pt>
                <c:pt idx="7">
                  <c:v>0.1940327237728583</c:v>
                </c:pt>
                <c:pt idx="8">
                  <c:v>0.21684311838306036</c:v>
                </c:pt>
                <c:pt idx="9">
                  <c:v>0.25120307988450419</c:v>
                </c:pt>
                <c:pt idx="10">
                  <c:v>0.25630413859480261</c:v>
                </c:pt>
                <c:pt idx="11">
                  <c:v>0.27459095283926849</c:v>
                </c:pt>
                <c:pt idx="12">
                  <c:v>0.27949951876804602</c:v>
                </c:pt>
                <c:pt idx="13">
                  <c:v>0.29114533205004789</c:v>
                </c:pt>
                <c:pt idx="14">
                  <c:v>0.30173243503368585</c:v>
                </c:pt>
                <c:pt idx="15">
                  <c:v>0.3236766121270449</c:v>
                </c:pt>
                <c:pt idx="16">
                  <c:v>0.34138594802694855</c:v>
                </c:pt>
                <c:pt idx="17">
                  <c:v>0.33224254090471539</c:v>
                </c:pt>
                <c:pt idx="18">
                  <c:v>0.35322425409047087</c:v>
                </c:pt>
                <c:pt idx="19">
                  <c:v>0.39422521655437848</c:v>
                </c:pt>
                <c:pt idx="20">
                  <c:v>0.43214629451395492</c:v>
                </c:pt>
                <c:pt idx="21">
                  <c:v>0.45062560153994125</c:v>
                </c:pt>
                <c:pt idx="22">
                  <c:v>0.45697786333012402</c:v>
                </c:pt>
                <c:pt idx="23">
                  <c:v>0.43570741097208732</c:v>
                </c:pt>
                <c:pt idx="24">
                  <c:v>0.42261790182868042</c:v>
                </c:pt>
                <c:pt idx="25">
                  <c:v>0.42329162656400299</c:v>
                </c:pt>
                <c:pt idx="26">
                  <c:v>0.42675649663137571</c:v>
                </c:pt>
                <c:pt idx="27">
                  <c:v>0.43272377285851715</c:v>
                </c:pt>
                <c:pt idx="28">
                  <c:v>0.45187680461982604</c:v>
                </c:pt>
                <c:pt idx="29">
                  <c:v>0.46612127045235763</c:v>
                </c:pt>
                <c:pt idx="30">
                  <c:v>0.46429258902791082</c:v>
                </c:pt>
                <c:pt idx="31">
                  <c:v>0.49403272377285812</c:v>
                </c:pt>
                <c:pt idx="32">
                  <c:v>0.49326275264677544</c:v>
                </c:pt>
                <c:pt idx="33">
                  <c:v>0.41693936477382065</c:v>
                </c:pt>
                <c:pt idx="34">
                  <c:v>0.48671799807507199</c:v>
                </c:pt>
                <c:pt idx="35">
                  <c:v>0.47333974975938409</c:v>
                </c:pt>
                <c:pt idx="36">
                  <c:v>0.48719923002887411</c:v>
                </c:pt>
                <c:pt idx="37">
                  <c:v>0.51578440808469694</c:v>
                </c:pt>
                <c:pt idx="38">
                  <c:v>0.55091434071222323</c:v>
                </c:pt>
                <c:pt idx="39">
                  <c:v>0.54783445620789206</c:v>
                </c:pt>
                <c:pt idx="40">
                  <c:v>0.563041385948027</c:v>
                </c:pt>
                <c:pt idx="41">
                  <c:v>0.55235803657362847</c:v>
                </c:pt>
                <c:pt idx="42">
                  <c:v>0.58893166506256023</c:v>
                </c:pt>
                <c:pt idx="43">
                  <c:v>0.6325312800769971</c:v>
                </c:pt>
                <c:pt idx="44">
                  <c:v>0.63984600577478323</c:v>
                </c:pt>
                <c:pt idx="45">
                  <c:v>0.67016361886429232</c:v>
                </c:pt>
                <c:pt idx="46">
                  <c:v>0.68835418671799786</c:v>
                </c:pt>
                <c:pt idx="47">
                  <c:v>0.70375360923965369</c:v>
                </c:pt>
                <c:pt idx="48">
                  <c:v>0.70789220404234832</c:v>
                </c:pt>
                <c:pt idx="49">
                  <c:v>0.696342637151107</c:v>
                </c:pt>
                <c:pt idx="50">
                  <c:v>0.70750721847930698</c:v>
                </c:pt>
                <c:pt idx="51">
                  <c:v>0.70615976900866229</c:v>
                </c:pt>
                <c:pt idx="52">
                  <c:v>0.73493743984600579</c:v>
                </c:pt>
                <c:pt idx="53">
                  <c:v>0.69230028873917249</c:v>
                </c:pt>
                <c:pt idx="54">
                  <c:v>0.62569778633301265</c:v>
                </c:pt>
                <c:pt idx="55">
                  <c:v>0.64003849855630435</c:v>
                </c:pt>
                <c:pt idx="56">
                  <c:v>0.60365736284889326</c:v>
                </c:pt>
                <c:pt idx="57">
                  <c:v>0.64080846968238681</c:v>
                </c:pt>
                <c:pt idx="58">
                  <c:v>0.68152069297401341</c:v>
                </c:pt>
                <c:pt idx="59">
                  <c:v>0.66891241578440797</c:v>
                </c:pt>
                <c:pt idx="60">
                  <c:v>0.66592877767083714</c:v>
                </c:pt>
                <c:pt idx="61">
                  <c:v>0.68075072184793028</c:v>
                </c:pt>
                <c:pt idx="62">
                  <c:v>0.7113570741097206</c:v>
                </c:pt>
                <c:pt idx="63">
                  <c:v>0.72223291626563957</c:v>
                </c:pt>
                <c:pt idx="64">
                  <c:v>0.73445620789220345</c:v>
                </c:pt>
                <c:pt idx="65">
                  <c:v>0.77430221366698659</c:v>
                </c:pt>
                <c:pt idx="66">
                  <c:v>0.77661212704523508</c:v>
                </c:pt>
                <c:pt idx="67">
                  <c:v>0.78950914340712131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70208"/>
        <c:axId val="167471744"/>
      </c:lineChart>
      <c:dateAx>
        <c:axId val="1674702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67471744"/>
        <c:crosses val="autoZero"/>
        <c:auto val="1"/>
        <c:lblOffset val="100"/>
        <c:baseTimeUnit val="days"/>
      </c:dateAx>
      <c:valAx>
        <c:axId val="16747174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674702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Risk-Return</a:t>
            </a:r>
            <a:r>
              <a:rPr lang="en-US" sz="1400" baseline="0"/>
              <a:t> Profile</a:t>
            </a:r>
            <a:endParaRPr lang="en-US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Stats!$L$10</c:f>
              <c:strCache>
                <c:ptCount val="1"/>
                <c:pt idx="0">
                  <c:v>Prudence Enhanced Income</c:v>
                </c:pt>
              </c:strCache>
            </c:strRef>
          </c:tx>
          <c:spPr>
            <a:ln w="28575">
              <a:noFill/>
            </a:ln>
          </c:spPr>
          <c:xVal>
            <c:numRef>
              <c:f>Stats!$L$19</c:f>
              <c:numCache>
                <c:formatCode>0.00%</c:formatCode>
                <c:ptCount val="1"/>
                <c:pt idx="0">
                  <c:v>0.14483351336724939</c:v>
                </c:pt>
              </c:numCache>
            </c:numRef>
          </c:xVal>
          <c:yVal>
            <c:numRef>
              <c:f>Stats!$L$14</c:f>
              <c:numCache>
                <c:formatCode>0.00%</c:formatCode>
                <c:ptCount val="1"/>
                <c:pt idx="0">
                  <c:v>0.31258912854775422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Stats!$M$10</c:f>
              <c:strCache>
                <c:ptCount val="1"/>
                <c:pt idx="0">
                  <c:v>JPEIJACC Index</c:v>
                </c:pt>
              </c:strCache>
            </c:strRef>
          </c:tx>
          <c:spPr>
            <a:ln w="28575">
              <a:noFill/>
            </a:ln>
          </c:spPr>
          <c:xVal>
            <c:numRef>
              <c:f>Stats!$M$19</c:f>
              <c:numCache>
                <c:formatCode>0.00%</c:formatCode>
                <c:ptCount val="1"/>
                <c:pt idx="0">
                  <c:v>6.0053510633490216E-2</c:v>
                </c:pt>
              </c:numCache>
            </c:numRef>
          </c:xVal>
          <c:yVal>
            <c:numRef>
              <c:f>Stats!$M$14</c:f>
              <c:numCache>
                <c:formatCode>0.00%</c:formatCode>
                <c:ptCount val="1"/>
                <c:pt idx="0">
                  <c:v>0.10985380939913791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84800"/>
        <c:axId val="167507072"/>
      </c:scatterChart>
      <c:valAx>
        <c:axId val="167484800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67507072"/>
        <c:crosses val="autoZero"/>
        <c:crossBetween val="midCat"/>
      </c:valAx>
      <c:valAx>
        <c:axId val="16750707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6748480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Upside-Downside</a:t>
            </a:r>
            <a:r>
              <a:rPr lang="en-US" sz="1400" baseline="0"/>
              <a:t> Capture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Stats!$L$41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strRef>
              <c:f>Stats!$K$42:$K$43</c:f>
              <c:strCache>
                <c:ptCount val="2"/>
                <c:pt idx="0">
                  <c:v>Average monthly return during negative</c:v>
                </c:pt>
                <c:pt idx="1">
                  <c:v>Average monthly return during postive</c:v>
                </c:pt>
              </c:strCache>
            </c:strRef>
          </c:cat>
          <c:val>
            <c:numRef>
              <c:f>Stats!$L$42:$L$43</c:f>
              <c:numCache>
                <c:formatCode>0.00%</c:formatCode>
                <c:ptCount val="2"/>
                <c:pt idx="0">
                  <c:v>1.5375000000000002E-3</c:v>
                </c:pt>
                <c:pt idx="1">
                  <c:v>3.0662745098039207E-2</c:v>
                </c:pt>
              </c:numCache>
            </c:numRef>
          </c:val>
        </c:ser>
        <c:ser>
          <c:idx val="1"/>
          <c:order val="1"/>
          <c:tx>
            <c:strRef>
              <c:f>Stats!$M$41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cat>
            <c:strRef>
              <c:f>Stats!$K$42:$K$43</c:f>
              <c:strCache>
                <c:ptCount val="2"/>
                <c:pt idx="0">
                  <c:v>Average monthly return during negative</c:v>
                </c:pt>
                <c:pt idx="1">
                  <c:v>Average monthly return during postive</c:v>
                </c:pt>
              </c:strCache>
            </c:strRef>
          </c:cat>
          <c:val>
            <c:numRef>
              <c:f>Stats!$M$42:$M$43</c:f>
              <c:numCache>
                <c:formatCode>0.00%</c:formatCode>
                <c:ptCount val="2"/>
                <c:pt idx="0">
                  <c:v>-1.2761173022127321E-2</c:v>
                </c:pt>
                <c:pt idx="1">
                  <c:v>1.5658021084131554E-2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7586816"/>
        <c:axId val="167588608"/>
      </c:barChart>
      <c:catAx>
        <c:axId val="167586816"/>
        <c:scaling>
          <c:orientation val="minMax"/>
        </c:scaling>
        <c:delete val="0"/>
        <c:axPos val="b"/>
        <c:majorTickMark val="out"/>
        <c:minorTickMark val="none"/>
        <c:tickLblPos val="low"/>
        <c:crossAx val="167588608"/>
        <c:crosses val="autoZero"/>
        <c:auto val="1"/>
        <c:lblAlgn val="ctr"/>
        <c:lblOffset val="100"/>
        <c:noMultiLvlLbl val="0"/>
      </c:catAx>
      <c:valAx>
        <c:axId val="16758860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675868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616896"/>
        <c:axId val="167618432"/>
      </c:barChart>
      <c:catAx>
        <c:axId val="16761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618432"/>
        <c:crosses val="autoZero"/>
        <c:auto val="1"/>
        <c:lblAlgn val="ctr"/>
        <c:lblOffset val="100"/>
        <c:noMultiLvlLbl val="0"/>
      </c:catAx>
      <c:valAx>
        <c:axId val="16761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1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10</a:t>
            </a:r>
            <a:r>
              <a:rPr lang="en-US" sz="1400" baseline="0"/>
              <a:t> Biggest Monthly Declines in Market Index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Stats!$L$61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Stats!$K$62:$K$71</c:f>
              <c:numCache>
                <c:formatCode>mmm\-yy</c:formatCode>
                <c:ptCount val="10"/>
                <c:pt idx="0">
                  <c:v>40787</c:v>
                </c:pt>
                <c:pt idx="1">
                  <c:v>41426</c:v>
                </c:pt>
                <c:pt idx="2">
                  <c:v>41395</c:v>
                </c:pt>
                <c:pt idx="3">
                  <c:v>41487</c:v>
                </c:pt>
                <c:pt idx="4">
                  <c:v>40483</c:v>
                </c:pt>
                <c:pt idx="5">
                  <c:v>40513</c:v>
                </c:pt>
                <c:pt idx="6">
                  <c:v>40848</c:v>
                </c:pt>
                <c:pt idx="7">
                  <c:v>41579</c:v>
                </c:pt>
                <c:pt idx="8">
                  <c:v>41030</c:v>
                </c:pt>
                <c:pt idx="9">
                  <c:v>40299</c:v>
                </c:pt>
              </c:numCache>
            </c:numRef>
          </c:cat>
          <c:val>
            <c:numRef>
              <c:f>Stats!$L$62:$L$71</c:f>
              <c:numCache>
                <c:formatCode>0.00%</c:formatCode>
                <c:ptCount val="10"/>
                <c:pt idx="0">
                  <c:v>-5.0799999999999998E-2</c:v>
                </c:pt>
                <c:pt idx="1">
                  <c:v>-5.4999999999999997E-3</c:v>
                </c:pt>
                <c:pt idx="2">
                  <c:v>1.3899999999999999E-2</c:v>
                </c:pt>
                <c:pt idx="3">
                  <c:v>1.04E-2</c:v>
                </c:pt>
                <c:pt idx="4">
                  <c:v>2.12E-2</c:v>
                </c:pt>
                <c:pt idx="5">
                  <c:v>1.7899999999999999E-2</c:v>
                </c:pt>
                <c:pt idx="6">
                  <c:v>-2.7E-2</c:v>
                </c:pt>
                <c:pt idx="7">
                  <c:v>4.3E-3</c:v>
                </c:pt>
                <c:pt idx="8">
                  <c:v>-3.0000000000000001E-3</c:v>
                </c:pt>
                <c:pt idx="9">
                  <c:v>-9.4000000000000004E-3</c:v>
                </c:pt>
              </c:numCache>
            </c:numRef>
          </c:val>
        </c:ser>
        <c:ser>
          <c:idx val="1"/>
          <c:order val="1"/>
          <c:tx>
            <c:strRef>
              <c:f>Stats!$M$61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cat>
            <c:numRef>
              <c:f>Stats!$K$62:$K$71</c:f>
              <c:numCache>
                <c:formatCode>mmm\-yy</c:formatCode>
                <c:ptCount val="10"/>
                <c:pt idx="0">
                  <c:v>40787</c:v>
                </c:pt>
                <c:pt idx="1">
                  <c:v>41426</c:v>
                </c:pt>
                <c:pt idx="2">
                  <c:v>41395</c:v>
                </c:pt>
                <c:pt idx="3">
                  <c:v>41487</c:v>
                </c:pt>
                <c:pt idx="4">
                  <c:v>40483</c:v>
                </c:pt>
                <c:pt idx="5">
                  <c:v>40513</c:v>
                </c:pt>
                <c:pt idx="6">
                  <c:v>40848</c:v>
                </c:pt>
                <c:pt idx="7">
                  <c:v>41579</c:v>
                </c:pt>
                <c:pt idx="8">
                  <c:v>41030</c:v>
                </c:pt>
                <c:pt idx="9">
                  <c:v>40299</c:v>
                </c:pt>
              </c:numCache>
            </c:numRef>
          </c:cat>
          <c:val>
            <c:numRef>
              <c:f>Stats!$M$62:$M$71</c:f>
              <c:numCache>
                <c:formatCode>0.00%</c:formatCode>
                <c:ptCount val="10"/>
                <c:pt idx="0">
                  <c:v>-5.1111827263938148E-2</c:v>
                </c:pt>
                <c:pt idx="1">
                  <c:v>-3.935619632599674E-2</c:v>
                </c:pt>
                <c:pt idx="2">
                  <c:v>-2.4575613003439356E-2</c:v>
                </c:pt>
                <c:pt idx="3">
                  <c:v>-2.2183098591549322E-2</c:v>
                </c:pt>
                <c:pt idx="4">
                  <c:v>-1.4599022327916544E-2</c:v>
                </c:pt>
                <c:pt idx="5">
                  <c:v>-9.1171147013473508E-3</c:v>
                </c:pt>
                <c:pt idx="6">
                  <c:v>-8.998511037741852E-3</c:v>
                </c:pt>
                <c:pt idx="7">
                  <c:v>-7.4981397744834366E-3</c:v>
                </c:pt>
                <c:pt idx="8">
                  <c:v>-6.8349753694582072E-3</c:v>
                </c:pt>
                <c:pt idx="9">
                  <c:v>-6.8163880318578007E-3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725312"/>
        <c:axId val="167727104"/>
      </c:barChart>
      <c:catAx>
        <c:axId val="1677253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67727104"/>
        <c:crosses val="autoZero"/>
        <c:auto val="0"/>
        <c:lblAlgn val="ctr"/>
        <c:lblOffset val="100"/>
        <c:noMultiLvlLbl val="0"/>
      </c:catAx>
      <c:valAx>
        <c:axId val="16772710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677253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10</a:t>
            </a:r>
            <a:r>
              <a:rPr lang="en-US" sz="1400" baseline="0"/>
              <a:t> Worst Monthly Returns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Stats!$L$74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Stats!$K$75:$K$84</c:f>
              <c:numCache>
                <c:formatCode>mmm\-yy</c:formatCode>
                <c:ptCount val="10"/>
                <c:pt idx="0">
                  <c:v>40787</c:v>
                </c:pt>
                <c:pt idx="1">
                  <c:v>40848</c:v>
                </c:pt>
                <c:pt idx="2">
                  <c:v>40756</c:v>
                </c:pt>
                <c:pt idx="3">
                  <c:v>41699</c:v>
                </c:pt>
                <c:pt idx="4">
                  <c:v>40664</c:v>
                </c:pt>
                <c:pt idx="5">
                  <c:v>41730</c:v>
                </c:pt>
                <c:pt idx="6">
                  <c:v>40299</c:v>
                </c:pt>
                <c:pt idx="7">
                  <c:v>40695</c:v>
                </c:pt>
                <c:pt idx="8">
                  <c:v>41426</c:v>
                </c:pt>
                <c:pt idx="9">
                  <c:v>40725</c:v>
                </c:pt>
              </c:numCache>
            </c:numRef>
          </c:cat>
          <c:val>
            <c:numRef>
              <c:f>Stats!$L$75:$L$84</c:f>
              <c:numCache>
                <c:formatCode>0.00%</c:formatCode>
                <c:ptCount val="10"/>
                <c:pt idx="0">
                  <c:v>-5.0799999999999998E-2</c:v>
                </c:pt>
                <c:pt idx="1">
                  <c:v>-2.7E-2</c:v>
                </c:pt>
                <c:pt idx="2">
                  <c:v>-1.9400000000000001E-2</c:v>
                </c:pt>
                <c:pt idx="3">
                  <c:v>-1.9E-2</c:v>
                </c:pt>
                <c:pt idx="4">
                  <c:v>-1.15E-2</c:v>
                </c:pt>
                <c:pt idx="5">
                  <c:v>-1.0999999999999999E-2</c:v>
                </c:pt>
                <c:pt idx="6">
                  <c:v>-9.4000000000000004E-3</c:v>
                </c:pt>
                <c:pt idx="7">
                  <c:v>-8.3999999999999995E-3</c:v>
                </c:pt>
                <c:pt idx="8">
                  <c:v>-5.4999999999999997E-3</c:v>
                </c:pt>
                <c:pt idx="9">
                  <c:v>-4.1000000000000003E-3</c:v>
                </c:pt>
              </c:numCache>
            </c:numRef>
          </c:val>
        </c:ser>
        <c:ser>
          <c:idx val="1"/>
          <c:order val="1"/>
          <c:tx>
            <c:strRef>
              <c:f>Stats!$M$74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cat>
            <c:numRef>
              <c:f>Stats!$K$75:$K$84</c:f>
              <c:numCache>
                <c:formatCode>mmm\-yy</c:formatCode>
                <c:ptCount val="10"/>
                <c:pt idx="0">
                  <c:v>40787</c:v>
                </c:pt>
                <c:pt idx="1">
                  <c:v>40848</c:v>
                </c:pt>
                <c:pt idx="2">
                  <c:v>40756</c:v>
                </c:pt>
                <c:pt idx="3">
                  <c:v>41699</c:v>
                </c:pt>
                <c:pt idx="4">
                  <c:v>40664</c:v>
                </c:pt>
                <c:pt idx="5">
                  <c:v>41730</c:v>
                </c:pt>
                <c:pt idx="6">
                  <c:v>40299</c:v>
                </c:pt>
                <c:pt idx="7">
                  <c:v>40695</c:v>
                </c:pt>
                <c:pt idx="8">
                  <c:v>41426</c:v>
                </c:pt>
                <c:pt idx="9">
                  <c:v>40725</c:v>
                </c:pt>
              </c:numCache>
            </c:numRef>
          </c:cat>
          <c:val>
            <c:numRef>
              <c:f>Stats!$M$75:$M$84</c:f>
              <c:numCache>
                <c:formatCode>0.00%</c:formatCode>
                <c:ptCount val="10"/>
                <c:pt idx="0">
                  <c:v>-5.1111827263938148E-2</c:v>
                </c:pt>
                <c:pt idx="1">
                  <c:v>-8.998511037741852E-3</c:v>
                </c:pt>
                <c:pt idx="2">
                  <c:v>-5.1536429813814344E-4</c:v>
                </c:pt>
                <c:pt idx="3">
                  <c:v>6.3550981384623562E-3</c:v>
                </c:pt>
                <c:pt idx="4">
                  <c:v>9.8110705999339132E-3</c:v>
                </c:pt>
                <c:pt idx="5">
                  <c:v>7.0973510673968399E-3</c:v>
                </c:pt>
                <c:pt idx="6">
                  <c:v>-6.8163880318578007E-3</c:v>
                </c:pt>
                <c:pt idx="7">
                  <c:v>-1.2472920632837781E-3</c:v>
                </c:pt>
                <c:pt idx="8">
                  <c:v>-3.935619632599674E-2</c:v>
                </c:pt>
                <c:pt idx="9">
                  <c:v>2.0310240567898097E-2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760640"/>
        <c:axId val="167762176"/>
      </c:barChart>
      <c:catAx>
        <c:axId val="1677606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67762176"/>
        <c:crosses val="autoZero"/>
        <c:auto val="0"/>
        <c:lblAlgn val="ctr"/>
        <c:lblOffset val="100"/>
        <c:noMultiLvlLbl val="0"/>
      </c:catAx>
      <c:valAx>
        <c:axId val="1677621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67760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10</a:t>
            </a:r>
            <a:r>
              <a:rPr lang="en-US" sz="1400" baseline="0"/>
              <a:t> Best Monthly Returns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Stats!$L$87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Stats!$K$88:$K$97</c:f>
              <c:numCache>
                <c:formatCode>mmm\-yy</c:formatCode>
                <c:ptCount val="10"/>
                <c:pt idx="0">
                  <c:v>39904</c:v>
                </c:pt>
                <c:pt idx="1">
                  <c:v>39873</c:v>
                </c:pt>
                <c:pt idx="2">
                  <c:v>40452</c:v>
                </c:pt>
                <c:pt idx="3">
                  <c:v>39934</c:v>
                </c:pt>
                <c:pt idx="4">
                  <c:v>39995</c:v>
                </c:pt>
                <c:pt idx="5">
                  <c:v>40179</c:v>
                </c:pt>
                <c:pt idx="6">
                  <c:v>41640</c:v>
                </c:pt>
                <c:pt idx="7">
                  <c:v>39965</c:v>
                </c:pt>
                <c:pt idx="8">
                  <c:v>40422</c:v>
                </c:pt>
                <c:pt idx="9">
                  <c:v>40878</c:v>
                </c:pt>
              </c:numCache>
            </c:numRef>
          </c:cat>
          <c:val>
            <c:numRef>
              <c:f>Stats!$L$88:$L$97</c:f>
              <c:numCache>
                <c:formatCode>0.00%</c:formatCode>
                <c:ptCount val="10"/>
                <c:pt idx="0">
                  <c:v>0.25790000000000002</c:v>
                </c:pt>
                <c:pt idx="1">
                  <c:v>0.1363</c:v>
                </c:pt>
                <c:pt idx="2">
                  <c:v>9.01E-2</c:v>
                </c:pt>
                <c:pt idx="3">
                  <c:v>8.6900000000000005E-2</c:v>
                </c:pt>
                <c:pt idx="4">
                  <c:v>8.3599999999999994E-2</c:v>
                </c:pt>
                <c:pt idx="5">
                  <c:v>7.51E-2</c:v>
                </c:pt>
                <c:pt idx="6">
                  <c:v>7.2099999999999997E-2</c:v>
                </c:pt>
                <c:pt idx="7">
                  <c:v>7.0599999999999996E-2</c:v>
                </c:pt>
                <c:pt idx="8">
                  <c:v>6.9199999999999998E-2</c:v>
                </c:pt>
                <c:pt idx="9">
                  <c:v>4.8500000000000001E-2</c:v>
                </c:pt>
              </c:numCache>
            </c:numRef>
          </c:val>
        </c:ser>
        <c:ser>
          <c:idx val="1"/>
          <c:order val="1"/>
          <c:tx>
            <c:strRef>
              <c:f>Stats!$M$87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cat>
            <c:numRef>
              <c:f>Stats!$K$88:$K$97</c:f>
              <c:numCache>
                <c:formatCode>mmm\-yy</c:formatCode>
                <c:ptCount val="10"/>
                <c:pt idx="0">
                  <c:v>39904</c:v>
                </c:pt>
                <c:pt idx="1">
                  <c:v>39873</c:v>
                </c:pt>
                <c:pt idx="2">
                  <c:v>40452</c:v>
                </c:pt>
                <c:pt idx="3">
                  <c:v>39934</c:v>
                </c:pt>
                <c:pt idx="4">
                  <c:v>39995</c:v>
                </c:pt>
                <c:pt idx="5">
                  <c:v>40179</c:v>
                </c:pt>
                <c:pt idx="6">
                  <c:v>41640</c:v>
                </c:pt>
                <c:pt idx="7">
                  <c:v>39965</c:v>
                </c:pt>
                <c:pt idx="8">
                  <c:v>40422</c:v>
                </c:pt>
                <c:pt idx="9">
                  <c:v>40878</c:v>
                </c:pt>
              </c:numCache>
            </c:numRef>
          </c:cat>
          <c:val>
            <c:numRef>
              <c:f>Stats!$M$88:$M$97</c:f>
              <c:numCache>
                <c:formatCode>0.00%</c:formatCode>
                <c:ptCount val="10"/>
                <c:pt idx="0">
                  <c:v>4.7153271200516711E-2</c:v>
                </c:pt>
                <c:pt idx="1">
                  <c:v>2.9839399410814371E-2</c:v>
                </c:pt>
                <c:pt idx="2">
                  <c:v>4.3789808917196194E-3</c:v>
                </c:pt>
                <c:pt idx="3">
                  <c:v>4.0623898484314358E-2</c:v>
                </c:pt>
                <c:pt idx="4">
                  <c:v>3.6770850743774064E-2</c:v>
                </c:pt>
                <c:pt idx="5">
                  <c:v>9.1018504588535887E-3</c:v>
                </c:pt>
                <c:pt idx="6">
                  <c:v>8.897105552024831E-3</c:v>
                </c:pt>
                <c:pt idx="7">
                  <c:v>1.3294944533830177E-2</c:v>
                </c:pt>
                <c:pt idx="8">
                  <c:v>1.2903225806451424E-2</c:v>
                </c:pt>
                <c:pt idx="9">
                  <c:v>9.4068460935459175E-3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18592"/>
        <c:axId val="167924480"/>
      </c:barChart>
      <c:catAx>
        <c:axId val="1679185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67924480"/>
        <c:crosses val="autoZero"/>
        <c:auto val="0"/>
        <c:lblAlgn val="ctr"/>
        <c:lblOffset val="100"/>
        <c:noMultiLvlLbl val="0"/>
      </c:catAx>
      <c:valAx>
        <c:axId val="1679244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679185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36384"/>
        <c:axId val="167937920"/>
      </c:barChart>
      <c:catAx>
        <c:axId val="16793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7937920"/>
        <c:crosses val="autoZero"/>
        <c:auto val="1"/>
        <c:lblAlgn val="ctr"/>
        <c:lblOffset val="100"/>
        <c:noMultiLvlLbl val="0"/>
      </c:catAx>
      <c:valAx>
        <c:axId val="1679379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67936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Return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'Rolling 12M'!$C$2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'Rolling 12M'!$F$2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[0]!rbr</c:f>
              <c:numCache>
                <c:formatCode>0.00%</c:formatCode>
                <c:ptCount val="56"/>
                <c:pt idx="0">
                  <c:v>0.27949951876804602</c:v>
                </c:pt>
                <c:pt idx="1">
                  <c:v>0.27749738120179024</c:v>
                </c:pt>
                <c:pt idx="2">
                  <c:v>0.28527986315689424</c:v>
                </c:pt>
                <c:pt idx="3">
                  <c:v>0.26907815816185288</c:v>
                </c:pt>
                <c:pt idx="4">
                  <c:v>0.22814592879802542</c:v>
                </c:pt>
                <c:pt idx="5">
                  <c:v>0.1721568295367939</c:v>
                </c:pt>
                <c:pt idx="6">
                  <c:v>0.17499582149423332</c:v>
                </c:pt>
                <c:pt idx="7">
                  <c:v>0.16766080928582916</c:v>
                </c:pt>
                <c:pt idx="8">
                  <c:v>0.17693585383215948</c:v>
                </c:pt>
                <c:pt idx="9">
                  <c:v>0.15938461538461479</c:v>
                </c:pt>
                <c:pt idx="10">
                  <c:v>0.15973339462192482</c:v>
                </c:pt>
                <c:pt idx="11">
                  <c:v>0.12640640338291842</c:v>
                </c:pt>
                <c:pt idx="12">
                  <c:v>0.11185497216789475</c:v>
                </c:pt>
                <c:pt idx="13">
                  <c:v>0.10234811777860564</c:v>
                </c:pt>
                <c:pt idx="14">
                  <c:v>9.6044362292051488E-2</c:v>
                </c:pt>
                <c:pt idx="15">
                  <c:v>8.2382025739838438E-2</c:v>
                </c:pt>
                <c:pt idx="16">
                  <c:v>8.237066800602677E-2</c:v>
                </c:pt>
                <c:pt idx="17">
                  <c:v>0.10049125848865814</c:v>
                </c:pt>
                <c:pt idx="18">
                  <c:v>8.2076813655761027E-2</c:v>
                </c:pt>
                <c:pt idx="19">
                  <c:v>7.1586359243407394E-2</c:v>
                </c:pt>
                <c:pt idx="20">
                  <c:v>4.2674731182796188E-2</c:v>
                </c:pt>
                <c:pt idx="21">
                  <c:v>-2.3221868365180143E-2</c:v>
                </c:pt>
                <c:pt idx="22">
                  <c:v>2.0412207689259443E-2</c:v>
                </c:pt>
                <c:pt idx="23">
                  <c:v>2.6211704766374799E-2</c:v>
                </c:pt>
                <c:pt idx="24">
                  <c:v>4.539611663622245E-2</c:v>
                </c:pt>
                <c:pt idx="25">
                  <c:v>6.4985123072762496E-2</c:v>
                </c:pt>
                <c:pt idx="26">
                  <c:v>8.7021046950890746E-2</c:v>
                </c:pt>
                <c:pt idx="27">
                  <c:v>8.0343947333064492E-2</c:v>
                </c:pt>
                <c:pt idx="28">
                  <c:v>7.6566125290023601E-2</c:v>
                </c:pt>
                <c:pt idx="29">
                  <c:v>5.8819667826429445E-2</c:v>
                </c:pt>
                <c:pt idx="30">
                  <c:v>8.5118969370317377E-2</c:v>
                </c:pt>
                <c:pt idx="31">
                  <c:v>9.2701153127617175E-2</c:v>
                </c:pt>
                <c:pt idx="32">
                  <c:v>9.8163067998711107E-2</c:v>
                </c:pt>
                <c:pt idx="33">
                  <c:v>0.17871213150387177</c:v>
                </c:pt>
                <c:pt idx="34">
                  <c:v>0.13562504046093071</c:v>
                </c:pt>
                <c:pt idx="35">
                  <c:v>0.15638881630520007</c:v>
                </c:pt>
                <c:pt idx="36">
                  <c:v>0.14839502976960883</c:v>
                </c:pt>
                <c:pt idx="37">
                  <c:v>0.11911867420153666</c:v>
                </c:pt>
                <c:pt idx="38">
                  <c:v>0.1009681022713167</c:v>
                </c:pt>
                <c:pt idx="39">
                  <c:v>0.1022882726029104</c:v>
                </c:pt>
                <c:pt idx="40">
                  <c:v>0.1099753694581278</c:v>
                </c:pt>
                <c:pt idx="41">
                  <c:v>9.0148180296360625E-2</c:v>
                </c:pt>
                <c:pt idx="42">
                  <c:v>2.313889393664037E-2</c:v>
                </c:pt>
                <c:pt idx="43">
                  <c:v>4.5985143261408901E-3</c:v>
                </c:pt>
                <c:pt idx="44">
                  <c:v>-2.206831787768504E-2</c:v>
                </c:pt>
                <c:pt idx="45">
                  <c:v>-1.7576211606062597E-2</c:v>
                </c:pt>
                <c:pt idx="46">
                  <c:v>-4.0474290274767899E-3</c:v>
                </c:pt>
                <c:pt idx="47">
                  <c:v>-2.0449666704327352E-2</c:v>
                </c:pt>
                <c:pt idx="48">
                  <c:v>-2.4570301493378466E-2</c:v>
                </c:pt>
                <c:pt idx="49">
                  <c:v>-9.1914893617024429E-3</c:v>
                </c:pt>
                <c:pt idx="50">
                  <c:v>2.2546643368468455E-3</c:v>
                </c:pt>
                <c:pt idx="51">
                  <c:v>9.4206577537088165E-3</c:v>
                </c:pt>
                <c:pt idx="52">
                  <c:v>-2.7737712193509623E-4</c:v>
                </c:pt>
                <c:pt idx="53">
                  <c:v>4.8455894898481011E-2</c:v>
                </c:pt>
                <c:pt idx="54">
                  <c:v>9.2830501450476222E-2</c:v>
                </c:pt>
                <c:pt idx="55">
                  <c:v>9.1138497652581307E-2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32128"/>
        <c:axId val="279781376"/>
      </c:lineChart>
      <c:dateAx>
        <c:axId val="2796321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279781376"/>
        <c:crosses val="autoZero"/>
        <c:auto val="1"/>
        <c:lblOffset val="100"/>
        <c:baseTimeUnit val="months"/>
      </c:dateAx>
      <c:valAx>
        <c:axId val="2797813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2796321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VOL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'Rolling 12M'!$C$2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[0]!rfv</c:f>
              <c:numCache>
                <c:formatCode>0.00%</c:formatCode>
                <c:ptCount val="56"/>
                <c:pt idx="0">
                  <c:v>0.26056710704294062</c:v>
                </c:pt>
                <c:pt idx="1">
                  <c:v>0.25268673203287612</c:v>
                </c:pt>
                <c:pt idx="2">
                  <c:v>0.25685900447875709</c:v>
                </c:pt>
                <c:pt idx="3">
                  <c:v>0.24542858061321671</c:v>
                </c:pt>
                <c:pt idx="4">
                  <c:v>0.11338526439453313</c:v>
                </c:pt>
                <c:pt idx="5">
                  <c:v>0.10797903416025638</c:v>
                </c:pt>
                <c:pt idx="6">
                  <c:v>9.800190628943721E-2</c:v>
                </c:pt>
                <c:pt idx="7">
                  <c:v>7.4588397830420594E-2</c:v>
                </c:pt>
                <c:pt idx="8">
                  <c:v>7.4532409058073526E-2</c:v>
                </c:pt>
                <c:pt idx="9">
                  <c:v>8.9153514181489757E-2</c:v>
                </c:pt>
                <c:pt idx="10">
                  <c:v>0.10970258967689951</c:v>
                </c:pt>
                <c:pt idx="11">
                  <c:v>0.10568740786781637</c:v>
                </c:pt>
                <c:pt idx="12">
                  <c:v>0.10335099506931794</c:v>
                </c:pt>
                <c:pt idx="13">
                  <c:v>9.458529580129342E-2</c:v>
                </c:pt>
                <c:pt idx="14">
                  <c:v>9.4415676664418344E-2</c:v>
                </c:pt>
                <c:pt idx="15">
                  <c:v>9.4717738570977303E-2</c:v>
                </c:pt>
                <c:pt idx="16">
                  <c:v>9.4159439250666735E-2</c:v>
                </c:pt>
                <c:pt idx="17">
                  <c:v>9.5044042422447517E-2</c:v>
                </c:pt>
                <c:pt idx="18">
                  <c:v>0.10108071931966958</c:v>
                </c:pt>
                <c:pt idx="19">
                  <c:v>0.10470962011894872</c:v>
                </c:pt>
                <c:pt idx="20">
                  <c:v>0.11225019133411512</c:v>
                </c:pt>
                <c:pt idx="21">
                  <c:v>0.116241582295431</c:v>
                </c:pt>
                <c:pt idx="22">
                  <c:v>7.9555052407979499E-2</c:v>
                </c:pt>
                <c:pt idx="23">
                  <c:v>8.1889210078451277E-2</c:v>
                </c:pt>
                <c:pt idx="24">
                  <c:v>9.4476100874049798E-2</c:v>
                </c:pt>
                <c:pt idx="25">
                  <c:v>9.8157739471637251E-2</c:v>
                </c:pt>
                <c:pt idx="26">
                  <c:v>0.10040095526528529</c:v>
                </c:pt>
                <c:pt idx="27">
                  <c:v>0.10025549180151497</c:v>
                </c:pt>
                <c:pt idx="28">
                  <c:v>9.6857252039933853E-2</c:v>
                </c:pt>
                <c:pt idx="29">
                  <c:v>9.6034818496399332E-2</c:v>
                </c:pt>
                <c:pt idx="30">
                  <c:v>9.6304781340756443E-2</c:v>
                </c:pt>
                <c:pt idx="31">
                  <c:v>9.5982308975996383E-2</c:v>
                </c:pt>
                <c:pt idx="32">
                  <c:v>9.2386874313695369E-2</c:v>
                </c:pt>
                <c:pt idx="33">
                  <c:v>6.7559986813067241E-2</c:v>
                </c:pt>
                <c:pt idx="34">
                  <c:v>6.5142417405670075E-2</c:v>
                </c:pt>
                <c:pt idx="35">
                  <c:v>5.0618385089717249E-2</c:v>
                </c:pt>
                <c:pt idx="36">
                  <c:v>4.426806770327589E-2</c:v>
                </c:pt>
                <c:pt idx="37">
                  <c:v>5.0545640941448325E-2</c:v>
                </c:pt>
                <c:pt idx="38">
                  <c:v>4.954126838028345E-2</c:v>
                </c:pt>
                <c:pt idx="39">
                  <c:v>4.69622672520668E-2</c:v>
                </c:pt>
                <c:pt idx="40">
                  <c:v>4.5261532935113494E-2</c:v>
                </c:pt>
                <c:pt idx="41">
                  <c:v>3.928872149057077E-2</c:v>
                </c:pt>
                <c:pt idx="42">
                  <c:v>4.6743983570080978E-2</c:v>
                </c:pt>
                <c:pt idx="43">
                  <c:v>4.8291953028146699E-2</c:v>
                </c:pt>
                <c:pt idx="44">
                  <c:v>4.8224437411299718E-2</c:v>
                </c:pt>
                <c:pt idx="45">
                  <c:v>4.7309080427641925E-2</c:v>
                </c:pt>
                <c:pt idx="46">
                  <c:v>4.7359361175052746E-2</c:v>
                </c:pt>
                <c:pt idx="47">
                  <c:v>4.9367784858328233E-2</c:v>
                </c:pt>
                <c:pt idx="48">
                  <c:v>4.3691646798901987E-2</c:v>
                </c:pt>
                <c:pt idx="49">
                  <c:v>6.7308354202539722E-2</c:v>
                </c:pt>
                <c:pt idx="50">
                  <c:v>6.7229775600344863E-2</c:v>
                </c:pt>
                <c:pt idx="51">
                  <c:v>7.704706353911224E-2</c:v>
                </c:pt>
                <c:pt idx="52">
                  <c:v>7.9704881794142202E-2</c:v>
                </c:pt>
                <c:pt idx="53">
                  <c:v>8.0075118141995555E-2</c:v>
                </c:pt>
                <c:pt idx="54">
                  <c:v>7.8120809705806996E-2</c:v>
                </c:pt>
                <c:pt idx="55">
                  <c:v>7.7334268541889573E-2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'Rolling 12M'!$F$2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[0]!rbv</c:f>
              <c:numCache>
                <c:formatCode>0.00%</c:formatCode>
                <c:ptCount val="56"/>
                <c:pt idx="0">
                  <c:v>5.3225450139267917E-2</c:v>
                </c:pt>
                <c:pt idx="1">
                  <c:v>5.3577557933150645E-2</c:v>
                </c:pt>
                <c:pt idx="2">
                  <c:v>5.1572063553801777E-2</c:v>
                </c:pt>
                <c:pt idx="3">
                  <c:v>5.0837655744543402E-2</c:v>
                </c:pt>
                <c:pt idx="4">
                  <c:v>4.1659120420196351E-2</c:v>
                </c:pt>
                <c:pt idx="5">
                  <c:v>3.9696366164751001E-2</c:v>
                </c:pt>
                <c:pt idx="6">
                  <c:v>3.9766140487390376E-2</c:v>
                </c:pt>
                <c:pt idx="7">
                  <c:v>3.599835331932124E-2</c:v>
                </c:pt>
                <c:pt idx="8">
                  <c:v>3.8318896288487073E-2</c:v>
                </c:pt>
                <c:pt idx="9">
                  <c:v>3.4898819819939135E-2</c:v>
                </c:pt>
                <c:pt idx="10">
                  <c:v>3.4821015874878757E-2</c:v>
                </c:pt>
                <c:pt idx="11">
                  <c:v>4.3930849058051308E-2</c:v>
                </c:pt>
                <c:pt idx="12">
                  <c:v>4.7678694444569444E-2</c:v>
                </c:pt>
                <c:pt idx="13">
                  <c:v>4.8425790809884267E-2</c:v>
                </c:pt>
                <c:pt idx="14">
                  <c:v>4.8773252054203305E-2</c:v>
                </c:pt>
                <c:pt idx="15">
                  <c:v>4.7832449020613108E-2</c:v>
                </c:pt>
                <c:pt idx="16">
                  <c:v>4.783083172811986E-2</c:v>
                </c:pt>
                <c:pt idx="17">
                  <c:v>4.5538402420184941E-2</c:v>
                </c:pt>
                <c:pt idx="18">
                  <c:v>4.5591739177303886E-2</c:v>
                </c:pt>
                <c:pt idx="19">
                  <c:v>4.0786247613602965E-2</c:v>
                </c:pt>
                <c:pt idx="20">
                  <c:v>3.3766535093610134E-2</c:v>
                </c:pt>
                <c:pt idx="21">
                  <c:v>6.2683547036079756E-2</c:v>
                </c:pt>
                <c:pt idx="22">
                  <c:v>8.0916057401341765E-2</c:v>
                </c:pt>
                <c:pt idx="23">
                  <c:v>7.9854394238604604E-2</c:v>
                </c:pt>
                <c:pt idx="24">
                  <c:v>7.9083916255853343E-2</c:v>
                </c:pt>
                <c:pt idx="25">
                  <c:v>8.0396922991298178E-2</c:v>
                </c:pt>
                <c:pt idx="26">
                  <c:v>8.2187262693386998E-2</c:v>
                </c:pt>
                <c:pt idx="27">
                  <c:v>8.2667452140977066E-2</c:v>
                </c:pt>
                <c:pt idx="28">
                  <c:v>8.243233409162061E-2</c:v>
                </c:pt>
                <c:pt idx="29">
                  <c:v>8.3362549467580677E-2</c:v>
                </c:pt>
                <c:pt idx="30">
                  <c:v>8.4996291424088766E-2</c:v>
                </c:pt>
                <c:pt idx="31">
                  <c:v>8.6490195895464972E-2</c:v>
                </c:pt>
                <c:pt idx="32">
                  <c:v>8.6115845306680316E-2</c:v>
                </c:pt>
                <c:pt idx="33">
                  <c:v>5.7146171121980831E-2</c:v>
                </c:pt>
                <c:pt idx="34">
                  <c:v>4.21955550532115E-2</c:v>
                </c:pt>
                <c:pt idx="35">
                  <c:v>3.6457446396015038E-2</c:v>
                </c:pt>
                <c:pt idx="36">
                  <c:v>3.7694169015537453E-2</c:v>
                </c:pt>
                <c:pt idx="37">
                  <c:v>4.0826901400095351E-2</c:v>
                </c:pt>
                <c:pt idx="38">
                  <c:v>3.8033325536699976E-2</c:v>
                </c:pt>
                <c:pt idx="39">
                  <c:v>3.7704435761220179E-2</c:v>
                </c:pt>
                <c:pt idx="40">
                  <c:v>3.8680008322807651E-2</c:v>
                </c:pt>
                <c:pt idx="41">
                  <c:v>4.9149163560530514E-2</c:v>
                </c:pt>
                <c:pt idx="42">
                  <c:v>6.4370398455005473E-2</c:v>
                </c:pt>
                <c:pt idx="43">
                  <c:v>5.8817918615447752E-2</c:v>
                </c:pt>
                <c:pt idx="44">
                  <c:v>6.2768468321418219E-2</c:v>
                </c:pt>
                <c:pt idx="45">
                  <c:v>6.4559224135058074E-2</c:v>
                </c:pt>
                <c:pt idx="46">
                  <c:v>6.8792789857288469E-2</c:v>
                </c:pt>
                <c:pt idx="47">
                  <c:v>6.8354029983327597E-2</c:v>
                </c:pt>
                <c:pt idx="48">
                  <c:v>6.8216805204245778E-2</c:v>
                </c:pt>
                <c:pt idx="49">
                  <c:v>6.8792066104927496E-2</c:v>
                </c:pt>
                <c:pt idx="50">
                  <c:v>7.1059421970672262E-2</c:v>
                </c:pt>
                <c:pt idx="51">
                  <c:v>7.1289736193963268E-2</c:v>
                </c:pt>
                <c:pt idx="52">
                  <c:v>6.956276289954301E-2</c:v>
                </c:pt>
                <c:pt idx="53">
                  <c:v>6.7330450066874853E-2</c:v>
                </c:pt>
                <c:pt idx="54">
                  <c:v>4.8262409605118961E-2</c:v>
                </c:pt>
                <c:pt idx="55">
                  <c:v>4.8241519052254545E-2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819008"/>
        <c:axId val="279820544"/>
      </c:lineChart>
      <c:dateAx>
        <c:axId val="2798190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279820544"/>
        <c:crosses val="autoZero"/>
        <c:auto val="1"/>
        <c:lblOffset val="100"/>
        <c:baseTimeUnit val="months"/>
      </c:dateAx>
      <c:valAx>
        <c:axId val="27982054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279819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Return/VOL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'Rolling 12M'!$C$2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[0]!rfrv</c:f>
              <c:numCache>
                <c:formatCode>0.00</c:formatCode>
                <c:ptCount val="56"/>
                <c:pt idx="0">
                  <c:v>3.7534646511560115</c:v>
                </c:pt>
                <c:pt idx="1">
                  <c:v>4.4424437635989511</c:v>
                </c:pt>
                <c:pt idx="2">
                  <c:v>4.2018210661759658</c:v>
                </c:pt>
                <c:pt idx="3">
                  <c:v>3.6921956959678535</c:v>
                </c:pt>
                <c:pt idx="4">
                  <c:v>4.7563666000805869</c:v>
                </c:pt>
                <c:pt idx="5">
                  <c:v>3.7314540360622583</c:v>
                </c:pt>
                <c:pt idx="6">
                  <c:v>3.5123060859257405</c:v>
                </c:pt>
                <c:pt idx="7">
                  <c:v>3.5853478017516704</c:v>
                </c:pt>
                <c:pt idx="8">
                  <c:v>3.6348362662520199</c:v>
                </c:pt>
                <c:pt idx="9">
                  <c:v>3.7000127917314765</c:v>
                </c:pt>
                <c:pt idx="10">
                  <c:v>3.9128706956411272</c:v>
                </c:pt>
                <c:pt idx="11">
                  <c:v>4.3275367597863026</c:v>
                </c:pt>
                <c:pt idx="12">
                  <c:v>4.5794170995872783</c:v>
                </c:pt>
                <c:pt idx="13">
                  <c:v>4.0693248798175947</c:v>
                </c:pt>
                <c:pt idx="14">
                  <c:v>4.0882641379439875</c:v>
                </c:pt>
                <c:pt idx="15">
                  <c:v>3.627122437097825</c:v>
                </c:pt>
                <c:pt idx="16">
                  <c:v>3.8045500999635835</c:v>
                </c:pt>
                <c:pt idx="17">
                  <c:v>3.7388450338687225</c:v>
                </c:pt>
                <c:pt idx="18">
                  <c:v>3.0685143660967853</c:v>
                </c:pt>
                <c:pt idx="19">
                  <c:v>2.6462061967348713</c:v>
                </c:pt>
                <c:pt idx="20">
                  <c:v>2.0257584852582622</c:v>
                </c:pt>
                <c:pt idx="21">
                  <c:v>0.77112998240560349</c:v>
                </c:pt>
                <c:pt idx="22">
                  <c:v>0.37411565379622813</c:v>
                </c:pt>
                <c:pt idx="23">
                  <c:v>-0.2300836444765274</c:v>
                </c:pt>
                <c:pt idx="24">
                  <c:v>0.11277049925626256</c:v>
                </c:pt>
                <c:pt idx="25">
                  <c:v>0.29498536920216395</c:v>
                </c:pt>
                <c:pt idx="26">
                  <c:v>0.43757014984921971</c:v>
                </c:pt>
                <c:pt idx="27">
                  <c:v>0.33818186617060969</c:v>
                </c:pt>
                <c:pt idx="28">
                  <c:v>7.3542743126401633E-2</c:v>
                </c:pt>
                <c:pt idx="29">
                  <c:v>0.16434962446838972</c:v>
                </c:pt>
                <c:pt idx="30">
                  <c:v>0.42023916289456359</c:v>
                </c:pt>
                <c:pt idx="31">
                  <c:v>0.54791548413603208</c:v>
                </c:pt>
                <c:pt idx="32">
                  <c:v>0.91082827788163678</c:v>
                </c:pt>
                <c:pt idx="33">
                  <c:v>2.2446847970622974</c:v>
                </c:pt>
                <c:pt idx="34">
                  <c:v>2.1340735771560588</c:v>
                </c:pt>
                <c:pt idx="35">
                  <c:v>3.8587916800689297</c:v>
                </c:pt>
                <c:pt idx="36">
                  <c:v>4.1676876452311671</c:v>
                </c:pt>
                <c:pt idx="37">
                  <c:v>3.9507195102337676</c:v>
                </c:pt>
                <c:pt idx="38">
                  <c:v>3.8110125026497279</c:v>
                </c:pt>
                <c:pt idx="39">
                  <c:v>4.45312574767095</c:v>
                </c:pt>
                <c:pt idx="40">
                  <c:v>5.3922660217921878</c:v>
                </c:pt>
                <c:pt idx="41">
                  <c:v>6.748759731765519</c:v>
                </c:pt>
                <c:pt idx="42">
                  <c:v>5.1074710344406631</c:v>
                </c:pt>
                <c:pt idx="43">
                  <c:v>4.8113611583908895</c:v>
                </c:pt>
                <c:pt idx="44">
                  <c:v>4.8282177870376382</c:v>
                </c:pt>
                <c:pt idx="45">
                  <c:v>5.2938001918506821</c:v>
                </c:pt>
                <c:pt idx="46">
                  <c:v>5.2311700019157401</c:v>
                </c:pt>
                <c:pt idx="47">
                  <c:v>4.6025139114440368</c:v>
                </c:pt>
                <c:pt idx="48">
                  <c:v>4.7138346388644186</c:v>
                </c:pt>
                <c:pt idx="49">
                  <c:v>3.575667067879837</c:v>
                </c:pt>
                <c:pt idx="50">
                  <c:v>3.6325570601399417</c:v>
                </c:pt>
                <c:pt idx="51">
                  <c:v>2.5949980039687159</c:v>
                </c:pt>
                <c:pt idx="52">
                  <c:v>1.9204354606229794</c:v>
                </c:pt>
                <c:pt idx="53">
                  <c:v>1.772372430505903</c:v>
                </c:pt>
                <c:pt idx="54">
                  <c:v>2.0077880593186404</c:v>
                </c:pt>
                <c:pt idx="55">
                  <c:v>2.1879035343954434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'Rolling 12M'!$F$2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[0]!rbrv</c:f>
              <c:numCache>
                <c:formatCode>0.00</c:formatCode>
                <c:ptCount val="56"/>
                <c:pt idx="0">
                  <c:v>5.2512382335277019</c:v>
                </c:pt>
                <c:pt idx="1">
                  <c:v>5.1793585207453283</c:v>
                </c:pt>
                <c:pt idx="2">
                  <c:v>5.5316743891638218</c:v>
                </c:pt>
                <c:pt idx="3">
                  <c:v>5.2928907562920831</c:v>
                </c:pt>
                <c:pt idx="4">
                  <c:v>5.4764941385421144</c:v>
                </c:pt>
                <c:pt idx="5">
                  <c:v>4.3368410302921685</c:v>
                </c:pt>
                <c:pt idx="6">
                  <c:v>4.4006237303749289</c:v>
                </c:pt>
                <c:pt idx="7">
                  <c:v>4.6574577397639274</c:v>
                </c:pt>
                <c:pt idx="8">
                  <c:v>4.6174569460477892</c:v>
                </c:pt>
                <c:pt idx="9">
                  <c:v>4.5670488631696307</c:v>
                </c:pt>
                <c:pt idx="10">
                  <c:v>4.5872698026929974</c:v>
                </c:pt>
                <c:pt idx="11">
                  <c:v>2.8773949535070873</c:v>
                </c:pt>
                <c:pt idx="12">
                  <c:v>2.3460158351847431</c:v>
                </c:pt>
                <c:pt idx="13">
                  <c:v>2.1135043138565575</c:v>
                </c:pt>
                <c:pt idx="14">
                  <c:v>1.9692015243378533</c:v>
                </c:pt>
                <c:pt idx="15">
                  <c:v>1.7223041559995473</c:v>
                </c:pt>
                <c:pt idx="16">
                  <c:v>1.7221249355277437</c:v>
                </c:pt>
                <c:pt idx="17">
                  <c:v>2.2067365816090927</c:v>
                </c:pt>
                <c:pt idx="18">
                  <c:v>1.8002562555591177</c:v>
                </c:pt>
                <c:pt idx="19">
                  <c:v>1.7551592370446951</c:v>
                </c:pt>
                <c:pt idx="20">
                  <c:v>1.2638172991244165</c:v>
                </c:pt>
                <c:pt idx="21">
                  <c:v>-0.37046193878935996</c:v>
                </c:pt>
                <c:pt idx="22">
                  <c:v>0.2522639923991275</c:v>
                </c:pt>
                <c:pt idx="23">
                  <c:v>0.32824373681997177</c:v>
                </c:pt>
                <c:pt idx="24">
                  <c:v>0.57402464098207184</c:v>
                </c:pt>
                <c:pt idx="25">
                  <c:v>0.80830360982591598</c:v>
                </c:pt>
                <c:pt idx="26">
                  <c:v>1.0588142748534766</c:v>
                </c:pt>
                <c:pt idx="27">
                  <c:v>0.97189335406212618</c:v>
                </c:pt>
                <c:pt idx="28">
                  <c:v>0.92883607062397477</c:v>
                </c:pt>
                <c:pt idx="29">
                  <c:v>0.70558863904833136</c:v>
                </c:pt>
                <c:pt idx="30">
                  <c:v>1.0014433329286865</c:v>
                </c:pt>
                <c:pt idx="31">
                  <c:v>1.0718111130151557</c:v>
                </c:pt>
                <c:pt idx="32">
                  <c:v>1.1398955401195632</c:v>
                </c:pt>
                <c:pt idx="33">
                  <c:v>3.127280935802391</c:v>
                </c:pt>
                <c:pt idx="34">
                  <c:v>3.214202071519102</c:v>
                </c:pt>
                <c:pt idx="35">
                  <c:v>4.2896261742098885</c:v>
                </c:pt>
                <c:pt idx="36">
                  <c:v>3.9368165858342898</c:v>
                </c:pt>
                <c:pt idx="37">
                  <c:v>2.9176516002083481</c:v>
                </c:pt>
                <c:pt idx="38">
                  <c:v>2.6547271595771522</c:v>
                </c:pt>
                <c:pt idx="39">
                  <c:v>2.7128975818838823</c:v>
                </c:pt>
                <c:pt idx="40">
                  <c:v>2.8432095603578471</c:v>
                </c:pt>
                <c:pt idx="41">
                  <c:v>1.8341752690325452</c:v>
                </c:pt>
                <c:pt idx="42">
                  <c:v>0.35946482377011102</c:v>
                </c:pt>
                <c:pt idx="43">
                  <c:v>7.8182200839271979E-2</c:v>
                </c:pt>
                <c:pt idx="44">
                  <c:v>-0.35158286426044205</c:v>
                </c:pt>
                <c:pt idx="45">
                  <c:v>-0.27224942433157368</c:v>
                </c:pt>
                <c:pt idx="46">
                  <c:v>-5.8835076115872513E-2</c:v>
                </c:pt>
                <c:pt idx="47">
                  <c:v>-0.29917280238363825</c:v>
                </c:pt>
                <c:pt idx="48">
                  <c:v>-0.36017959826487483</c:v>
                </c:pt>
                <c:pt idx="49">
                  <c:v>-0.1336126370689725</c:v>
                </c:pt>
                <c:pt idx="50">
                  <c:v>3.1729280569962888E-2</c:v>
                </c:pt>
                <c:pt idx="51">
                  <c:v>0.13214605996124512</c:v>
                </c:pt>
                <c:pt idx="52">
                  <c:v>-3.9874368178225202E-3</c:v>
                </c:pt>
                <c:pt idx="53">
                  <c:v>0.71967282040076963</c:v>
                </c:pt>
                <c:pt idx="54">
                  <c:v>1.9234535161010722</c:v>
                </c:pt>
                <c:pt idx="55">
                  <c:v>1.8892128490784328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52832"/>
        <c:axId val="149754624"/>
      </c:lineChart>
      <c:dateAx>
        <c:axId val="1497528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49754624"/>
        <c:crosses val="autoZero"/>
        <c:auto val="1"/>
        <c:lblOffset val="100"/>
        <c:baseTimeUnit val="months"/>
      </c:dateAx>
      <c:valAx>
        <c:axId val="1497546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97528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Risk and Return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Return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1"/>
          <c:order val="1"/>
          <c:tx>
            <c:v>Rolling VOL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[0]!rfv</c:f>
              <c:numCache>
                <c:formatCode>0.00%</c:formatCode>
                <c:ptCount val="56"/>
                <c:pt idx="0">
                  <c:v>0.26056710704294062</c:v>
                </c:pt>
                <c:pt idx="1">
                  <c:v>0.25268673203287612</c:v>
                </c:pt>
                <c:pt idx="2">
                  <c:v>0.25685900447875709</c:v>
                </c:pt>
                <c:pt idx="3">
                  <c:v>0.24542858061321671</c:v>
                </c:pt>
                <c:pt idx="4">
                  <c:v>0.11338526439453313</c:v>
                </c:pt>
                <c:pt idx="5">
                  <c:v>0.10797903416025638</c:v>
                </c:pt>
                <c:pt idx="6">
                  <c:v>9.800190628943721E-2</c:v>
                </c:pt>
                <c:pt idx="7">
                  <c:v>7.4588397830420594E-2</c:v>
                </c:pt>
                <c:pt idx="8">
                  <c:v>7.4532409058073526E-2</c:v>
                </c:pt>
                <c:pt idx="9">
                  <c:v>8.9153514181489757E-2</c:v>
                </c:pt>
                <c:pt idx="10">
                  <c:v>0.10970258967689951</c:v>
                </c:pt>
                <c:pt idx="11">
                  <c:v>0.10568740786781637</c:v>
                </c:pt>
                <c:pt idx="12">
                  <c:v>0.10335099506931794</c:v>
                </c:pt>
                <c:pt idx="13">
                  <c:v>9.458529580129342E-2</c:v>
                </c:pt>
                <c:pt idx="14">
                  <c:v>9.4415676664418344E-2</c:v>
                </c:pt>
                <c:pt idx="15">
                  <c:v>9.4717738570977303E-2</c:v>
                </c:pt>
                <c:pt idx="16">
                  <c:v>9.4159439250666735E-2</c:v>
                </c:pt>
                <c:pt idx="17">
                  <c:v>9.5044042422447517E-2</c:v>
                </c:pt>
                <c:pt idx="18">
                  <c:v>0.10108071931966958</c:v>
                </c:pt>
                <c:pt idx="19">
                  <c:v>0.10470962011894872</c:v>
                </c:pt>
                <c:pt idx="20">
                  <c:v>0.11225019133411512</c:v>
                </c:pt>
                <c:pt idx="21">
                  <c:v>0.116241582295431</c:v>
                </c:pt>
                <c:pt idx="22">
                  <c:v>7.9555052407979499E-2</c:v>
                </c:pt>
                <c:pt idx="23">
                  <c:v>8.1889210078451277E-2</c:v>
                </c:pt>
                <c:pt idx="24">
                  <c:v>9.4476100874049798E-2</c:v>
                </c:pt>
                <c:pt idx="25">
                  <c:v>9.8157739471637251E-2</c:v>
                </c:pt>
                <c:pt idx="26">
                  <c:v>0.10040095526528529</c:v>
                </c:pt>
                <c:pt idx="27">
                  <c:v>0.10025549180151497</c:v>
                </c:pt>
                <c:pt idx="28">
                  <c:v>9.6857252039933853E-2</c:v>
                </c:pt>
                <c:pt idx="29">
                  <c:v>9.6034818496399332E-2</c:v>
                </c:pt>
                <c:pt idx="30">
                  <c:v>9.6304781340756443E-2</c:v>
                </c:pt>
                <c:pt idx="31">
                  <c:v>9.5982308975996383E-2</c:v>
                </c:pt>
                <c:pt idx="32">
                  <c:v>9.2386874313695369E-2</c:v>
                </c:pt>
                <c:pt idx="33">
                  <c:v>6.7559986813067241E-2</c:v>
                </c:pt>
                <c:pt idx="34">
                  <c:v>6.5142417405670075E-2</c:v>
                </c:pt>
                <c:pt idx="35">
                  <c:v>5.0618385089717249E-2</c:v>
                </c:pt>
                <c:pt idx="36">
                  <c:v>4.426806770327589E-2</c:v>
                </c:pt>
                <c:pt idx="37">
                  <c:v>5.0545640941448325E-2</c:v>
                </c:pt>
                <c:pt idx="38">
                  <c:v>4.954126838028345E-2</c:v>
                </c:pt>
                <c:pt idx="39">
                  <c:v>4.69622672520668E-2</c:v>
                </c:pt>
                <c:pt idx="40">
                  <c:v>4.5261532935113494E-2</c:v>
                </c:pt>
                <c:pt idx="41">
                  <c:v>3.928872149057077E-2</c:v>
                </c:pt>
                <c:pt idx="42">
                  <c:v>4.6743983570080978E-2</c:v>
                </c:pt>
                <c:pt idx="43">
                  <c:v>4.8291953028146699E-2</c:v>
                </c:pt>
                <c:pt idx="44">
                  <c:v>4.8224437411299718E-2</c:v>
                </c:pt>
                <c:pt idx="45">
                  <c:v>4.7309080427641925E-2</c:v>
                </c:pt>
                <c:pt idx="46">
                  <c:v>4.7359361175052746E-2</c:v>
                </c:pt>
                <c:pt idx="47">
                  <c:v>4.9367784858328233E-2</c:v>
                </c:pt>
                <c:pt idx="48">
                  <c:v>4.3691646798901987E-2</c:v>
                </c:pt>
                <c:pt idx="49">
                  <c:v>6.7308354202539722E-2</c:v>
                </c:pt>
                <c:pt idx="50">
                  <c:v>6.7229775600344863E-2</c:v>
                </c:pt>
                <c:pt idx="51">
                  <c:v>7.704706353911224E-2</c:v>
                </c:pt>
                <c:pt idx="52">
                  <c:v>7.9704881794142202E-2</c:v>
                </c:pt>
                <c:pt idx="53">
                  <c:v>8.0075118141995555E-2</c:v>
                </c:pt>
                <c:pt idx="54">
                  <c:v>7.8120809705806996E-2</c:v>
                </c:pt>
                <c:pt idx="55">
                  <c:v>7.7334268541889573E-2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71776"/>
        <c:axId val="149773312"/>
      </c:lineChart>
      <c:dateAx>
        <c:axId val="1497717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49773312"/>
        <c:crosses val="autoZero"/>
        <c:auto val="1"/>
        <c:lblOffset val="100"/>
        <c:baseTimeUnit val="months"/>
      </c:dateAx>
      <c:valAx>
        <c:axId val="14977331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497717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Relative Risk/Return to Index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Return Spread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[0]!rsr</c:f>
              <c:numCache>
                <c:formatCode>0.00%</c:formatCode>
                <c:ptCount val="56"/>
                <c:pt idx="0">
                  <c:v>0.69852990677161619</c:v>
                </c:pt>
                <c:pt idx="1">
                  <c:v>0.84504921566185964</c:v>
                </c:pt>
                <c:pt idx="2">
                  <c:v>0.79399571289893411</c:v>
                </c:pt>
                <c:pt idx="3">
                  <c:v>0.63709219084576518</c:v>
                </c:pt>
                <c:pt idx="4">
                  <c:v>0.31115595570943855</c:v>
                </c:pt>
                <c:pt idx="5">
                  <c:v>0.23076197329059922</c:v>
                </c:pt>
                <c:pt idx="6">
                  <c:v>0.1692168703984811</c:v>
                </c:pt>
                <c:pt idx="7">
                  <c:v>9.9764538911648382E-2</c:v>
                </c:pt>
                <c:pt idx="8">
                  <c:v>9.3977249623256709E-2</c:v>
                </c:pt>
                <c:pt idx="9">
                  <c:v>0.17048452751471088</c:v>
                </c:pt>
                <c:pt idx="10">
                  <c:v>0.26951865376075812</c:v>
                </c:pt>
                <c:pt idx="11">
                  <c:v>0.33095973921158506</c:v>
                </c:pt>
                <c:pt idx="12">
                  <c:v>0.36143234191190032</c:v>
                </c:pt>
                <c:pt idx="13">
                  <c:v>0.28255017969050433</c:v>
                </c:pt>
                <c:pt idx="14">
                  <c:v>0.28995186267480499</c:v>
                </c:pt>
                <c:pt idx="15">
                  <c:v>0.26117080902211942</c:v>
                </c:pt>
                <c:pt idx="16">
                  <c:v>0.27586363600761232</c:v>
                </c:pt>
                <c:pt idx="17">
                  <c:v>0.25486368752131794</c:v>
                </c:pt>
                <c:pt idx="18">
                  <c:v>0.22809082571204198</c:v>
                </c:pt>
                <c:pt idx="19">
                  <c:v>0.20549688637310903</c:v>
                </c:pt>
                <c:pt idx="20">
                  <c:v>0.18471704638415098</c:v>
                </c:pt>
                <c:pt idx="21">
                  <c:v>0.11285923767545536</c:v>
                </c:pt>
                <c:pt idx="22">
                  <c:v>9.3505827551449983E-3</c:v>
                </c:pt>
                <c:pt idx="23">
                  <c:v>-4.5053072664528848E-2</c:v>
                </c:pt>
                <c:pt idx="24">
                  <c:v>-3.474199957287083E-2</c:v>
                </c:pt>
                <c:pt idx="25">
                  <c:v>-3.603002605467176E-2</c:v>
                </c:pt>
                <c:pt idx="26">
                  <c:v>-4.3088585910455057E-2</c:v>
                </c:pt>
                <c:pt idx="27">
                  <c:v>-4.6439358021775901E-2</c:v>
                </c:pt>
                <c:pt idx="28">
                  <c:v>-6.9442977283321605E-2</c:v>
                </c:pt>
                <c:pt idx="29">
                  <c:v>-4.3036381470656249E-2</c:v>
                </c:pt>
                <c:pt idx="30">
                  <c:v>-4.4647928676933901E-2</c:v>
                </c:pt>
                <c:pt idx="31">
                  <c:v>-4.0110959836539894E-2</c:v>
                </c:pt>
                <c:pt idx="32">
                  <c:v>-1.4014490368700727E-2</c:v>
                </c:pt>
                <c:pt idx="33">
                  <c:v>-2.7061256214850449E-2</c:v>
                </c:pt>
                <c:pt idx="34">
                  <c:v>3.3936712765807453E-3</c:v>
                </c:pt>
                <c:pt idx="35">
                  <c:v>3.8936986937526008E-2</c:v>
                </c:pt>
                <c:pt idx="36">
                  <c:v>3.6100449075590957E-2</c:v>
                </c:pt>
                <c:pt idx="37">
                  <c:v>8.057297562311394E-2</c:v>
                </c:pt>
                <c:pt idx="38">
                  <c:v>8.7834290923069158E-2</c:v>
                </c:pt>
                <c:pt idx="39">
                  <c:v>0.10684060886627256</c:v>
                </c:pt>
                <c:pt idx="40">
                  <c:v>0.13408685668211273</c:v>
                </c:pt>
                <c:pt idx="41">
                  <c:v>0.17500196121175393</c:v>
                </c:pt>
                <c:pt idx="42">
                  <c:v>0.21560464818191849</c:v>
                </c:pt>
                <c:pt idx="43">
                  <c:v>0.22775151273632144</c:v>
                </c:pt>
                <c:pt idx="44">
                  <c:v>0.25490640435680567</c:v>
                </c:pt>
                <c:pt idx="45">
                  <c:v>0.26802103065019278</c:v>
                </c:pt>
                <c:pt idx="46">
                  <c:v>0.25179229851630569</c:v>
                </c:pt>
                <c:pt idx="47">
                  <c:v>0.24766558329195931</c:v>
                </c:pt>
                <c:pt idx="48">
                  <c:v>0.23052549960307234</c:v>
                </c:pt>
                <c:pt idx="49">
                  <c:v>0.24986375487691515</c:v>
                </c:pt>
                <c:pt idx="50">
                  <c:v>0.24196133167180989</c:v>
                </c:pt>
                <c:pt idx="51">
                  <c:v>0.19051631834193827</c:v>
                </c:pt>
                <c:pt idx="52">
                  <c:v>0.1533454585041687</c:v>
                </c:pt>
                <c:pt idx="53">
                  <c:v>9.346703686589497E-2</c:v>
                </c:pt>
                <c:pt idx="54">
                  <c:v>6.4019527461146808E-2</c:v>
                </c:pt>
                <c:pt idx="55">
                  <c:v>7.8061421820105226E-2</c:v>
                </c:pt>
              </c:numCache>
            </c:numRef>
          </c:val>
          <c:smooth val="0"/>
        </c:ser>
        <c:ser>
          <c:idx val="1"/>
          <c:order val="1"/>
          <c:tx>
            <c:v>Rolling VOL Spread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[0]!rsv</c:f>
              <c:numCache>
                <c:formatCode>0.00%</c:formatCode>
                <c:ptCount val="56"/>
                <c:pt idx="0">
                  <c:v>0.20734165690367271</c:v>
                </c:pt>
                <c:pt idx="1">
                  <c:v>0.19910917409972548</c:v>
                </c:pt>
                <c:pt idx="2">
                  <c:v>0.20528694092495531</c:v>
                </c:pt>
                <c:pt idx="3">
                  <c:v>0.1945909248686733</c:v>
                </c:pt>
                <c:pt idx="4">
                  <c:v>7.172614397433677E-2</c:v>
                </c:pt>
                <c:pt idx="5">
                  <c:v>6.8282667995505378E-2</c:v>
                </c:pt>
                <c:pt idx="6">
                  <c:v>5.8235765802046834E-2</c:v>
                </c:pt>
                <c:pt idx="7">
                  <c:v>3.8590044511099354E-2</c:v>
                </c:pt>
                <c:pt idx="8">
                  <c:v>3.6213512769586453E-2</c:v>
                </c:pt>
                <c:pt idx="9">
                  <c:v>5.4254694361550622E-2</c:v>
                </c:pt>
                <c:pt idx="10">
                  <c:v>7.4881573802020762E-2</c:v>
                </c:pt>
                <c:pt idx="11">
                  <c:v>6.1756558809765064E-2</c:v>
                </c:pt>
                <c:pt idx="12">
                  <c:v>5.5672300624748497E-2</c:v>
                </c:pt>
                <c:pt idx="13">
                  <c:v>4.6159504991409153E-2</c:v>
                </c:pt>
                <c:pt idx="14">
                  <c:v>4.5642424610215039E-2</c:v>
                </c:pt>
                <c:pt idx="15">
                  <c:v>4.6885289550364195E-2</c:v>
                </c:pt>
                <c:pt idx="16">
                  <c:v>4.6328607522546875E-2</c:v>
                </c:pt>
                <c:pt idx="17">
                  <c:v>4.9505640002262576E-2</c:v>
                </c:pt>
                <c:pt idx="18">
                  <c:v>5.5488980142365696E-2</c:v>
                </c:pt>
                <c:pt idx="19">
                  <c:v>6.3923372505345744E-2</c:v>
                </c:pt>
                <c:pt idx="20">
                  <c:v>7.848365624050499E-2</c:v>
                </c:pt>
                <c:pt idx="21">
                  <c:v>5.3558035259351239E-2</c:v>
                </c:pt>
                <c:pt idx="22">
                  <c:v>-1.3610049933622664E-3</c:v>
                </c:pt>
                <c:pt idx="23">
                  <c:v>2.0348158398466737E-3</c:v>
                </c:pt>
                <c:pt idx="24">
                  <c:v>1.5392184618196456E-2</c:v>
                </c:pt>
                <c:pt idx="25">
                  <c:v>1.7760816480339073E-2</c:v>
                </c:pt>
                <c:pt idx="26">
                  <c:v>1.8213692571898296E-2</c:v>
                </c:pt>
                <c:pt idx="27">
                  <c:v>1.7588039660537902E-2</c:v>
                </c:pt>
                <c:pt idx="28">
                  <c:v>1.4424917948313243E-2</c:v>
                </c:pt>
                <c:pt idx="29">
                  <c:v>1.2672269028818656E-2</c:v>
                </c:pt>
                <c:pt idx="30">
                  <c:v>1.1308489916667677E-2</c:v>
                </c:pt>
                <c:pt idx="31">
                  <c:v>9.4921130805314113E-3</c:v>
                </c:pt>
                <c:pt idx="32">
                  <c:v>6.2710290070150526E-3</c:v>
                </c:pt>
                <c:pt idx="33">
                  <c:v>1.041381569108641E-2</c:v>
                </c:pt>
                <c:pt idx="34">
                  <c:v>2.2946862352458575E-2</c:v>
                </c:pt>
                <c:pt idx="35">
                  <c:v>1.4160938693702212E-2</c:v>
                </c:pt>
                <c:pt idx="36">
                  <c:v>6.5738986877384373E-3</c:v>
                </c:pt>
                <c:pt idx="37">
                  <c:v>9.7187395413529734E-3</c:v>
                </c:pt>
                <c:pt idx="38">
                  <c:v>1.1507942843583474E-2</c:v>
                </c:pt>
                <c:pt idx="39">
                  <c:v>9.2578314908466214E-3</c:v>
                </c:pt>
                <c:pt idx="40">
                  <c:v>6.5815246123058432E-3</c:v>
                </c:pt>
                <c:pt idx="41">
                  <c:v>-9.8604420699597434E-3</c:v>
                </c:pt>
                <c:pt idx="42">
                  <c:v>-1.7626414884924495E-2</c:v>
                </c:pt>
                <c:pt idx="43">
                  <c:v>-1.0525965587301053E-2</c:v>
                </c:pt>
                <c:pt idx="44">
                  <c:v>-1.4544030910118501E-2</c:v>
                </c:pt>
                <c:pt idx="45">
                  <c:v>-1.7250143707416149E-2</c:v>
                </c:pt>
                <c:pt idx="46">
                  <c:v>-2.1433428682235724E-2</c:v>
                </c:pt>
                <c:pt idx="47">
                  <c:v>-1.8986245124999364E-2</c:v>
                </c:pt>
                <c:pt idx="48">
                  <c:v>-2.4525158405343792E-2</c:v>
                </c:pt>
                <c:pt idx="49">
                  <c:v>-1.4837119023877743E-3</c:v>
                </c:pt>
                <c:pt idx="50">
                  <c:v>-3.8296463703273997E-3</c:v>
                </c:pt>
                <c:pt idx="51">
                  <c:v>5.7573273451489715E-3</c:v>
                </c:pt>
                <c:pt idx="52">
                  <c:v>1.0142118894599192E-2</c:v>
                </c:pt>
                <c:pt idx="53">
                  <c:v>1.2744668075120702E-2</c:v>
                </c:pt>
                <c:pt idx="54">
                  <c:v>2.9858400100688035E-2</c:v>
                </c:pt>
                <c:pt idx="55">
                  <c:v>2.9092749489635028E-2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88864"/>
        <c:axId val="279590400"/>
      </c:lineChart>
      <c:dateAx>
        <c:axId val="279588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279590400"/>
        <c:crosses val="autoZero"/>
        <c:auto val="1"/>
        <c:lblOffset val="100"/>
        <c:baseTimeUnit val="months"/>
      </c:dateAx>
      <c:valAx>
        <c:axId val="2795904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2795888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Rolling 12M Beta/Correlation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Beta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[0]!rbeta</c:f>
              <c:numCache>
                <c:formatCode>0.00</c:formatCode>
                <c:ptCount val="56"/>
                <c:pt idx="0">
                  <c:v>3.73513955671871</c:v>
                </c:pt>
                <c:pt idx="1">
                  <c:v>3.3982442332700855</c:v>
                </c:pt>
                <c:pt idx="2">
                  <c:v>3.68786728558785</c:v>
                </c:pt>
                <c:pt idx="3">
                  <c:v>3.5367313874462942</c:v>
                </c:pt>
                <c:pt idx="4">
                  <c:v>1.6093021969012182</c:v>
                </c:pt>
                <c:pt idx="5">
                  <c:v>1.4824641020341929</c:v>
                </c:pt>
                <c:pt idx="6">
                  <c:v>1.4808621541396485</c:v>
                </c:pt>
                <c:pt idx="7">
                  <c:v>0.59063738478279093</c:v>
                </c:pt>
                <c:pt idx="8">
                  <c:v>0.53336004616083799</c:v>
                </c:pt>
                <c:pt idx="9">
                  <c:v>0.64296276147619502</c:v>
                </c:pt>
                <c:pt idx="10">
                  <c:v>9.1216404869778819E-2</c:v>
                </c:pt>
                <c:pt idx="11">
                  <c:v>0.26331442055851068</c:v>
                </c:pt>
                <c:pt idx="12">
                  <c:v>0.28613344609082064</c:v>
                </c:pt>
                <c:pt idx="13">
                  <c:v>0.3423243359493176</c:v>
                </c:pt>
                <c:pt idx="14">
                  <c:v>0.38503970665663323</c:v>
                </c:pt>
                <c:pt idx="15">
                  <c:v>0.35530865426591224</c:v>
                </c:pt>
                <c:pt idx="16">
                  <c:v>0.39065096357667028</c:v>
                </c:pt>
                <c:pt idx="17">
                  <c:v>0.11796960507391709</c:v>
                </c:pt>
                <c:pt idx="18">
                  <c:v>0.26158026993807204</c:v>
                </c:pt>
                <c:pt idx="19">
                  <c:v>9.1493459980342529E-2</c:v>
                </c:pt>
                <c:pt idx="20">
                  <c:v>0.30556429955499598</c:v>
                </c:pt>
                <c:pt idx="21">
                  <c:v>0.81587877822164079</c:v>
                </c:pt>
                <c:pt idx="22">
                  <c:v>0.6335715203267821</c:v>
                </c:pt>
                <c:pt idx="23">
                  <c:v>0.76227893032482508</c:v>
                </c:pt>
                <c:pt idx="24">
                  <c:v>0.86846511534878801</c:v>
                </c:pt>
                <c:pt idx="25">
                  <c:v>0.91234364720837069</c:v>
                </c:pt>
                <c:pt idx="26">
                  <c:v>0.93481934516565246</c:v>
                </c:pt>
                <c:pt idx="27">
                  <c:v>0.93174076475142942</c:v>
                </c:pt>
                <c:pt idx="28">
                  <c:v>0.90905649344445982</c:v>
                </c:pt>
                <c:pt idx="29">
                  <c:v>0.9055687541579146</c:v>
                </c:pt>
                <c:pt idx="30">
                  <c:v>0.89328383915472032</c:v>
                </c:pt>
                <c:pt idx="31">
                  <c:v>0.88800562580277798</c:v>
                </c:pt>
                <c:pt idx="32">
                  <c:v>0.86234633185722509</c:v>
                </c:pt>
                <c:pt idx="33">
                  <c:v>0.70269967429178093</c:v>
                </c:pt>
                <c:pt idx="34">
                  <c:v>0.86019563665046805</c:v>
                </c:pt>
                <c:pt idx="35">
                  <c:v>0.4633295191475616</c:v>
                </c:pt>
                <c:pt idx="36">
                  <c:v>0.32161697681863871</c:v>
                </c:pt>
                <c:pt idx="37">
                  <c:v>-0.11477910629910992</c:v>
                </c:pt>
                <c:pt idx="38">
                  <c:v>-0.23693551930904547</c:v>
                </c:pt>
                <c:pt idx="39">
                  <c:v>-0.37239798266023855</c:v>
                </c:pt>
                <c:pt idx="40">
                  <c:v>-0.26442400671475363</c:v>
                </c:pt>
                <c:pt idx="41">
                  <c:v>-0.23534893942899043</c:v>
                </c:pt>
                <c:pt idx="42">
                  <c:v>0.16274631198033943</c:v>
                </c:pt>
                <c:pt idx="43">
                  <c:v>0.24344013784578525</c:v>
                </c:pt>
                <c:pt idx="44">
                  <c:v>0.26797203065850328</c:v>
                </c:pt>
                <c:pt idx="45">
                  <c:v>0.33409714564499271</c:v>
                </c:pt>
                <c:pt idx="46">
                  <c:v>0.28163253576863956</c:v>
                </c:pt>
                <c:pt idx="47">
                  <c:v>0.29931579142573561</c:v>
                </c:pt>
                <c:pt idx="48">
                  <c:v>0.27863000199509902</c:v>
                </c:pt>
                <c:pt idx="49">
                  <c:v>0.43451808600851716</c:v>
                </c:pt>
                <c:pt idx="50">
                  <c:v>0.41086436235948387</c:v>
                </c:pt>
                <c:pt idx="51">
                  <c:v>0.36436925970943213</c:v>
                </c:pt>
                <c:pt idx="52">
                  <c:v>0.28972437964480441</c:v>
                </c:pt>
                <c:pt idx="53">
                  <c:v>0.28454436549218226</c:v>
                </c:pt>
                <c:pt idx="54">
                  <c:v>0.19496112474818744</c:v>
                </c:pt>
                <c:pt idx="55">
                  <c:v>0.20193191211150746</c:v>
                </c:pt>
              </c:numCache>
            </c:numRef>
          </c:val>
          <c:smooth val="0"/>
        </c:ser>
        <c:ser>
          <c:idx val="1"/>
          <c:order val="1"/>
          <c:tx>
            <c:v>Rolling Correlation</c:v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[0]!rcorrel</c:f>
              <c:numCache>
                <c:formatCode>0.00</c:formatCode>
                <c:ptCount val="56"/>
                <c:pt idx="0">
                  <c:v>0.76296845943251279</c:v>
                </c:pt>
                <c:pt idx="1">
                  <c:v>0.72053497156049595</c:v>
                </c:pt>
                <c:pt idx="2">
                  <c:v>0.7404487392461736</c:v>
                </c:pt>
                <c:pt idx="3">
                  <c:v>0.73259248082141859</c:v>
                </c:pt>
                <c:pt idx="4">
                  <c:v>0.59127713262559389</c:v>
                </c:pt>
                <c:pt idx="5">
                  <c:v>0.54499874237723411</c:v>
                </c:pt>
                <c:pt idx="6">
                  <c:v>0.60088803058644014</c:v>
                </c:pt>
                <c:pt idx="7">
                  <c:v>0.28505737996076363</c:v>
                </c:pt>
                <c:pt idx="8">
                  <c:v>0.27421317184763644</c:v>
                </c:pt>
                <c:pt idx="9">
                  <c:v>0.25168544133896853</c:v>
                </c:pt>
                <c:pt idx="10">
                  <c:v>2.8953262556287461E-2</c:v>
                </c:pt>
                <c:pt idx="11">
                  <c:v>0.10945131778453532</c:v>
                </c:pt>
                <c:pt idx="12">
                  <c:v>0.132001333295203</c:v>
                </c:pt>
                <c:pt idx="13">
                  <c:v>0.17526325356787126</c:v>
                </c:pt>
                <c:pt idx="14">
                  <c:v>0.19890381901714208</c:v>
                </c:pt>
                <c:pt idx="15">
                  <c:v>0.17943083680171887</c:v>
                </c:pt>
                <c:pt idx="16">
                  <c:v>0.1984417138840523</c:v>
                </c:pt>
                <c:pt idx="17">
                  <c:v>5.6522715283178392E-2</c:v>
                </c:pt>
                <c:pt idx="18">
                  <c:v>0.11798391939841132</c:v>
                </c:pt>
                <c:pt idx="19">
                  <c:v>3.5638319664844542E-2</c:v>
                </c:pt>
                <c:pt idx="20">
                  <c:v>9.19183078589762E-2</c:v>
                </c:pt>
                <c:pt idx="21">
                  <c:v>0.43996455279158475</c:v>
                </c:pt>
                <c:pt idx="22">
                  <c:v>0.64441047997443346</c:v>
                </c:pt>
                <c:pt idx="23">
                  <c:v>0.74333751862577035</c:v>
                </c:pt>
                <c:pt idx="24">
                  <c:v>0.72697350777564373</c:v>
                </c:pt>
                <c:pt idx="25">
                  <c:v>0.74726274607623699</c:v>
                </c:pt>
                <c:pt idx="26">
                  <c:v>0.76523418416671574</c:v>
                </c:pt>
                <c:pt idx="27">
                  <c:v>0.76828344955285777</c:v>
                </c:pt>
                <c:pt idx="28">
                  <c:v>0.77367101582517728</c:v>
                </c:pt>
                <c:pt idx="29">
                  <c:v>0.78607448055535167</c:v>
                </c:pt>
                <c:pt idx="30">
                  <c:v>0.78839090292489389</c:v>
                </c:pt>
                <c:pt idx="31">
                  <c:v>0.80018684017243868</c:v>
                </c:pt>
                <c:pt idx="32">
                  <c:v>0.80381205519355359</c:v>
                </c:pt>
                <c:pt idx="33">
                  <c:v>0.59438430539585785</c:v>
                </c:pt>
                <c:pt idx="34">
                  <c:v>0.55718583663826204</c:v>
                </c:pt>
                <c:pt idx="35">
                  <c:v>0.3337090086551398</c:v>
                </c:pt>
                <c:pt idx="36">
                  <c:v>0.27385619728712113</c:v>
                </c:pt>
                <c:pt idx="37">
                  <c:v>-9.2709780079614279E-2</c:v>
                </c:pt>
                <c:pt idx="38">
                  <c:v>-0.18189775982147402</c:v>
                </c:pt>
                <c:pt idx="39">
                  <c:v>-0.29898590158470273</c:v>
                </c:pt>
                <c:pt idx="40">
                  <c:v>-0.22597384837008225</c:v>
                </c:pt>
                <c:pt idx="41">
                  <c:v>-0.29441537110259403</c:v>
                </c:pt>
                <c:pt idx="42">
                  <c:v>0.22411536521167166</c:v>
                </c:pt>
                <c:pt idx="43">
                  <c:v>0.2965016181308972</c:v>
                </c:pt>
                <c:pt idx="44">
                  <c:v>0.34878984225274035</c:v>
                </c:pt>
                <c:pt idx="45">
                  <c:v>0.45591781352773425</c:v>
                </c:pt>
                <c:pt idx="46">
                  <c:v>0.4090909879146134</c:v>
                </c:pt>
                <c:pt idx="47">
                  <c:v>0.41442897712164023</c:v>
                </c:pt>
                <c:pt idx="48">
                  <c:v>0.43503163562688052</c:v>
                </c:pt>
                <c:pt idx="49">
                  <c:v>0.44409638670613349</c:v>
                </c:pt>
                <c:pt idx="50">
                  <c:v>0.43426865309162188</c:v>
                </c:pt>
                <c:pt idx="51">
                  <c:v>0.33714183524578756</c:v>
                </c:pt>
                <c:pt idx="52">
                  <c:v>0.25285814210855412</c:v>
                </c:pt>
                <c:pt idx="53">
                  <c:v>0.23925659602035917</c:v>
                </c:pt>
                <c:pt idx="54">
                  <c:v>0.12044541902606898</c:v>
                </c:pt>
                <c:pt idx="55">
                  <c:v>0.12596617733713758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38080"/>
        <c:axId val="149848064"/>
      </c:lineChart>
      <c:dateAx>
        <c:axId val="1498380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49848064"/>
        <c:crosses val="autoZero"/>
        <c:auto val="1"/>
        <c:lblOffset val="100"/>
        <c:baseTimeUnit val="months"/>
      </c:dateAx>
      <c:valAx>
        <c:axId val="149848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98380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55616"/>
        <c:axId val="279540864"/>
      </c:barChart>
      <c:catAx>
        <c:axId val="149855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79540864"/>
        <c:crosses val="autoZero"/>
        <c:auto val="1"/>
        <c:lblAlgn val="ctr"/>
        <c:lblOffset val="100"/>
        <c:noMultiLvlLbl val="0"/>
      </c:catAx>
      <c:valAx>
        <c:axId val="27954086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9855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Volatility</a:t>
            </a:r>
            <a:r>
              <a:rPr lang="en-US" sz="1400" baseline="0"/>
              <a:t> Envelope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Rolling Return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0"/>
          <c:order val="1"/>
          <c:tx>
            <c:v>1 Standard Deviation</c:v>
          </c:tx>
          <c:spPr>
            <a:ln w="19050"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[0]!ve1u</c:f>
              <c:numCache>
                <c:formatCode>0.00%</c:formatCode>
                <c:ptCount val="56"/>
                <c:pt idx="0">
                  <c:v>0.57315623559069484</c:v>
                </c:pt>
                <c:pt idx="1">
                  <c:v>0.56527586058063028</c:v>
                </c:pt>
                <c:pt idx="2">
                  <c:v>0.56944813302651132</c:v>
                </c:pt>
                <c:pt idx="3">
                  <c:v>0.55801770916097093</c:v>
                </c:pt>
                <c:pt idx="4">
                  <c:v>0.42597439294228734</c:v>
                </c:pt>
                <c:pt idx="5">
                  <c:v>0.42056816270801062</c:v>
                </c:pt>
                <c:pt idx="6">
                  <c:v>0.41059103483719145</c:v>
                </c:pt>
                <c:pt idx="7">
                  <c:v>0.38717752637817482</c:v>
                </c:pt>
                <c:pt idx="8">
                  <c:v>0.38712153760582774</c:v>
                </c:pt>
                <c:pt idx="9">
                  <c:v>0.40174264272924398</c:v>
                </c:pt>
                <c:pt idx="10">
                  <c:v>0.42229171822465372</c:v>
                </c:pt>
                <c:pt idx="11">
                  <c:v>0.41827653641557061</c:v>
                </c:pt>
                <c:pt idx="12">
                  <c:v>0.41594012361707217</c:v>
                </c:pt>
                <c:pt idx="13">
                  <c:v>0.40717442434904766</c:v>
                </c:pt>
                <c:pt idx="14">
                  <c:v>0.40700480521217258</c:v>
                </c:pt>
                <c:pt idx="15">
                  <c:v>0.40730686711873154</c:v>
                </c:pt>
                <c:pt idx="16">
                  <c:v>0.40674856779842095</c:v>
                </c:pt>
                <c:pt idx="17">
                  <c:v>0.40763317097020174</c:v>
                </c:pt>
                <c:pt idx="18">
                  <c:v>0.41366984786742378</c:v>
                </c:pt>
                <c:pt idx="19">
                  <c:v>0.41729874866670291</c:v>
                </c:pt>
                <c:pt idx="20">
                  <c:v>0.42483931988186935</c:v>
                </c:pt>
                <c:pt idx="21">
                  <c:v>0.42883071084318525</c:v>
                </c:pt>
                <c:pt idx="22">
                  <c:v>0.39214418095573372</c:v>
                </c:pt>
                <c:pt idx="23">
                  <c:v>0.39447833862620552</c:v>
                </c:pt>
                <c:pt idx="24">
                  <c:v>0.40706522942180401</c:v>
                </c:pt>
                <c:pt idx="25">
                  <c:v>0.41074686801939148</c:v>
                </c:pt>
                <c:pt idx="26">
                  <c:v>0.41299008381303953</c:v>
                </c:pt>
                <c:pt idx="27">
                  <c:v>0.41284462034926916</c:v>
                </c:pt>
                <c:pt idx="28">
                  <c:v>0.40944638058768806</c:v>
                </c:pt>
                <c:pt idx="29">
                  <c:v>0.40862394704415356</c:v>
                </c:pt>
                <c:pt idx="30">
                  <c:v>0.40889390988851065</c:v>
                </c:pt>
                <c:pt idx="31">
                  <c:v>0.40857143752375058</c:v>
                </c:pt>
                <c:pt idx="32">
                  <c:v>0.40497600286144958</c:v>
                </c:pt>
                <c:pt idx="33">
                  <c:v>0.38014911536082147</c:v>
                </c:pt>
                <c:pt idx="34">
                  <c:v>0.37773154595342429</c:v>
                </c:pt>
                <c:pt idx="35">
                  <c:v>0.3632075136374715</c:v>
                </c:pt>
                <c:pt idx="36">
                  <c:v>0.35685719625103013</c:v>
                </c:pt>
                <c:pt idx="37">
                  <c:v>0.36313476948920254</c:v>
                </c:pt>
                <c:pt idx="38">
                  <c:v>0.36213039692803767</c:v>
                </c:pt>
                <c:pt idx="39">
                  <c:v>0.35955139579982104</c:v>
                </c:pt>
                <c:pt idx="40">
                  <c:v>0.3578506614828677</c:v>
                </c:pt>
                <c:pt idx="41">
                  <c:v>0.351877850038325</c:v>
                </c:pt>
                <c:pt idx="42">
                  <c:v>0.3593331121178352</c:v>
                </c:pt>
                <c:pt idx="43">
                  <c:v>0.36088108157590093</c:v>
                </c:pt>
                <c:pt idx="44">
                  <c:v>0.36081356595905395</c:v>
                </c:pt>
                <c:pt idx="45">
                  <c:v>0.35989820897539615</c:v>
                </c:pt>
                <c:pt idx="46">
                  <c:v>0.35994848972280696</c:v>
                </c:pt>
                <c:pt idx="47">
                  <c:v>0.36195691340608244</c:v>
                </c:pt>
                <c:pt idx="48">
                  <c:v>0.3562807753466562</c:v>
                </c:pt>
                <c:pt idx="49">
                  <c:v>0.37989748275029395</c:v>
                </c:pt>
                <c:pt idx="50">
                  <c:v>0.3798189041480991</c:v>
                </c:pt>
                <c:pt idx="51">
                  <c:v>0.38963619208686645</c:v>
                </c:pt>
                <c:pt idx="52">
                  <c:v>0.39229401034189643</c:v>
                </c:pt>
                <c:pt idx="53">
                  <c:v>0.39266424668974975</c:v>
                </c:pt>
                <c:pt idx="54">
                  <c:v>0.39070993825356121</c:v>
                </c:pt>
                <c:pt idx="55">
                  <c:v>0.3899233970896438</c:v>
                </c:pt>
              </c:numCache>
            </c:numRef>
          </c:val>
          <c:smooth val="0"/>
        </c:ser>
        <c:ser>
          <c:idx val="1"/>
          <c:order val="2"/>
          <c:tx>
            <c:v>1 std</c:v>
          </c:tx>
          <c:spPr>
            <a:ln w="19050"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[0]!ve1d</c:f>
              <c:numCache>
                <c:formatCode>0.00%</c:formatCode>
                <c:ptCount val="56"/>
                <c:pt idx="0">
                  <c:v>5.2022021504813609E-2</c:v>
                </c:pt>
                <c:pt idx="1">
                  <c:v>5.9902396514878109E-2</c:v>
                </c:pt>
                <c:pt idx="2">
                  <c:v>5.5730124068997133E-2</c:v>
                </c:pt>
                <c:pt idx="3">
                  <c:v>6.7160547934537518E-2</c:v>
                </c:pt>
                <c:pt idx="4">
                  <c:v>0.19920386415322111</c:v>
                </c:pt>
                <c:pt idx="5">
                  <c:v>0.20461009438749783</c:v>
                </c:pt>
                <c:pt idx="6">
                  <c:v>0.214587222258317</c:v>
                </c:pt>
                <c:pt idx="7">
                  <c:v>0.23800073071733363</c:v>
                </c:pt>
                <c:pt idx="8">
                  <c:v>0.23805671948968071</c:v>
                </c:pt>
                <c:pt idx="9">
                  <c:v>0.22343561436626447</c:v>
                </c:pt>
                <c:pt idx="10">
                  <c:v>0.20288653887085473</c:v>
                </c:pt>
                <c:pt idx="11">
                  <c:v>0.20690172067993784</c:v>
                </c:pt>
                <c:pt idx="12">
                  <c:v>0.20923813347843628</c:v>
                </c:pt>
                <c:pt idx="13">
                  <c:v>0.21800383274646079</c:v>
                </c:pt>
                <c:pt idx="14">
                  <c:v>0.21817345188333587</c:v>
                </c:pt>
                <c:pt idx="15">
                  <c:v>0.21787138997677691</c:v>
                </c:pt>
                <c:pt idx="16">
                  <c:v>0.2184296892970875</c:v>
                </c:pt>
                <c:pt idx="17">
                  <c:v>0.21754508612530671</c:v>
                </c:pt>
                <c:pt idx="18">
                  <c:v>0.21150840922808464</c:v>
                </c:pt>
                <c:pt idx="19">
                  <c:v>0.20787950842880551</c:v>
                </c:pt>
                <c:pt idx="20">
                  <c:v>0.2003389372136391</c:v>
                </c:pt>
                <c:pt idx="21">
                  <c:v>0.19634754625232323</c:v>
                </c:pt>
                <c:pt idx="22">
                  <c:v>0.23303407613977473</c:v>
                </c:pt>
                <c:pt idx="23">
                  <c:v>0.23069991846930293</c:v>
                </c:pt>
                <c:pt idx="24">
                  <c:v>0.21811302767370444</c:v>
                </c:pt>
                <c:pt idx="25">
                  <c:v>0.21443138907611697</c:v>
                </c:pt>
                <c:pt idx="26">
                  <c:v>0.21218817328246892</c:v>
                </c:pt>
                <c:pt idx="27">
                  <c:v>0.21233363674623926</c:v>
                </c:pt>
                <c:pt idx="28">
                  <c:v>0.21573187650782039</c:v>
                </c:pt>
                <c:pt idx="29">
                  <c:v>0.21655431005135489</c:v>
                </c:pt>
                <c:pt idx="30">
                  <c:v>0.2162843472069978</c:v>
                </c:pt>
                <c:pt idx="31">
                  <c:v>0.21660681957175784</c:v>
                </c:pt>
                <c:pt idx="32">
                  <c:v>0.22020225423405887</c:v>
                </c:pt>
                <c:pt idx="33">
                  <c:v>0.24502914173468698</c:v>
                </c:pt>
                <c:pt idx="34">
                  <c:v>0.24744671114208416</c:v>
                </c:pt>
                <c:pt idx="35">
                  <c:v>0.26197074345803695</c:v>
                </c:pt>
                <c:pt idx="36">
                  <c:v>0.26832106084447832</c:v>
                </c:pt>
                <c:pt idx="37">
                  <c:v>0.26204348760630591</c:v>
                </c:pt>
                <c:pt idx="38">
                  <c:v>0.26304786016747078</c:v>
                </c:pt>
                <c:pt idx="39">
                  <c:v>0.26562686129568741</c:v>
                </c:pt>
                <c:pt idx="40">
                  <c:v>0.26732759561264074</c:v>
                </c:pt>
                <c:pt idx="41">
                  <c:v>0.27330040705718345</c:v>
                </c:pt>
                <c:pt idx="42">
                  <c:v>0.26584514497767325</c:v>
                </c:pt>
                <c:pt idx="43">
                  <c:v>0.26429717551960752</c:v>
                </c:pt>
                <c:pt idx="44">
                  <c:v>0.2643646911364545</c:v>
                </c:pt>
                <c:pt idx="45">
                  <c:v>0.2652800481201123</c:v>
                </c:pt>
                <c:pt idx="46">
                  <c:v>0.26522976737270149</c:v>
                </c:pt>
                <c:pt idx="47">
                  <c:v>0.26322134368942601</c:v>
                </c:pt>
                <c:pt idx="48">
                  <c:v>0.26889748174885225</c:v>
                </c:pt>
                <c:pt idx="49">
                  <c:v>0.2452807743452145</c:v>
                </c:pt>
                <c:pt idx="50">
                  <c:v>0.24535935294740935</c:v>
                </c:pt>
                <c:pt idx="51">
                  <c:v>0.235542065008642</c:v>
                </c:pt>
                <c:pt idx="52">
                  <c:v>0.23288424675361202</c:v>
                </c:pt>
                <c:pt idx="53">
                  <c:v>0.23251401040575867</c:v>
                </c:pt>
                <c:pt idx="54">
                  <c:v>0.23446831884194724</c:v>
                </c:pt>
                <c:pt idx="55">
                  <c:v>0.23525486000586465</c:v>
                </c:pt>
              </c:numCache>
            </c:numRef>
          </c:val>
          <c:smooth val="0"/>
        </c:ser>
        <c:ser>
          <c:idx val="2"/>
          <c:order val="3"/>
          <c:tx>
            <c:v>2 Standard Deviation</c:v>
          </c:tx>
          <c:spPr>
            <a:ln w="19050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[0]!ve2u</c:f>
              <c:numCache>
                <c:formatCode>0.00%</c:formatCode>
                <c:ptCount val="56"/>
                <c:pt idx="0">
                  <c:v>0.83372334263363546</c:v>
                </c:pt>
                <c:pt idx="1">
                  <c:v>0.81796259261350646</c:v>
                </c:pt>
                <c:pt idx="2">
                  <c:v>0.82630713750526841</c:v>
                </c:pt>
                <c:pt idx="3">
                  <c:v>0.80344628977418764</c:v>
                </c:pt>
                <c:pt idx="4">
                  <c:v>0.53935965733682045</c:v>
                </c:pt>
                <c:pt idx="5">
                  <c:v>0.52854719686826701</c:v>
                </c:pt>
                <c:pt idx="6">
                  <c:v>0.50859294112662867</c:v>
                </c:pt>
                <c:pt idx="7">
                  <c:v>0.46176592420859541</c:v>
                </c:pt>
                <c:pt idx="8">
                  <c:v>0.46165394666390125</c:v>
                </c:pt>
                <c:pt idx="9">
                  <c:v>0.49089615691073374</c:v>
                </c:pt>
                <c:pt idx="10">
                  <c:v>0.53199430790155322</c:v>
                </c:pt>
                <c:pt idx="11">
                  <c:v>0.523963944283387</c:v>
                </c:pt>
                <c:pt idx="12">
                  <c:v>0.51929111868639011</c:v>
                </c:pt>
                <c:pt idx="13">
                  <c:v>0.50175972015034109</c:v>
                </c:pt>
                <c:pt idx="14">
                  <c:v>0.50142048187659094</c:v>
                </c:pt>
                <c:pt idx="15">
                  <c:v>0.50202460568970886</c:v>
                </c:pt>
                <c:pt idx="16">
                  <c:v>0.50090800704908767</c:v>
                </c:pt>
                <c:pt idx="17">
                  <c:v>0.50267721339264926</c:v>
                </c:pt>
                <c:pt idx="18">
                  <c:v>0.51475056718709333</c:v>
                </c:pt>
                <c:pt idx="19">
                  <c:v>0.5220083687856516</c:v>
                </c:pt>
                <c:pt idx="20">
                  <c:v>0.53708951121598447</c:v>
                </c:pt>
                <c:pt idx="21">
                  <c:v>0.54507229313861627</c:v>
                </c:pt>
                <c:pt idx="22">
                  <c:v>0.47169923336371322</c:v>
                </c:pt>
                <c:pt idx="23">
                  <c:v>0.47636754870465681</c:v>
                </c:pt>
                <c:pt idx="24">
                  <c:v>0.50154133029585379</c:v>
                </c:pt>
                <c:pt idx="25">
                  <c:v>0.50890460749102873</c:v>
                </c:pt>
                <c:pt idx="26">
                  <c:v>0.51339103907832484</c:v>
                </c:pt>
                <c:pt idx="27">
                  <c:v>0.5131001121507841</c:v>
                </c:pt>
                <c:pt idx="28">
                  <c:v>0.5063036326276219</c:v>
                </c:pt>
                <c:pt idx="29">
                  <c:v>0.50465876554055289</c:v>
                </c:pt>
                <c:pt idx="30">
                  <c:v>0.50519869122926708</c:v>
                </c:pt>
                <c:pt idx="31">
                  <c:v>0.50455374649974694</c:v>
                </c:pt>
                <c:pt idx="32">
                  <c:v>0.49736287717514494</c:v>
                </c:pt>
                <c:pt idx="33">
                  <c:v>0.44770910217388871</c:v>
                </c:pt>
                <c:pt idx="34">
                  <c:v>0.44287396335909435</c:v>
                </c:pt>
                <c:pt idx="35">
                  <c:v>0.41382589872718872</c:v>
                </c:pt>
                <c:pt idx="36">
                  <c:v>0.40112526395430603</c:v>
                </c:pt>
                <c:pt idx="37">
                  <c:v>0.41368041043065085</c:v>
                </c:pt>
                <c:pt idx="38">
                  <c:v>0.41167166530832111</c:v>
                </c:pt>
                <c:pt idx="39">
                  <c:v>0.40651366305188785</c:v>
                </c:pt>
                <c:pt idx="40">
                  <c:v>0.40311219441798118</c:v>
                </c:pt>
                <c:pt idx="41">
                  <c:v>0.39116657152889578</c:v>
                </c:pt>
                <c:pt idx="42">
                  <c:v>0.40607709568791617</c:v>
                </c:pt>
                <c:pt idx="43">
                  <c:v>0.40917303460404764</c:v>
                </c:pt>
                <c:pt idx="44">
                  <c:v>0.40903800337035368</c:v>
                </c:pt>
                <c:pt idx="45">
                  <c:v>0.40720728940303808</c:v>
                </c:pt>
                <c:pt idx="46">
                  <c:v>0.4073078508978597</c:v>
                </c:pt>
                <c:pt idx="47">
                  <c:v>0.4113246982644107</c:v>
                </c:pt>
                <c:pt idx="48">
                  <c:v>0.39997242214555817</c:v>
                </c:pt>
                <c:pt idx="49">
                  <c:v>0.44720583695283367</c:v>
                </c:pt>
                <c:pt idx="50">
                  <c:v>0.44704867974844398</c:v>
                </c:pt>
                <c:pt idx="51">
                  <c:v>0.46668325562597868</c:v>
                </c:pt>
                <c:pt idx="52">
                  <c:v>0.47199889213603863</c:v>
                </c:pt>
                <c:pt idx="53">
                  <c:v>0.47273936483174533</c:v>
                </c:pt>
                <c:pt idx="54">
                  <c:v>0.46883074795936819</c:v>
                </c:pt>
                <c:pt idx="55">
                  <c:v>0.46725766563153337</c:v>
                </c:pt>
              </c:numCache>
            </c:numRef>
          </c:val>
          <c:smooth val="0"/>
        </c:ser>
        <c:ser>
          <c:idx val="3"/>
          <c:order val="4"/>
          <c:tx>
            <c:v>2 std</c:v>
          </c:tx>
          <c:spPr>
            <a:ln w="19050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[0]!ve2d</c:f>
              <c:numCache>
                <c:formatCode>0.00%</c:formatCode>
                <c:ptCount val="56"/>
                <c:pt idx="0">
                  <c:v>-0.20854508553812701</c:v>
                </c:pt>
                <c:pt idx="1">
                  <c:v>-0.19278433551799801</c:v>
                </c:pt>
                <c:pt idx="2">
                  <c:v>-0.20112888040975996</c:v>
                </c:pt>
                <c:pt idx="3">
                  <c:v>-0.17826803267867919</c:v>
                </c:pt>
                <c:pt idx="4">
                  <c:v>8.5818599758687969E-2</c:v>
                </c:pt>
                <c:pt idx="5">
                  <c:v>9.6631060227241466E-2</c:v>
                </c:pt>
                <c:pt idx="6">
                  <c:v>0.1165853159688798</c:v>
                </c:pt>
                <c:pt idx="7">
                  <c:v>0.16341233288691304</c:v>
                </c:pt>
                <c:pt idx="8">
                  <c:v>0.16352431043160717</c:v>
                </c:pt>
                <c:pt idx="9">
                  <c:v>0.13428210018477471</c:v>
                </c:pt>
                <c:pt idx="10">
                  <c:v>9.3183949193955201E-2</c:v>
                </c:pt>
                <c:pt idx="11">
                  <c:v>0.10121431281212148</c:v>
                </c:pt>
                <c:pt idx="12">
                  <c:v>0.10588713840911834</c:v>
                </c:pt>
                <c:pt idx="13">
                  <c:v>0.12341853694516738</c:v>
                </c:pt>
                <c:pt idx="14">
                  <c:v>0.12375777521891754</c:v>
                </c:pt>
                <c:pt idx="15">
                  <c:v>0.12315365140579962</c:v>
                </c:pt>
                <c:pt idx="16">
                  <c:v>0.12427025004642075</c:v>
                </c:pt>
                <c:pt idx="17">
                  <c:v>0.12250104370285919</c:v>
                </c:pt>
                <c:pt idx="18">
                  <c:v>0.11042768990841506</c:v>
                </c:pt>
                <c:pt idx="19">
                  <c:v>0.10316988830985679</c:v>
                </c:pt>
                <c:pt idx="20">
                  <c:v>8.8088745879523978E-2</c:v>
                </c:pt>
                <c:pt idx="21">
                  <c:v>8.0105963956892234E-2</c:v>
                </c:pt>
                <c:pt idx="22">
                  <c:v>0.15347902373179523</c:v>
                </c:pt>
                <c:pt idx="23">
                  <c:v>0.14881070839085167</c:v>
                </c:pt>
                <c:pt idx="24">
                  <c:v>0.12363692679965463</c:v>
                </c:pt>
                <c:pt idx="25">
                  <c:v>0.11627364960447972</c:v>
                </c:pt>
                <c:pt idx="26">
                  <c:v>0.11178721801718364</c:v>
                </c:pt>
                <c:pt idx="27">
                  <c:v>0.11207814494472429</c:v>
                </c:pt>
                <c:pt idx="28">
                  <c:v>0.11887462446788652</c:v>
                </c:pt>
                <c:pt idx="29">
                  <c:v>0.12051949155495556</c:v>
                </c:pt>
                <c:pt idx="30">
                  <c:v>0.11997956586624134</c:v>
                </c:pt>
                <c:pt idx="31">
                  <c:v>0.12062451059576146</c:v>
                </c:pt>
                <c:pt idx="32">
                  <c:v>0.12781537992036349</c:v>
                </c:pt>
                <c:pt idx="33">
                  <c:v>0.17746915492161974</c:v>
                </c:pt>
                <c:pt idx="34">
                  <c:v>0.18230429373641407</c:v>
                </c:pt>
                <c:pt idx="35">
                  <c:v>0.21135235836831973</c:v>
                </c:pt>
                <c:pt idx="36">
                  <c:v>0.22405299314120244</c:v>
                </c:pt>
                <c:pt idx="37">
                  <c:v>0.21149784666485758</c:v>
                </c:pt>
                <c:pt idx="38">
                  <c:v>0.21350659178718734</c:v>
                </c:pt>
                <c:pt idx="39">
                  <c:v>0.21866459404362062</c:v>
                </c:pt>
                <c:pt idx="40">
                  <c:v>0.22206606267752724</c:v>
                </c:pt>
                <c:pt idx="41">
                  <c:v>0.23401168556661267</c:v>
                </c:pt>
                <c:pt idx="42">
                  <c:v>0.21910116140759228</c:v>
                </c:pt>
                <c:pt idx="43">
                  <c:v>0.21600522249146081</c:v>
                </c:pt>
                <c:pt idx="44">
                  <c:v>0.21614025372515477</c:v>
                </c:pt>
                <c:pt idx="45">
                  <c:v>0.21797096769247037</c:v>
                </c:pt>
                <c:pt idx="46">
                  <c:v>0.21787040619764875</c:v>
                </c:pt>
                <c:pt idx="47">
                  <c:v>0.21385355883109775</c:v>
                </c:pt>
                <c:pt idx="48">
                  <c:v>0.22520583494995025</c:v>
                </c:pt>
                <c:pt idx="49">
                  <c:v>0.17797242014267478</c:v>
                </c:pt>
                <c:pt idx="50">
                  <c:v>0.1781295773470645</c:v>
                </c:pt>
                <c:pt idx="51">
                  <c:v>0.15849500146952974</c:v>
                </c:pt>
                <c:pt idx="52">
                  <c:v>0.15317936495946982</c:v>
                </c:pt>
                <c:pt idx="53">
                  <c:v>0.15243889226376311</c:v>
                </c:pt>
                <c:pt idx="54">
                  <c:v>0.15634750913614023</c:v>
                </c:pt>
                <c:pt idx="55">
                  <c:v>0.15792059146397508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79840"/>
        <c:axId val="150181376"/>
      </c:lineChart>
      <c:dateAx>
        <c:axId val="1501798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50181376"/>
        <c:crosses val="autoZero"/>
        <c:auto val="1"/>
        <c:lblOffset val="100"/>
        <c:baseTimeUnit val="months"/>
      </c:dateAx>
      <c:valAx>
        <c:axId val="1501813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50179840"/>
        <c:crosses val="autoZero"/>
        <c:crossBetween val="between"/>
      </c:valAx>
    </c:plotArea>
    <c:legend>
      <c:legendPos val="b"/>
      <c:legendEntry>
        <c:idx val="2"/>
        <c:delete val="1"/>
      </c:legendEntry>
      <c:legendEntry>
        <c:idx val="4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Drawdowns</c:v>
          </c:tx>
          <c:cat>
            <c:numRef>
              <c:f>[0]!t</c:f>
              <c:numCache>
                <c:formatCode>mmm\-yy</c:formatCode>
                <c:ptCount val="6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</c:numCache>
            </c:numRef>
          </c:cat>
          <c:val>
            <c:numRef>
              <c:f>[0]!fdown</c:f>
              <c:numCache>
                <c:formatCode>0.00%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-9.3999999999999639E-3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-1.1499999999999955E-2</c:v>
                </c:pt>
                <c:pt idx="29">
                  <c:v>-1.9803399999999916E-2</c:v>
                </c:pt>
                <c:pt idx="30">
                  <c:v>-2.3822206059999962E-2</c:v>
                </c:pt>
                <c:pt idx="31">
                  <c:v>-4.2760055262435981E-2</c:v>
                </c:pt>
                <c:pt idx="32">
                  <c:v>-9.1387844455104172E-2</c:v>
                </c:pt>
                <c:pt idx="33">
                  <c:v>-6.3947757357648349E-2</c:v>
                </c:pt>
                <c:pt idx="34">
                  <c:v>-8.9221167908991816E-2</c:v>
                </c:pt>
                <c:pt idx="35">
                  <c:v>-4.5048394552577919E-2</c:v>
                </c:pt>
                <c:pt idx="36">
                  <c:v>-1.7450293155147456E-2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-3.0000000000000027E-3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-5.4999999999999494E-3</c:v>
                </c:pt>
                <c:pt idx="54">
                  <c:v>-3.2126499999999281E-3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-1.9000000000000017E-2</c:v>
                </c:pt>
                <c:pt idx="63">
                  <c:v>-2.9791000000000012E-2</c:v>
                </c:pt>
                <c:pt idx="64">
                  <c:v>-2.5813143100000047E-2</c:v>
                </c:pt>
                <c:pt idx="65">
                  <c:v>-1.8506741673249949E-2</c:v>
                </c:pt>
                <c:pt idx="66">
                  <c:v>-5.7473293150023252E-3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1344"/>
        <c:axId val="151003136"/>
      </c:areaChart>
      <c:dateAx>
        <c:axId val="1510013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high"/>
        <c:crossAx val="151003136"/>
        <c:crosses val="autoZero"/>
        <c:auto val="1"/>
        <c:lblOffset val="100"/>
        <c:baseTimeUnit val="months"/>
      </c:dateAx>
      <c:valAx>
        <c:axId val="15100313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51001344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Linear</a:t>
            </a:r>
            <a:r>
              <a:rPr lang="en-US" sz="1400" baseline="0"/>
              <a:t> Return Trend (Rolling 12M)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Rolling Return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0"/>
          <c:order val="1"/>
          <c:tx>
            <c:v>1 Standard Deviation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[0]!ve1u</c:f>
              <c:numCache>
                <c:formatCode>0.00%</c:formatCode>
                <c:ptCount val="56"/>
                <c:pt idx="0">
                  <c:v>0.57315623559069484</c:v>
                </c:pt>
                <c:pt idx="1">
                  <c:v>0.56527586058063028</c:v>
                </c:pt>
                <c:pt idx="2">
                  <c:v>0.56944813302651132</c:v>
                </c:pt>
                <c:pt idx="3">
                  <c:v>0.55801770916097093</c:v>
                </c:pt>
                <c:pt idx="4">
                  <c:v>0.42597439294228734</c:v>
                </c:pt>
                <c:pt idx="5">
                  <c:v>0.42056816270801062</c:v>
                </c:pt>
                <c:pt idx="6">
                  <c:v>0.41059103483719145</c:v>
                </c:pt>
                <c:pt idx="7">
                  <c:v>0.38717752637817482</c:v>
                </c:pt>
                <c:pt idx="8">
                  <c:v>0.38712153760582774</c:v>
                </c:pt>
                <c:pt idx="9">
                  <c:v>0.40174264272924398</c:v>
                </c:pt>
                <c:pt idx="10">
                  <c:v>0.42229171822465372</c:v>
                </c:pt>
                <c:pt idx="11">
                  <c:v>0.41827653641557061</c:v>
                </c:pt>
                <c:pt idx="12">
                  <c:v>0.41594012361707217</c:v>
                </c:pt>
                <c:pt idx="13">
                  <c:v>0.40717442434904766</c:v>
                </c:pt>
                <c:pt idx="14">
                  <c:v>0.40700480521217258</c:v>
                </c:pt>
                <c:pt idx="15">
                  <c:v>0.40730686711873154</c:v>
                </c:pt>
                <c:pt idx="16">
                  <c:v>0.40674856779842095</c:v>
                </c:pt>
                <c:pt idx="17">
                  <c:v>0.40763317097020174</c:v>
                </c:pt>
                <c:pt idx="18">
                  <c:v>0.41366984786742378</c:v>
                </c:pt>
                <c:pt idx="19">
                  <c:v>0.41729874866670291</c:v>
                </c:pt>
                <c:pt idx="20">
                  <c:v>0.42483931988186935</c:v>
                </c:pt>
                <c:pt idx="21">
                  <c:v>0.42883071084318525</c:v>
                </c:pt>
                <c:pt idx="22">
                  <c:v>0.39214418095573372</c:v>
                </c:pt>
                <c:pt idx="23">
                  <c:v>0.39447833862620552</c:v>
                </c:pt>
                <c:pt idx="24">
                  <c:v>0.40706522942180401</c:v>
                </c:pt>
                <c:pt idx="25">
                  <c:v>0.41074686801939148</c:v>
                </c:pt>
                <c:pt idx="26">
                  <c:v>0.41299008381303953</c:v>
                </c:pt>
                <c:pt idx="27">
                  <c:v>0.41284462034926916</c:v>
                </c:pt>
                <c:pt idx="28">
                  <c:v>0.40944638058768806</c:v>
                </c:pt>
                <c:pt idx="29">
                  <c:v>0.40862394704415356</c:v>
                </c:pt>
                <c:pt idx="30">
                  <c:v>0.40889390988851065</c:v>
                </c:pt>
                <c:pt idx="31">
                  <c:v>0.40857143752375058</c:v>
                </c:pt>
                <c:pt idx="32">
                  <c:v>0.40497600286144958</c:v>
                </c:pt>
                <c:pt idx="33">
                  <c:v>0.38014911536082147</c:v>
                </c:pt>
                <c:pt idx="34">
                  <c:v>0.37773154595342429</c:v>
                </c:pt>
                <c:pt idx="35">
                  <c:v>0.3632075136374715</c:v>
                </c:pt>
                <c:pt idx="36">
                  <c:v>0.35685719625103013</c:v>
                </c:pt>
                <c:pt idx="37">
                  <c:v>0.36313476948920254</c:v>
                </c:pt>
                <c:pt idx="38">
                  <c:v>0.36213039692803767</c:v>
                </c:pt>
                <c:pt idx="39">
                  <c:v>0.35955139579982104</c:v>
                </c:pt>
                <c:pt idx="40">
                  <c:v>0.3578506614828677</c:v>
                </c:pt>
                <c:pt idx="41">
                  <c:v>0.351877850038325</c:v>
                </c:pt>
                <c:pt idx="42">
                  <c:v>0.3593331121178352</c:v>
                </c:pt>
                <c:pt idx="43">
                  <c:v>0.36088108157590093</c:v>
                </c:pt>
                <c:pt idx="44">
                  <c:v>0.36081356595905395</c:v>
                </c:pt>
                <c:pt idx="45">
                  <c:v>0.35989820897539615</c:v>
                </c:pt>
                <c:pt idx="46">
                  <c:v>0.35994848972280696</c:v>
                </c:pt>
                <c:pt idx="47">
                  <c:v>0.36195691340608244</c:v>
                </c:pt>
                <c:pt idx="48">
                  <c:v>0.3562807753466562</c:v>
                </c:pt>
                <c:pt idx="49">
                  <c:v>0.37989748275029395</c:v>
                </c:pt>
                <c:pt idx="50">
                  <c:v>0.3798189041480991</c:v>
                </c:pt>
                <c:pt idx="51">
                  <c:v>0.38963619208686645</c:v>
                </c:pt>
                <c:pt idx="52">
                  <c:v>0.39229401034189643</c:v>
                </c:pt>
                <c:pt idx="53">
                  <c:v>0.39266424668974975</c:v>
                </c:pt>
                <c:pt idx="54">
                  <c:v>0.39070993825356121</c:v>
                </c:pt>
                <c:pt idx="55">
                  <c:v>0.3899233970896438</c:v>
                </c:pt>
              </c:numCache>
            </c:numRef>
          </c:val>
          <c:smooth val="0"/>
        </c:ser>
        <c:ser>
          <c:idx val="1"/>
          <c:order val="2"/>
          <c:tx>
            <c:v>1 std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[0]!ve1d</c:f>
              <c:numCache>
                <c:formatCode>0.00%</c:formatCode>
                <c:ptCount val="56"/>
                <c:pt idx="0">
                  <c:v>5.2022021504813609E-2</c:v>
                </c:pt>
                <c:pt idx="1">
                  <c:v>5.9902396514878109E-2</c:v>
                </c:pt>
                <c:pt idx="2">
                  <c:v>5.5730124068997133E-2</c:v>
                </c:pt>
                <c:pt idx="3">
                  <c:v>6.7160547934537518E-2</c:v>
                </c:pt>
                <c:pt idx="4">
                  <c:v>0.19920386415322111</c:v>
                </c:pt>
                <c:pt idx="5">
                  <c:v>0.20461009438749783</c:v>
                </c:pt>
                <c:pt idx="6">
                  <c:v>0.214587222258317</c:v>
                </c:pt>
                <c:pt idx="7">
                  <c:v>0.23800073071733363</c:v>
                </c:pt>
                <c:pt idx="8">
                  <c:v>0.23805671948968071</c:v>
                </c:pt>
                <c:pt idx="9">
                  <c:v>0.22343561436626447</c:v>
                </c:pt>
                <c:pt idx="10">
                  <c:v>0.20288653887085473</c:v>
                </c:pt>
                <c:pt idx="11">
                  <c:v>0.20690172067993784</c:v>
                </c:pt>
                <c:pt idx="12">
                  <c:v>0.20923813347843628</c:v>
                </c:pt>
                <c:pt idx="13">
                  <c:v>0.21800383274646079</c:v>
                </c:pt>
                <c:pt idx="14">
                  <c:v>0.21817345188333587</c:v>
                </c:pt>
                <c:pt idx="15">
                  <c:v>0.21787138997677691</c:v>
                </c:pt>
                <c:pt idx="16">
                  <c:v>0.2184296892970875</c:v>
                </c:pt>
                <c:pt idx="17">
                  <c:v>0.21754508612530671</c:v>
                </c:pt>
                <c:pt idx="18">
                  <c:v>0.21150840922808464</c:v>
                </c:pt>
                <c:pt idx="19">
                  <c:v>0.20787950842880551</c:v>
                </c:pt>
                <c:pt idx="20">
                  <c:v>0.2003389372136391</c:v>
                </c:pt>
                <c:pt idx="21">
                  <c:v>0.19634754625232323</c:v>
                </c:pt>
                <c:pt idx="22">
                  <c:v>0.23303407613977473</c:v>
                </c:pt>
                <c:pt idx="23">
                  <c:v>0.23069991846930293</c:v>
                </c:pt>
                <c:pt idx="24">
                  <c:v>0.21811302767370444</c:v>
                </c:pt>
                <c:pt idx="25">
                  <c:v>0.21443138907611697</c:v>
                </c:pt>
                <c:pt idx="26">
                  <c:v>0.21218817328246892</c:v>
                </c:pt>
                <c:pt idx="27">
                  <c:v>0.21233363674623926</c:v>
                </c:pt>
                <c:pt idx="28">
                  <c:v>0.21573187650782039</c:v>
                </c:pt>
                <c:pt idx="29">
                  <c:v>0.21655431005135489</c:v>
                </c:pt>
                <c:pt idx="30">
                  <c:v>0.2162843472069978</c:v>
                </c:pt>
                <c:pt idx="31">
                  <c:v>0.21660681957175784</c:v>
                </c:pt>
                <c:pt idx="32">
                  <c:v>0.22020225423405887</c:v>
                </c:pt>
                <c:pt idx="33">
                  <c:v>0.24502914173468698</c:v>
                </c:pt>
                <c:pt idx="34">
                  <c:v>0.24744671114208416</c:v>
                </c:pt>
                <c:pt idx="35">
                  <c:v>0.26197074345803695</c:v>
                </c:pt>
                <c:pt idx="36">
                  <c:v>0.26832106084447832</c:v>
                </c:pt>
                <c:pt idx="37">
                  <c:v>0.26204348760630591</c:v>
                </c:pt>
                <c:pt idx="38">
                  <c:v>0.26304786016747078</c:v>
                </c:pt>
                <c:pt idx="39">
                  <c:v>0.26562686129568741</c:v>
                </c:pt>
                <c:pt idx="40">
                  <c:v>0.26732759561264074</c:v>
                </c:pt>
                <c:pt idx="41">
                  <c:v>0.27330040705718345</c:v>
                </c:pt>
                <c:pt idx="42">
                  <c:v>0.26584514497767325</c:v>
                </c:pt>
                <c:pt idx="43">
                  <c:v>0.26429717551960752</c:v>
                </c:pt>
                <c:pt idx="44">
                  <c:v>0.2643646911364545</c:v>
                </c:pt>
                <c:pt idx="45">
                  <c:v>0.2652800481201123</c:v>
                </c:pt>
                <c:pt idx="46">
                  <c:v>0.26522976737270149</c:v>
                </c:pt>
                <c:pt idx="47">
                  <c:v>0.26322134368942601</c:v>
                </c:pt>
                <c:pt idx="48">
                  <c:v>0.26889748174885225</c:v>
                </c:pt>
                <c:pt idx="49">
                  <c:v>0.2452807743452145</c:v>
                </c:pt>
                <c:pt idx="50">
                  <c:v>0.24535935294740935</c:v>
                </c:pt>
                <c:pt idx="51">
                  <c:v>0.235542065008642</c:v>
                </c:pt>
                <c:pt idx="52">
                  <c:v>0.23288424675361202</c:v>
                </c:pt>
                <c:pt idx="53">
                  <c:v>0.23251401040575867</c:v>
                </c:pt>
                <c:pt idx="54">
                  <c:v>0.23446831884194724</c:v>
                </c:pt>
                <c:pt idx="55">
                  <c:v>0.23525486000586465</c:v>
                </c:pt>
              </c:numCache>
            </c:numRef>
          </c:val>
          <c:smooth val="0"/>
        </c:ser>
        <c:ser>
          <c:idx val="2"/>
          <c:order val="3"/>
          <c:tx>
            <c:v>2 Standard Deviation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[0]!ve2u</c:f>
              <c:numCache>
                <c:formatCode>0.00%</c:formatCode>
                <c:ptCount val="56"/>
                <c:pt idx="0">
                  <c:v>0.83372334263363546</c:v>
                </c:pt>
                <c:pt idx="1">
                  <c:v>0.81796259261350646</c:v>
                </c:pt>
                <c:pt idx="2">
                  <c:v>0.82630713750526841</c:v>
                </c:pt>
                <c:pt idx="3">
                  <c:v>0.80344628977418764</c:v>
                </c:pt>
                <c:pt idx="4">
                  <c:v>0.53935965733682045</c:v>
                </c:pt>
                <c:pt idx="5">
                  <c:v>0.52854719686826701</c:v>
                </c:pt>
                <c:pt idx="6">
                  <c:v>0.50859294112662867</c:v>
                </c:pt>
                <c:pt idx="7">
                  <c:v>0.46176592420859541</c:v>
                </c:pt>
                <c:pt idx="8">
                  <c:v>0.46165394666390125</c:v>
                </c:pt>
                <c:pt idx="9">
                  <c:v>0.49089615691073374</c:v>
                </c:pt>
                <c:pt idx="10">
                  <c:v>0.53199430790155322</c:v>
                </c:pt>
                <c:pt idx="11">
                  <c:v>0.523963944283387</c:v>
                </c:pt>
                <c:pt idx="12">
                  <c:v>0.51929111868639011</c:v>
                </c:pt>
                <c:pt idx="13">
                  <c:v>0.50175972015034109</c:v>
                </c:pt>
                <c:pt idx="14">
                  <c:v>0.50142048187659094</c:v>
                </c:pt>
                <c:pt idx="15">
                  <c:v>0.50202460568970886</c:v>
                </c:pt>
                <c:pt idx="16">
                  <c:v>0.50090800704908767</c:v>
                </c:pt>
                <c:pt idx="17">
                  <c:v>0.50267721339264926</c:v>
                </c:pt>
                <c:pt idx="18">
                  <c:v>0.51475056718709333</c:v>
                </c:pt>
                <c:pt idx="19">
                  <c:v>0.5220083687856516</c:v>
                </c:pt>
                <c:pt idx="20">
                  <c:v>0.53708951121598447</c:v>
                </c:pt>
                <c:pt idx="21">
                  <c:v>0.54507229313861627</c:v>
                </c:pt>
                <c:pt idx="22">
                  <c:v>0.47169923336371322</c:v>
                </c:pt>
                <c:pt idx="23">
                  <c:v>0.47636754870465681</c:v>
                </c:pt>
                <c:pt idx="24">
                  <c:v>0.50154133029585379</c:v>
                </c:pt>
                <c:pt idx="25">
                  <c:v>0.50890460749102873</c:v>
                </c:pt>
                <c:pt idx="26">
                  <c:v>0.51339103907832484</c:v>
                </c:pt>
                <c:pt idx="27">
                  <c:v>0.5131001121507841</c:v>
                </c:pt>
                <c:pt idx="28">
                  <c:v>0.5063036326276219</c:v>
                </c:pt>
                <c:pt idx="29">
                  <c:v>0.50465876554055289</c:v>
                </c:pt>
                <c:pt idx="30">
                  <c:v>0.50519869122926708</c:v>
                </c:pt>
                <c:pt idx="31">
                  <c:v>0.50455374649974694</c:v>
                </c:pt>
                <c:pt idx="32">
                  <c:v>0.49736287717514494</c:v>
                </c:pt>
                <c:pt idx="33">
                  <c:v>0.44770910217388871</c:v>
                </c:pt>
                <c:pt idx="34">
                  <c:v>0.44287396335909435</c:v>
                </c:pt>
                <c:pt idx="35">
                  <c:v>0.41382589872718872</c:v>
                </c:pt>
                <c:pt idx="36">
                  <c:v>0.40112526395430603</c:v>
                </c:pt>
                <c:pt idx="37">
                  <c:v>0.41368041043065085</c:v>
                </c:pt>
                <c:pt idx="38">
                  <c:v>0.41167166530832111</c:v>
                </c:pt>
                <c:pt idx="39">
                  <c:v>0.40651366305188785</c:v>
                </c:pt>
                <c:pt idx="40">
                  <c:v>0.40311219441798118</c:v>
                </c:pt>
                <c:pt idx="41">
                  <c:v>0.39116657152889578</c:v>
                </c:pt>
                <c:pt idx="42">
                  <c:v>0.40607709568791617</c:v>
                </c:pt>
                <c:pt idx="43">
                  <c:v>0.40917303460404764</c:v>
                </c:pt>
                <c:pt idx="44">
                  <c:v>0.40903800337035368</c:v>
                </c:pt>
                <c:pt idx="45">
                  <c:v>0.40720728940303808</c:v>
                </c:pt>
                <c:pt idx="46">
                  <c:v>0.4073078508978597</c:v>
                </c:pt>
                <c:pt idx="47">
                  <c:v>0.4113246982644107</c:v>
                </c:pt>
                <c:pt idx="48">
                  <c:v>0.39997242214555817</c:v>
                </c:pt>
                <c:pt idx="49">
                  <c:v>0.44720583695283367</c:v>
                </c:pt>
                <c:pt idx="50">
                  <c:v>0.44704867974844398</c:v>
                </c:pt>
                <c:pt idx="51">
                  <c:v>0.46668325562597868</c:v>
                </c:pt>
                <c:pt idx="52">
                  <c:v>0.47199889213603863</c:v>
                </c:pt>
                <c:pt idx="53">
                  <c:v>0.47273936483174533</c:v>
                </c:pt>
                <c:pt idx="54">
                  <c:v>0.46883074795936819</c:v>
                </c:pt>
                <c:pt idx="55">
                  <c:v>0.46725766563153337</c:v>
                </c:pt>
              </c:numCache>
            </c:numRef>
          </c:val>
          <c:smooth val="0"/>
        </c:ser>
        <c:ser>
          <c:idx val="3"/>
          <c:order val="4"/>
          <c:tx>
            <c:v>2 std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[0]!ve2d</c:f>
              <c:numCache>
                <c:formatCode>0.00%</c:formatCode>
                <c:ptCount val="56"/>
                <c:pt idx="0">
                  <c:v>-0.20854508553812701</c:v>
                </c:pt>
                <c:pt idx="1">
                  <c:v>-0.19278433551799801</c:v>
                </c:pt>
                <c:pt idx="2">
                  <c:v>-0.20112888040975996</c:v>
                </c:pt>
                <c:pt idx="3">
                  <c:v>-0.17826803267867919</c:v>
                </c:pt>
                <c:pt idx="4">
                  <c:v>8.5818599758687969E-2</c:v>
                </c:pt>
                <c:pt idx="5">
                  <c:v>9.6631060227241466E-2</c:v>
                </c:pt>
                <c:pt idx="6">
                  <c:v>0.1165853159688798</c:v>
                </c:pt>
                <c:pt idx="7">
                  <c:v>0.16341233288691304</c:v>
                </c:pt>
                <c:pt idx="8">
                  <c:v>0.16352431043160717</c:v>
                </c:pt>
                <c:pt idx="9">
                  <c:v>0.13428210018477471</c:v>
                </c:pt>
                <c:pt idx="10">
                  <c:v>9.3183949193955201E-2</c:v>
                </c:pt>
                <c:pt idx="11">
                  <c:v>0.10121431281212148</c:v>
                </c:pt>
                <c:pt idx="12">
                  <c:v>0.10588713840911834</c:v>
                </c:pt>
                <c:pt idx="13">
                  <c:v>0.12341853694516738</c:v>
                </c:pt>
                <c:pt idx="14">
                  <c:v>0.12375777521891754</c:v>
                </c:pt>
                <c:pt idx="15">
                  <c:v>0.12315365140579962</c:v>
                </c:pt>
                <c:pt idx="16">
                  <c:v>0.12427025004642075</c:v>
                </c:pt>
                <c:pt idx="17">
                  <c:v>0.12250104370285919</c:v>
                </c:pt>
                <c:pt idx="18">
                  <c:v>0.11042768990841506</c:v>
                </c:pt>
                <c:pt idx="19">
                  <c:v>0.10316988830985679</c:v>
                </c:pt>
                <c:pt idx="20">
                  <c:v>8.8088745879523978E-2</c:v>
                </c:pt>
                <c:pt idx="21">
                  <c:v>8.0105963956892234E-2</c:v>
                </c:pt>
                <c:pt idx="22">
                  <c:v>0.15347902373179523</c:v>
                </c:pt>
                <c:pt idx="23">
                  <c:v>0.14881070839085167</c:v>
                </c:pt>
                <c:pt idx="24">
                  <c:v>0.12363692679965463</c:v>
                </c:pt>
                <c:pt idx="25">
                  <c:v>0.11627364960447972</c:v>
                </c:pt>
                <c:pt idx="26">
                  <c:v>0.11178721801718364</c:v>
                </c:pt>
                <c:pt idx="27">
                  <c:v>0.11207814494472429</c:v>
                </c:pt>
                <c:pt idx="28">
                  <c:v>0.11887462446788652</c:v>
                </c:pt>
                <c:pt idx="29">
                  <c:v>0.12051949155495556</c:v>
                </c:pt>
                <c:pt idx="30">
                  <c:v>0.11997956586624134</c:v>
                </c:pt>
                <c:pt idx="31">
                  <c:v>0.12062451059576146</c:v>
                </c:pt>
                <c:pt idx="32">
                  <c:v>0.12781537992036349</c:v>
                </c:pt>
                <c:pt idx="33">
                  <c:v>0.17746915492161974</c:v>
                </c:pt>
                <c:pt idx="34">
                  <c:v>0.18230429373641407</c:v>
                </c:pt>
                <c:pt idx="35">
                  <c:v>0.21135235836831973</c:v>
                </c:pt>
                <c:pt idx="36">
                  <c:v>0.22405299314120244</c:v>
                </c:pt>
                <c:pt idx="37">
                  <c:v>0.21149784666485758</c:v>
                </c:pt>
                <c:pt idx="38">
                  <c:v>0.21350659178718734</c:v>
                </c:pt>
                <c:pt idx="39">
                  <c:v>0.21866459404362062</c:v>
                </c:pt>
                <c:pt idx="40">
                  <c:v>0.22206606267752724</c:v>
                </c:pt>
                <c:pt idx="41">
                  <c:v>0.23401168556661267</c:v>
                </c:pt>
                <c:pt idx="42">
                  <c:v>0.21910116140759228</c:v>
                </c:pt>
                <c:pt idx="43">
                  <c:v>0.21600522249146081</c:v>
                </c:pt>
                <c:pt idx="44">
                  <c:v>0.21614025372515477</c:v>
                </c:pt>
                <c:pt idx="45">
                  <c:v>0.21797096769247037</c:v>
                </c:pt>
                <c:pt idx="46">
                  <c:v>0.21787040619764875</c:v>
                </c:pt>
                <c:pt idx="47">
                  <c:v>0.21385355883109775</c:v>
                </c:pt>
                <c:pt idx="48">
                  <c:v>0.22520583494995025</c:v>
                </c:pt>
                <c:pt idx="49">
                  <c:v>0.17797242014267478</c:v>
                </c:pt>
                <c:pt idx="50">
                  <c:v>0.1781295773470645</c:v>
                </c:pt>
                <c:pt idx="51">
                  <c:v>0.15849500146952974</c:v>
                </c:pt>
                <c:pt idx="52">
                  <c:v>0.15317936495946982</c:v>
                </c:pt>
                <c:pt idx="53">
                  <c:v>0.15243889226376311</c:v>
                </c:pt>
                <c:pt idx="54">
                  <c:v>0.15634750913614023</c:v>
                </c:pt>
                <c:pt idx="55">
                  <c:v>0.15792059146397508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54208"/>
        <c:axId val="151055744"/>
      </c:lineChart>
      <c:dateAx>
        <c:axId val="1510542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151055744"/>
        <c:crosses val="autoZero"/>
        <c:auto val="1"/>
        <c:lblOffset val="100"/>
        <c:baseTimeUnit val="months"/>
      </c:dateAx>
      <c:valAx>
        <c:axId val="15105574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51054208"/>
        <c:crosses val="autoZero"/>
        <c:crossBetween val="between"/>
      </c:valAx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Scatter</a:t>
            </a:r>
            <a:r>
              <a:rPr lang="en-US" sz="1400" baseline="0"/>
              <a:t> vs Market Index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Bear Market Returns</c:v>
          </c:tx>
          <c:spPr>
            <a:ln w="28575">
              <a:noFill/>
            </a:ln>
          </c:spPr>
          <c:trendline>
            <c:spPr>
              <a:ln w="19050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19703543307086613"/>
                  <c:y val="-0.18182997958588509"/>
                </c:manualLayout>
              </c:layout>
              <c:numFmt formatCode="General" sourceLinked="0"/>
            </c:trendlineLbl>
          </c:trendline>
          <c:xVal>
            <c:numRef>
              <c:f>[0]!bearbr</c:f>
              <c:numCache>
                <c:formatCode>0.00%</c:formatCode>
                <c:ptCount val="16"/>
                <c:pt idx="0">
                  <c:v>-5.1536429813814344E-4</c:v>
                </c:pt>
                <c:pt idx="1">
                  <c:v>-7.8913251789636263E-4</c:v>
                </c:pt>
                <c:pt idx="2">
                  <c:v>-1.2472920632837781E-3</c:v>
                </c:pt>
                <c:pt idx="3">
                  <c:v>-1.7877739331026987E-3</c:v>
                </c:pt>
                <c:pt idx="4">
                  <c:v>-1.9858508129576569E-3</c:v>
                </c:pt>
                <c:pt idx="5">
                  <c:v>-6.762468300929747E-3</c:v>
                </c:pt>
                <c:pt idx="6">
                  <c:v>-6.8163880318578007E-3</c:v>
                </c:pt>
                <c:pt idx="7">
                  <c:v>-6.8349753694582072E-3</c:v>
                </c:pt>
                <c:pt idx="8">
                  <c:v>-7.4981397744834366E-3</c:v>
                </c:pt>
                <c:pt idx="9">
                  <c:v>-8.998511037741852E-3</c:v>
                </c:pt>
                <c:pt idx="10">
                  <c:v>-9.1171147013473508E-3</c:v>
                </c:pt>
                <c:pt idx="11">
                  <c:v>-1.4599022327916544E-2</c:v>
                </c:pt>
                <c:pt idx="12">
                  <c:v>-2.2183098591549322E-2</c:v>
                </c:pt>
                <c:pt idx="13">
                  <c:v>-2.4575613003439356E-2</c:v>
                </c:pt>
                <c:pt idx="14">
                  <c:v>-3.935619632599674E-2</c:v>
                </c:pt>
                <c:pt idx="15">
                  <c:v>-5.1111827263938148E-2</c:v>
                </c:pt>
              </c:numCache>
            </c:numRef>
          </c:xVal>
          <c:yVal>
            <c:numRef>
              <c:f>[0]!bearfr</c:f>
              <c:numCache>
                <c:formatCode>0.00%</c:formatCode>
                <c:ptCount val="16"/>
                <c:pt idx="0">
                  <c:v>-1.9400000000000001E-2</c:v>
                </c:pt>
                <c:pt idx="1">
                  <c:v>1.72E-2</c:v>
                </c:pt>
                <c:pt idx="2">
                  <c:v>-8.3999999999999995E-3</c:v>
                </c:pt>
                <c:pt idx="3">
                  <c:v>2.1000000000000001E-2</c:v>
                </c:pt>
                <c:pt idx="4">
                  <c:v>1E-4</c:v>
                </c:pt>
                <c:pt idx="5">
                  <c:v>4.2099999999999999E-2</c:v>
                </c:pt>
                <c:pt idx="6">
                  <c:v>-9.4000000000000004E-3</c:v>
                </c:pt>
                <c:pt idx="7">
                  <c:v>-3.0000000000000001E-3</c:v>
                </c:pt>
                <c:pt idx="8">
                  <c:v>4.3E-3</c:v>
                </c:pt>
                <c:pt idx="9">
                  <c:v>-2.7E-2</c:v>
                </c:pt>
                <c:pt idx="10">
                  <c:v>1.7899999999999999E-2</c:v>
                </c:pt>
                <c:pt idx="11">
                  <c:v>2.12E-2</c:v>
                </c:pt>
                <c:pt idx="12">
                  <c:v>1.04E-2</c:v>
                </c:pt>
                <c:pt idx="13">
                  <c:v>1.3899999999999999E-2</c:v>
                </c:pt>
                <c:pt idx="14">
                  <c:v>-5.4999999999999997E-3</c:v>
                </c:pt>
                <c:pt idx="15">
                  <c:v>-5.0799999999999998E-2</c:v>
                </c:pt>
              </c:numCache>
            </c:numRef>
          </c:yVal>
          <c:smooth val="0"/>
        </c:ser>
        <c:ser>
          <c:idx val="0"/>
          <c:order val="1"/>
          <c:tx>
            <c:v>Bull Market Returns</c:v>
          </c:tx>
          <c:spPr>
            <a:ln w="28575">
              <a:noFill/>
            </a:ln>
          </c:spPr>
          <c:trendline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23566360454943133"/>
                  <c:y val="-0.17840660542432196"/>
                </c:manualLayout>
              </c:layout>
              <c:numFmt formatCode="General" sourceLinked="0"/>
            </c:trendlineLbl>
          </c:trendline>
          <c:xVal>
            <c:numRef>
              <c:f>[0]!bullbr</c:f>
              <c:numCache>
                <c:formatCode>0.00%</c:formatCode>
                <c:ptCount val="51"/>
                <c:pt idx="0">
                  <c:v>4.924602635511488E-2</c:v>
                </c:pt>
                <c:pt idx="1">
                  <c:v>4.7153271200516711E-2</c:v>
                </c:pt>
                <c:pt idx="2">
                  <c:v>4.0623898484314358E-2</c:v>
                </c:pt>
                <c:pt idx="3">
                  <c:v>3.6770850743774064E-2</c:v>
                </c:pt>
                <c:pt idx="4">
                  <c:v>3.0298719772404059E-2</c:v>
                </c:pt>
                <c:pt idx="5">
                  <c:v>2.9839399410814371E-2</c:v>
                </c:pt>
                <c:pt idx="6">
                  <c:v>2.8236969073795803E-2</c:v>
                </c:pt>
                <c:pt idx="7">
                  <c:v>2.7439578411775356E-2</c:v>
                </c:pt>
                <c:pt idx="8">
                  <c:v>2.7198674582355364E-2</c:v>
                </c:pt>
                <c:pt idx="9">
                  <c:v>2.4812294697325266E-2</c:v>
                </c:pt>
                <c:pt idx="10">
                  <c:v>2.3560047120094296E-2</c:v>
                </c:pt>
                <c:pt idx="11">
                  <c:v>2.3176074671407587E-2</c:v>
                </c:pt>
                <c:pt idx="12">
                  <c:v>2.3166486616252424E-2</c:v>
                </c:pt>
                <c:pt idx="13">
                  <c:v>2.2973197935741485E-2</c:v>
                </c:pt>
                <c:pt idx="14">
                  <c:v>2.0310240567898097E-2</c:v>
                </c:pt>
                <c:pt idx="15">
                  <c:v>1.9220812839761736E-2</c:v>
                </c:pt>
                <c:pt idx="16">
                  <c:v>1.9103659519587257E-2</c:v>
                </c:pt>
                <c:pt idx="17">
                  <c:v>1.8488085456039416E-2</c:v>
                </c:pt>
                <c:pt idx="18">
                  <c:v>1.8209929565366823E-2</c:v>
                </c:pt>
                <c:pt idx="19">
                  <c:v>1.6866926157838247E-2</c:v>
                </c:pt>
                <c:pt idx="20">
                  <c:v>1.6857670979667283E-2</c:v>
                </c:pt>
                <c:pt idx="21">
                  <c:v>1.5749169195202972E-2</c:v>
                </c:pt>
                <c:pt idx="22">
                  <c:v>1.4556040756914079E-2</c:v>
                </c:pt>
                <c:pt idx="23">
                  <c:v>1.337889914927648E-2</c:v>
                </c:pt>
                <c:pt idx="24">
                  <c:v>1.3368265484347663E-2</c:v>
                </c:pt>
                <c:pt idx="25">
                  <c:v>1.3294944533830177E-2</c:v>
                </c:pt>
                <c:pt idx="26">
                  <c:v>1.2903225806451424E-2</c:v>
                </c:pt>
                <c:pt idx="27">
                  <c:v>1.0891488503428803E-2</c:v>
                </c:pt>
                <c:pt idx="28">
                  <c:v>1.0683349374398521E-2</c:v>
                </c:pt>
                <c:pt idx="29">
                  <c:v>9.8246486755380058E-3</c:v>
                </c:pt>
                <c:pt idx="30">
                  <c:v>9.8110705999339132E-3</c:v>
                </c:pt>
                <c:pt idx="31">
                  <c:v>9.4068460935459175E-3</c:v>
                </c:pt>
                <c:pt idx="32">
                  <c:v>9.1209668224834228E-3</c:v>
                </c:pt>
                <c:pt idx="33">
                  <c:v>9.1018504588535887E-3</c:v>
                </c:pt>
                <c:pt idx="34">
                  <c:v>8.897105552024831E-3</c:v>
                </c:pt>
                <c:pt idx="35">
                  <c:v>8.8212657628323754E-3</c:v>
                </c:pt>
                <c:pt idx="36">
                  <c:v>8.1997763697352344E-3</c:v>
                </c:pt>
                <c:pt idx="37">
                  <c:v>7.2593314914133344E-3</c:v>
                </c:pt>
                <c:pt idx="38">
                  <c:v>7.0973510673968399E-3</c:v>
                </c:pt>
                <c:pt idx="39">
                  <c:v>6.5815602836878373E-3</c:v>
                </c:pt>
                <c:pt idx="40">
                  <c:v>6.3550981384623562E-3</c:v>
                </c:pt>
                <c:pt idx="41">
                  <c:v>4.4806037023934486E-3</c:v>
                </c:pt>
                <c:pt idx="42">
                  <c:v>4.3789808917196194E-3</c:v>
                </c:pt>
                <c:pt idx="43">
                  <c:v>4.1824069077172066E-3</c:v>
                </c:pt>
                <c:pt idx="44">
                  <c:v>4.0769230769230891E-3</c:v>
                </c:pt>
                <c:pt idx="45">
                  <c:v>3.8510911424902705E-3</c:v>
                </c:pt>
                <c:pt idx="46">
                  <c:v>2.4344062753585138E-3</c:v>
                </c:pt>
                <c:pt idx="47">
                  <c:v>2.429104056038689E-3</c:v>
                </c:pt>
                <c:pt idx="48">
                  <c:v>2.0950385677553918E-3</c:v>
                </c:pt>
                <c:pt idx="49">
                  <c:v>1.3018714401953346E-3</c:v>
                </c:pt>
                <c:pt idx="50">
                  <c:v>4.7358094851501775E-4</c:v>
                </c:pt>
              </c:numCache>
            </c:numRef>
          </c:xVal>
          <c:yVal>
            <c:numRef>
              <c:f>[0]!bullfr</c:f>
              <c:numCache>
                <c:formatCode>0.00%</c:formatCode>
                <c:ptCount val="51"/>
                <c:pt idx="0">
                  <c:v>3.0200000000000001E-2</c:v>
                </c:pt>
                <c:pt idx="1">
                  <c:v>0.25790000000000002</c:v>
                </c:pt>
                <c:pt idx="2">
                  <c:v>8.6900000000000005E-2</c:v>
                </c:pt>
                <c:pt idx="3">
                  <c:v>8.3599999999999994E-2</c:v>
                </c:pt>
                <c:pt idx="4">
                  <c:v>2.1700000000000001E-2</c:v>
                </c:pt>
                <c:pt idx="5">
                  <c:v>0.1363</c:v>
                </c:pt>
                <c:pt idx="6">
                  <c:v>2.18E-2</c:v>
                </c:pt>
                <c:pt idx="7">
                  <c:v>7.4999999999999997E-3</c:v>
                </c:pt>
                <c:pt idx="8">
                  <c:v>2.0299999999999999E-2</c:v>
                </c:pt>
                <c:pt idx="9">
                  <c:v>1.67E-2</c:v>
                </c:pt>
                <c:pt idx="10">
                  <c:v>1.5699999999999999E-2</c:v>
                </c:pt>
                <c:pt idx="11">
                  <c:v>2.46E-2</c:v>
                </c:pt>
                <c:pt idx="12">
                  <c:v>2.2700000000000001E-2</c:v>
                </c:pt>
                <c:pt idx="13">
                  <c:v>4.1000000000000003E-3</c:v>
                </c:pt>
                <c:pt idx="14">
                  <c:v>-4.1000000000000003E-3</c:v>
                </c:pt>
                <c:pt idx="15">
                  <c:v>2.8899999999999999E-2</c:v>
                </c:pt>
                <c:pt idx="16">
                  <c:v>1.7500000000000002E-2</c:v>
                </c:pt>
                <c:pt idx="17">
                  <c:v>8.3000000000000001E-3</c:v>
                </c:pt>
                <c:pt idx="18">
                  <c:v>1.8200000000000001E-2</c:v>
                </c:pt>
                <c:pt idx="19">
                  <c:v>2.92E-2</c:v>
                </c:pt>
                <c:pt idx="20">
                  <c:v>4.1700000000000001E-2</c:v>
                </c:pt>
                <c:pt idx="21">
                  <c:v>2.58E-2</c:v>
                </c:pt>
                <c:pt idx="22">
                  <c:v>1.5E-3</c:v>
                </c:pt>
                <c:pt idx="23">
                  <c:v>1.5800000000000002E-2</c:v>
                </c:pt>
                <c:pt idx="24">
                  <c:v>2.69E-2</c:v>
                </c:pt>
                <c:pt idx="25">
                  <c:v>7.0599999999999996E-2</c:v>
                </c:pt>
                <c:pt idx="26">
                  <c:v>6.9199999999999998E-2</c:v>
                </c:pt>
                <c:pt idx="27">
                  <c:v>1.89E-2</c:v>
                </c:pt>
                <c:pt idx="28">
                  <c:v>1.9E-3</c:v>
                </c:pt>
                <c:pt idx="29">
                  <c:v>2.9999999999999997E-4</c:v>
                </c:pt>
                <c:pt idx="30">
                  <c:v>-1.15E-2</c:v>
                </c:pt>
                <c:pt idx="31">
                  <c:v>4.8500000000000001E-2</c:v>
                </c:pt>
                <c:pt idx="32">
                  <c:v>2.1100000000000001E-2</c:v>
                </c:pt>
                <c:pt idx="33">
                  <c:v>7.51E-2</c:v>
                </c:pt>
                <c:pt idx="34">
                  <c:v>7.2099999999999997E-2</c:v>
                </c:pt>
                <c:pt idx="35">
                  <c:v>2.3E-3</c:v>
                </c:pt>
                <c:pt idx="36">
                  <c:v>9.1000000000000004E-3</c:v>
                </c:pt>
                <c:pt idx="37">
                  <c:v>1.2999999999999999E-2</c:v>
                </c:pt>
                <c:pt idx="38">
                  <c:v>-1.0999999999999999E-2</c:v>
                </c:pt>
                <c:pt idx="39">
                  <c:v>1.5299999999999999E-2</c:v>
                </c:pt>
                <c:pt idx="40">
                  <c:v>-1.9E-2</c:v>
                </c:pt>
                <c:pt idx="41">
                  <c:v>0.01</c:v>
                </c:pt>
                <c:pt idx="42">
                  <c:v>9.01E-2</c:v>
                </c:pt>
                <c:pt idx="43">
                  <c:v>9.7999999999999997E-3</c:v>
                </c:pt>
                <c:pt idx="44">
                  <c:v>1.43E-2</c:v>
                </c:pt>
                <c:pt idx="45">
                  <c:v>6.8999999999999999E-3</c:v>
                </c:pt>
                <c:pt idx="46">
                  <c:v>9.9000000000000008E-3</c:v>
                </c:pt>
                <c:pt idx="47">
                  <c:v>3.9E-2</c:v>
                </c:pt>
                <c:pt idx="48">
                  <c:v>3.0099999999999998E-2</c:v>
                </c:pt>
                <c:pt idx="49">
                  <c:v>7.4999999999999997E-3</c:v>
                </c:pt>
                <c:pt idx="50">
                  <c:v>1.06E-2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11552"/>
        <c:axId val="151113088"/>
      </c:scatterChart>
      <c:valAx>
        <c:axId val="151111552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51113088"/>
        <c:crosses val="autoZero"/>
        <c:crossBetween val="midCat"/>
      </c:valAx>
      <c:valAx>
        <c:axId val="15111308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15111155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88850503062117236"/>
          <c:w val="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0.51009</cdr:x>
      <cdr:y>0.51238</cdr:y>
    </cdr:from>
    <cdr:to>
      <cdr:x>1</cdr:x>
      <cdr:y>1</cdr:y>
    </cdr:to>
    <cdr:graphicFrame macro="">
      <cdr:nvGraphicFramePr>
        <cdr:cNvPr id="2" name="Chart 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</cdr:y>
    </cdr:from>
    <cdr:to>
      <cdr:x>0.50561</cdr:x>
      <cdr:y>0.50464</cdr:y>
    </cdr:to>
    <cdr:graphicFrame macro="">
      <cdr:nvGraphicFramePr>
        <cdr:cNvPr id="3" name="Chart 5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0.50897</cdr:x>
      <cdr:y>0</cdr:y>
    </cdr:from>
    <cdr:to>
      <cdr:x>1</cdr:x>
      <cdr:y>0.5031</cdr:y>
    </cdr:to>
    <cdr:graphicFrame macro="">
      <cdr:nvGraphicFramePr>
        <cdr:cNvPr id="4" name="Chart 6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0.51084</cdr:y>
    </cdr:from>
    <cdr:to>
      <cdr:x>0.50673</cdr:x>
      <cdr:y>1</cdr:y>
    </cdr:to>
    <cdr:graphicFrame macro="">
      <cdr:nvGraphicFramePr>
        <cdr:cNvPr id="5" name="Chart 7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0.76682</cdr:x>
      <cdr:y>0.33437</cdr:y>
    </cdr:to>
    <cdr:graphicFrame macro="">
      <cdr:nvGraphicFramePr>
        <cdr:cNvPr id="3" name="Chart 8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0.32508</cdr:y>
    </cdr:from>
    <cdr:to>
      <cdr:x>0.76794</cdr:x>
      <cdr:y>0.64861</cdr:y>
    </cdr:to>
    <cdr:graphicFrame macro="">
      <cdr:nvGraphicFramePr>
        <cdr:cNvPr id="4" name="Chart 8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</cdr:x>
      <cdr:y>0.64706</cdr:y>
    </cdr:from>
    <cdr:to>
      <cdr:x>0.77018</cdr:x>
      <cdr:y>1</cdr:y>
    </cdr:to>
    <cdr:graphicFrame macro="">
      <cdr:nvGraphicFramePr>
        <cdr:cNvPr id="5" name="Chart 8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0.33744</cdr:x>
      <cdr:y>0.49845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0.33856</cdr:x>
      <cdr:y>0</cdr:y>
    </cdr:from>
    <cdr:to>
      <cdr:x>0.66816</cdr:x>
      <cdr:y>0.49845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0.66816</cdr:x>
      <cdr:y>0</cdr:y>
    </cdr:from>
    <cdr:to>
      <cdr:x>1</cdr:x>
      <cdr:y>0.49845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1.15344E-7</cdr:x>
      <cdr:y>0.52786</cdr:y>
    </cdr:from>
    <cdr:to>
      <cdr:x>0.33632</cdr:x>
      <cdr:y>1</cdr:y>
    </cdr:to>
    <cdr:graphicFrame macro="">
      <cdr:nvGraphicFramePr>
        <cdr:cNvPr id="7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  <cdr:relSizeAnchor xmlns:cdr="http://schemas.openxmlformats.org/drawingml/2006/chartDrawing">
    <cdr:from>
      <cdr:x>0.3352</cdr:x>
      <cdr:y>0.52786</cdr:y>
    </cdr:from>
    <cdr:to>
      <cdr:x>0.67152</cdr:x>
      <cdr:y>1</cdr:y>
    </cdr:to>
    <cdr:graphicFrame macro="">
      <cdr:nvGraphicFramePr>
        <cdr:cNvPr id="8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cdr:graphicFrame>
  </cdr:relSizeAnchor>
  <cdr:relSizeAnchor xmlns:cdr="http://schemas.openxmlformats.org/drawingml/2006/chartDrawing">
    <cdr:from>
      <cdr:x>0.66592</cdr:x>
      <cdr:y>0.52786</cdr:y>
    </cdr:from>
    <cdr:to>
      <cdr:x>1</cdr:x>
      <cdr:y>1</cdr:y>
    </cdr:to>
    <cdr:graphicFrame macro="">
      <cdr:nvGraphicFramePr>
        <cdr:cNvPr id="9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cdr:graphicFrame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0.49327</cdr:x>
      <cdr:y>0.49536</cdr:y>
    </cdr:to>
    <cdr:graphicFrame macro="">
      <cdr:nvGraphicFramePr>
        <cdr:cNvPr id="2" name="Chart 9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0.49439</cdr:x>
      <cdr:y>0.49226</cdr:y>
    </cdr:from>
    <cdr:to>
      <cdr:x>1</cdr:x>
      <cdr:y>1</cdr:y>
    </cdr:to>
    <cdr:graphicFrame macro="">
      <cdr:nvGraphicFramePr>
        <cdr:cNvPr id="4" name="Chart 1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0.49327</cdr:x>
      <cdr:y>0</cdr:y>
    </cdr:from>
    <cdr:to>
      <cdr:x>1</cdr:x>
      <cdr:y>0.49381</cdr:y>
    </cdr:to>
    <cdr:graphicFrame macro="">
      <cdr:nvGraphicFramePr>
        <cdr:cNvPr id="5" name="Chart 10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0.49536</cdr:y>
    </cdr:from>
    <cdr:to>
      <cdr:x>0.49327</cdr:x>
      <cdr:y>1</cdr:y>
    </cdr:to>
    <cdr:graphicFrame macro="">
      <cdr:nvGraphicFramePr>
        <cdr:cNvPr id="6" name="Chart 1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tabSelected="1" workbookViewId="0">
      <selection activeCell="K22" sqref="K22"/>
    </sheetView>
  </sheetViews>
  <sheetFormatPr defaultRowHeight="15" x14ac:dyDescent="0.25"/>
  <cols>
    <col min="1" max="1" width="9.140625" style="94"/>
    <col min="2" max="2" width="7.42578125" bestFit="1" customWidth="1"/>
    <col min="3" max="3" width="26" style="57" bestFit="1" customWidth="1"/>
    <col min="4" max="4" width="18.28515625" style="57" bestFit="1" customWidth="1"/>
    <col min="6" max="6" width="11" bestFit="1" customWidth="1"/>
    <col min="7" max="7" width="8.28515625" bestFit="1" customWidth="1"/>
    <col min="8" max="8" width="7.140625" bestFit="1" customWidth="1"/>
    <col min="9" max="9" width="7.85546875" bestFit="1" customWidth="1"/>
    <col min="10" max="10" width="7.42578125" bestFit="1" customWidth="1"/>
    <col min="11" max="12" width="7" bestFit="1" customWidth="1"/>
    <col min="13" max="13" width="11.85546875" bestFit="1" customWidth="1"/>
    <col min="14" max="14" width="7.140625" bestFit="1" customWidth="1"/>
    <col min="15" max="15" width="7" bestFit="1" customWidth="1"/>
    <col min="16" max="16" width="7.28515625" bestFit="1" customWidth="1"/>
    <col min="17" max="17" width="7.85546875" bestFit="1" customWidth="1"/>
    <col min="18" max="24" width="6.85546875" bestFit="1" customWidth="1"/>
  </cols>
  <sheetData>
    <row r="1" spans="2:12" x14ac:dyDescent="0.25">
      <c r="C1" s="117" t="s">
        <v>60</v>
      </c>
      <c r="D1" s="118" t="s">
        <v>61</v>
      </c>
    </row>
    <row r="2" spans="2:12" ht="15.75" thickBot="1" x14ac:dyDescent="0.3">
      <c r="B2" s="59">
        <f>G19</f>
        <v>39814</v>
      </c>
      <c r="C2" s="98">
        <f t="shared" ref="C2:C33" si="0">INDEX($G$4:$L$15,MATCH(MONTH(B2),$F$4:$F$15),MATCH(YEAR(B2),$G$3:$L$3))</f>
        <v>1.9E-3</v>
      </c>
      <c r="D2" s="97">
        <v>1.0683349374398521E-2</v>
      </c>
    </row>
    <row r="3" spans="2:12" x14ac:dyDescent="0.25">
      <c r="B3" s="59">
        <f>EOMONTH(B2,0)+1</f>
        <v>39845</v>
      </c>
      <c r="C3" s="98">
        <f t="shared" si="0"/>
        <v>3.0099999999999998E-2</v>
      </c>
      <c r="D3" s="97">
        <v>2.0950385677553918E-3</v>
      </c>
      <c r="F3" s="106"/>
      <c r="G3" s="2">
        <v>2009</v>
      </c>
      <c r="H3" s="2">
        <v>2010</v>
      </c>
      <c r="I3" s="2">
        <v>2011</v>
      </c>
      <c r="J3" s="2">
        <v>2012</v>
      </c>
      <c r="K3" s="2">
        <v>2013</v>
      </c>
      <c r="L3" s="3">
        <v>2014</v>
      </c>
    </row>
    <row r="4" spans="2:12" x14ac:dyDescent="0.25">
      <c r="B4" s="59">
        <f t="shared" ref="B4:B67" si="1">EOMONTH(B3,0)+1</f>
        <v>39873</v>
      </c>
      <c r="C4" s="98">
        <f t="shared" si="0"/>
        <v>0.1363</v>
      </c>
      <c r="D4" s="97">
        <v>2.9839399410814371E-2</v>
      </c>
      <c r="F4" s="122">
        <v>1</v>
      </c>
      <c r="G4" s="132">
        <v>1.9E-3</v>
      </c>
      <c r="H4" s="132">
        <v>7.51E-2</v>
      </c>
      <c r="I4" s="132">
        <v>1.06E-2</v>
      </c>
      <c r="J4" s="132">
        <v>2.8899999999999999E-2</v>
      </c>
      <c r="K4" s="132">
        <v>4.2099999999999999E-2</v>
      </c>
      <c r="L4" s="133">
        <v>7.2099999999999997E-2</v>
      </c>
    </row>
    <row r="5" spans="2:12" x14ac:dyDescent="0.25">
      <c r="B5" s="59">
        <f t="shared" si="1"/>
        <v>39904</v>
      </c>
      <c r="C5" s="98">
        <f t="shared" si="0"/>
        <v>0.25790000000000002</v>
      </c>
      <c r="D5" s="97">
        <v>4.7153271200516711E-2</v>
      </c>
      <c r="F5" s="122">
        <v>2</v>
      </c>
      <c r="G5" s="132">
        <v>3.0099999999999998E-2</v>
      </c>
      <c r="H5" s="132">
        <v>9.1000000000000004E-3</v>
      </c>
      <c r="I5" s="132">
        <v>9.9000000000000008E-3</v>
      </c>
      <c r="J5" s="132">
        <v>2.46E-2</v>
      </c>
      <c r="K5" s="132">
        <v>1.5299999999999999E-2</v>
      </c>
      <c r="L5" s="133">
        <v>1.8200000000000001E-2</v>
      </c>
    </row>
    <row r="6" spans="2:12" x14ac:dyDescent="0.25">
      <c r="B6" s="59">
        <f t="shared" si="1"/>
        <v>39934</v>
      </c>
      <c r="C6" s="98">
        <f t="shared" si="0"/>
        <v>8.6900000000000005E-2</v>
      </c>
      <c r="D6" s="97">
        <v>4.0623898484314358E-2</v>
      </c>
      <c r="F6" s="122">
        <v>3</v>
      </c>
      <c r="G6" s="132">
        <v>0.1363</v>
      </c>
      <c r="H6" s="132">
        <v>4.1700000000000001E-2</v>
      </c>
      <c r="I6" s="132">
        <v>9.7999999999999997E-3</v>
      </c>
      <c r="J6" s="132">
        <v>1E-4</v>
      </c>
      <c r="K6" s="132">
        <v>1.72E-2</v>
      </c>
      <c r="L6" s="133">
        <v>-1.9E-2</v>
      </c>
    </row>
    <row r="7" spans="2:12" x14ac:dyDescent="0.25">
      <c r="B7" s="59">
        <f t="shared" si="1"/>
        <v>39965</v>
      </c>
      <c r="C7" s="98">
        <f t="shared" si="0"/>
        <v>7.0599999999999996E-2</v>
      </c>
      <c r="D7" s="97">
        <v>1.3294944533830177E-2</v>
      </c>
      <c r="F7" s="122">
        <v>4</v>
      </c>
      <c r="G7" s="132">
        <v>0.25790000000000002</v>
      </c>
      <c r="H7" s="132">
        <v>1.5800000000000002E-2</v>
      </c>
      <c r="I7" s="132">
        <v>2.69E-2</v>
      </c>
      <c r="J7" s="132">
        <v>2.9999999999999997E-4</v>
      </c>
      <c r="K7" s="132">
        <v>2.92E-2</v>
      </c>
      <c r="L7" s="133">
        <v>-1.0999999999999999E-2</v>
      </c>
    </row>
    <row r="8" spans="2:12" x14ac:dyDescent="0.25">
      <c r="B8" s="59">
        <f t="shared" si="1"/>
        <v>39995</v>
      </c>
      <c r="C8" s="98">
        <f t="shared" si="0"/>
        <v>8.3599999999999994E-2</v>
      </c>
      <c r="D8" s="97">
        <v>3.6770850743774064E-2</v>
      </c>
      <c r="F8" s="122">
        <v>5</v>
      </c>
      <c r="G8" s="132">
        <v>8.6900000000000005E-2</v>
      </c>
      <c r="H8" s="132">
        <v>-9.4000000000000004E-3</v>
      </c>
      <c r="I8" s="132">
        <v>-1.15E-2</v>
      </c>
      <c r="J8" s="132">
        <v>-3.0000000000000001E-3</v>
      </c>
      <c r="K8" s="132">
        <v>1.3899999999999999E-2</v>
      </c>
      <c r="L8" s="133">
        <v>4.1000000000000003E-3</v>
      </c>
    </row>
    <row r="9" spans="2:12" x14ac:dyDescent="0.25">
      <c r="B9" s="59">
        <f t="shared" si="1"/>
        <v>40026</v>
      </c>
      <c r="C9" s="98">
        <f t="shared" si="0"/>
        <v>1.7500000000000002E-2</v>
      </c>
      <c r="D9" s="97">
        <v>1.9103659519587257E-2</v>
      </c>
      <c r="F9" s="122">
        <v>6</v>
      </c>
      <c r="G9" s="132">
        <v>7.0599999999999996E-2</v>
      </c>
      <c r="H9" s="132">
        <v>2.58E-2</v>
      </c>
      <c r="I9" s="132">
        <v>-8.3999999999999995E-3</v>
      </c>
      <c r="J9" s="132">
        <v>1.5699999999999999E-2</v>
      </c>
      <c r="K9" s="132">
        <v>-5.4999999999999997E-3</v>
      </c>
      <c r="L9" s="133">
        <v>7.4999999999999997E-3</v>
      </c>
    </row>
    <row r="10" spans="2:12" x14ac:dyDescent="0.25">
      <c r="B10" s="59">
        <f t="shared" si="1"/>
        <v>40057</v>
      </c>
      <c r="C10" s="98">
        <f t="shared" si="0"/>
        <v>2.18E-2</v>
      </c>
      <c r="D10" s="97">
        <v>2.8236969073795803E-2</v>
      </c>
      <c r="F10" s="122">
        <v>7</v>
      </c>
      <c r="G10" s="132">
        <v>8.3599999999999994E-2</v>
      </c>
      <c r="H10" s="132">
        <v>2.1700000000000001E-2</v>
      </c>
      <c r="I10" s="132">
        <v>-4.1000000000000003E-3</v>
      </c>
      <c r="J10" s="132">
        <v>7.4999999999999997E-3</v>
      </c>
      <c r="K10" s="132">
        <v>2.3E-3</v>
      </c>
      <c r="L10" s="133">
        <v>1.2999999999999999E-2</v>
      </c>
    </row>
    <row r="11" spans="2:12" x14ac:dyDescent="0.25">
      <c r="B11" s="59">
        <f t="shared" si="1"/>
        <v>40087</v>
      </c>
      <c r="C11" s="98">
        <f t="shared" si="0"/>
        <v>1.43E-2</v>
      </c>
      <c r="D11" s="97">
        <v>4.0769230769230891E-3</v>
      </c>
      <c r="F11" s="122">
        <v>8</v>
      </c>
      <c r="G11" s="132">
        <v>1.7500000000000002E-2</v>
      </c>
      <c r="H11" s="132">
        <v>2.0299999999999999E-2</v>
      </c>
      <c r="I11" s="132">
        <v>-1.9400000000000001E-2</v>
      </c>
      <c r="J11" s="132">
        <v>0.01</v>
      </c>
      <c r="K11" s="132">
        <v>1.04E-2</v>
      </c>
      <c r="L11" s="133"/>
    </row>
    <row r="12" spans="2:12" x14ac:dyDescent="0.25">
      <c r="B12" s="59">
        <f t="shared" si="1"/>
        <v>40118</v>
      </c>
      <c r="C12" s="98">
        <f t="shared" si="0"/>
        <v>1.5E-3</v>
      </c>
      <c r="D12" s="97">
        <v>1.4556040756914079E-2</v>
      </c>
      <c r="F12" s="122">
        <v>9</v>
      </c>
      <c r="G12" s="132">
        <v>2.18E-2</v>
      </c>
      <c r="H12" s="132">
        <v>6.9199999999999998E-2</v>
      </c>
      <c r="I12" s="132">
        <v>-5.0799999999999998E-2</v>
      </c>
      <c r="J12" s="132">
        <v>8.3000000000000001E-3</v>
      </c>
      <c r="K12" s="132">
        <v>2.2700000000000001E-2</v>
      </c>
      <c r="L12" s="133"/>
    </row>
    <row r="13" spans="2:12" x14ac:dyDescent="0.25">
      <c r="B13" s="59">
        <f t="shared" si="1"/>
        <v>40148</v>
      </c>
      <c r="C13" s="98">
        <f t="shared" si="0"/>
        <v>6.8999999999999999E-3</v>
      </c>
      <c r="D13" s="97">
        <v>3.8510911424902705E-3</v>
      </c>
      <c r="F13" s="122">
        <v>10</v>
      </c>
      <c r="G13" s="132">
        <v>1.43E-2</v>
      </c>
      <c r="H13" s="132">
        <v>9.01E-2</v>
      </c>
      <c r="I13" s="132">
        <v>3.0200000000000001E-2</v>
      </c>
      <c r="J13" s="132">
        <v>1.89E-2</v>
      </c>
      <c r="K13" s="132">
        <v>1.67E-2</v>
      </c>
      <c r="L13" s="133"/>
    </row>
    <row r="14" spans="2:12" x14ac:dyDescent="0.25">
      <c r="B14" s="59">
        <f t="shared" si="1"/>
        <v>40179</v>
      </c>
      <c r="C14" s="98">
        <f t="shared" si="0"/>
        <v>7.51E-2</v>
      </c>
      <c r="D14" s="97">
        <v>9.1018504588535887E-3</v>
      </c>
      <c r="F14" s="122">
        <v>11</v>
      </c>
      <c r="G14" s="132">
        <v>1.5E-3</v>
      </c>
      <c r="H14" s="132">
        <v>2.12E-2</v>
      </c>
      <c r="I14" s="132">
        <v>-2.7E-2</v>
      </c>
      <c r="J14" s="132">
        <v>2.1100000000000001E-2</v>
      </c>
      <c r="K14" s="132">
        <v>4.3E-3</v>
      </c>
      <c r="L14" s="133"/>
    </row>
    <row r="15" spans="2:12" x14ac:dyDescent="0.25">
      <c r="B15" s="59">
        <f t="shared" si="1"/>
        <v>40210</v>
      </c>
      <c r="C15" s="98">
        <f t="shared" si="0"/>
        <v>9.1000000000000004E-3</v>
      </c>
      <c r="D15" s="97">
        <v>8.1997763697352344E-3</v>
      </c>
      <c r="F15" s="122">
        <v>12</v>
      </c>
      <c r="G15" s="64">
        <v>6.8999999999999999E-3</v>
      </c>
      <c r="H15" s="64">
        <v>1.7899999999999999E-2</v>
      </c>
      <c r="I15" s="64">
        <v>4.8500000000000001E-2</v>
      </c>
      <c r="J15" s="64">
        <v>3.9E-2</v>
      </c>
      <c r="K15" s="64">
        <v>2.1000000000000001E-2</v>
      </c>
      <c r="L15" s="65"/>
    </row>
    <row r="16" spans="2:12" ht="15.75" thickBot="1" x14ac:dyDescent="0.3">
      <c r="B16" s="59">
        <f t="shared" si="1"/>
        <v>40238</v>
      </c>
      <c r="C16" s="98">
        <f t="shared" si="0"/>
        <v>4.1700000000000001E-2</v>
      </c>
      <c r="D16" s="97">
        <v>1.6857670979667283E-2</v>
      </c>
      <c r="F16" s="107" t="s">
        <v>0</v>
      </c>
      <c r="G16" s="127">
        <f t="array" ref="G16">PRODUCT(1+G4:G15)-1</f>
        <v>0.97802942553966221</v>
      </c>
      <c r="H16" s="127">
        <f t="array" ref="H16">PRODUCT(1+H4:H15)-1</f>
        <v>0.47328731407979507</v>
      </c>
      <c r="I16" s="127">
        <f t="array" ref="I16">PRODUCT(1+I4:I15)-1</f>
        <v>1.065411706335162E-2</v>
      </c>
      <c r="J16" s="127">
        <f t="array" ref="J16">PRODUCT(1+J4:J15)-1</f>
        <v>0.18449547884519979</v>
      </c>
      <c r="K16" s="127">
        <f t="array" ref="K16">PRODUCT(1+K4:K15)-1</f>
        <v>0.20595519810969387</v>
      </c>
      <c r="L16" s="128">
        <f t="array" ref="L16">PRODUCT(1+L4:L15)-1</f>
        <v>8.5338365087379353E-2</v>
      </c>
    </row>
    <row r="17" spans="2:26" x14ac:dyDescent="0.25">
      <c r="B17" s="59">
        <f t="shared" si="1"/>
        <v>40269</v>
      </c>
      <c r="C17" s="98">
        <f t="shared" si="0"/>
        <v>1.5800000000000002E-2</v>
      </c>
      <c r="D17" s="97">
        <v>1.337889914927648E-2</v>
      </c>
      <c r="F17" s="100"/>
      <c r="G17" s="93"/>
    </row>
    <row r="18" spans="2:26" x14ac:dyDescent="0.25">
      <c r="B18" s="59">
        <f t="shared" si="1"/>
        <v>40299</v>
      </c>
      <c r="C18" s="98">
        <f t="shared" si="0"/>
        <v>-9.4000000000000004E-3</v>
      </c>
      <c r="D18" s="97">
        <v>-6.8163880318578007E-3</v>
      </c>
      <c r="G18" s="94"/>
      <c r="H18" s="105"/>
    </row>
    <row r="19" spans="2:26" x14ac:dyDescent="0.25">
      <c r="B19" s="59">
        <f t="shared" si="1"/>
        <v>40330</v>
      </c>
      <c r="C19" s="98">
        <f t="shared" si="0"/>
        <v>2.58E-2</v>
      </c>
      <c r="D19" s="97">
        <v>1.5749169195202972E-2</v>
      </c>
      <c r="F19" s="119" t="s">
        <v>56</v>
      </c>
      <c r="G19" s="120">
        <v>39814</v>
      </c>
      <c r="H19" s="96"/>
    </row>
    <row r="20" spans="2:26" x14ac:dyDescent="0.25">
      <c r="B20" s="59">
        <f t="shared" si="1"/>
        <v>40360</v>
      </c>
      <c r="C20" s="98">
        <f t="shared" si="0"/>
        <v>2.1700000000000001E-2</v>
      </c>
      <c r="D20" s="97">
        <v>3.0298719772404059E-2</v>
      </c>
      <c r="F20" s="119" t="s">
        <v>57</v>
      </c>
      <c r="G20" s="120">
        <v>41821</v>
      </c>
      <c r="H20" s="123"/>
    </row>
    <row r="21" spans="2:26" x14ac:dyDescent="0.25">
      <c r="B21" s="59">
        <f t="shared" si="1"/>
        <v>40391</v>
      </c>
      <c r="C21" s="98">
        <f t="shared" si="0"/>
        <v>2.0299999999999999E-2</v>
      </c>
      <c r="D21" s="97">
        <v>2.7198674582355364E-2</v>
      </c>
      <c r="F21" s="95"/>
      <c r="G21" s="94"/>
      <c r="H21" s="94"/>
      <c r="L21" s="124"/>
      <c r="M21" s="124"/>
      <c r="N21" s="124"/>
      <c r="O21" s="124"/>
      <c r="P21" s="124"/>
      <c r="Q21" s="125"/>
      <c r="R21" s="125"/>
      <c r="S21" s="125"/>
      <c r="T21" s="125"/>
      <c r="U21" s="125"/>
      <c r="V21" s="125"/>
      <c r="W21" s="125"/>
      <c r="X21" s="125"/>
    </row>
    <row r="22" spans="2:26" x14ac:dyDescent="0.25">
      <c r="B22" s="59">
        <f t="shared" si="1"/>
        <v>40422</v>
      </c>
      <c r="C22" s="98">
        <f t="shared" si="0"/>
        <v>6.9199999999999998E-2</v>
      </c>
      <c r="D22" s="97">
        <v>1.2903225806451424E-2</v>
      </c>
      <c r="F22" s="95" t="s">
        <v>58</v>
      </c>
      <c r="G22" s="121">
        <f t="array" aca="1" ref="G22" ca="1">PRODUCT(1+INDIRECT("R"&amp;MATCH(G19,B:B,0)&amp;"C"&amp;COLUMN(C1),FALSE):INDIRECT("R"&amp;MATCH(G20,B:B,0)&amp;"C"&amp;COLUMN(C1),FALSE))-1</f>
        <v>3.5661742745285023</v>
      </c>
      <c r="H22" s="105"/>
      <c r="J22" s="99"/>
      <c r="K22" s="105"/>
      <c r="L22" s="124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</row>
    <row r="23" spans="2:26" x14ac:dyDescent="0.25">
      <c r="B23" s="59">
        <f t="shared" si="1"/>
        <v>40452</v>
      </c>
      <c r="C23" s="98">
        <f t="shared" si="0"/>
        <v>9.01E-2</v>
      </c>
      <c r="D23" s="97">
        <v>4.3789808917196194E-3</v>
      </c>
      <c r="F23" s="95" t="s">
        <v>55</v>
      </c>
      <c r="G23" s="105">
        <f ca="1">(1+G22)^(12/(DATEDIF(G19,G20,"m")+1))-1</f>
        <v>0.31258912854775422</v>
      </c>
      <c r="H23" s="105"/>
      <c r="I23" s="110"/>
      <c r="J23" s="95"/>
      <c r="K23" s="96"/>
      <c r="L23" s="124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</row>
    <row r="24" spans="2:26" x14ac:dyDescent="0.25">
      <c r="B24" s="59">
        <f t="shared" si="1"/>
        <v>40483</v>
      </c>
      <c r="C24" s="98">
        <f t="shared" si="0"/>
        <v>2.12E-2</v>
      </c>
      <c r="D24" s="97">
        <v>-1.4599022327916544E-2</v>
      </c>
      <c r="L24" s="124"/>
      <c r="M24" s="131"/>
      <c r="N24" s="125"/>
      <c r="O24" s="125"/>
      <c r="P24" s="125"/>
      <c r="Q24" s="125"/>
      <c r="R24" s="125"/>
      <c r="S24" s="126"/>
      <c r="T24" s="130"/>
      <c r="U24" s="130"/>
      <c r="V24" s="130"/>
      <c r="W24" s="130"/>
      <c r="X24" s="130"/>
      <c r="Y24" s="129"/>
      <c r="Z24" s="129"/>
    </row>
    <row r="25" spans="2:26" x14ac:dyDescent="0.25">
      <c r="B25" s="59">
        <f t="shared" si="1"/>
        <v>40513</v>
      </c>
      <c r="C25" s="98">
        <f t="shared" si="0"/>
        <v>1.7899999999999999E-2</v>
      </c>
      <c r="D25" s="97">
        <v>-9.1171147013473508E-3</v>
      </c>
      <c r="H25" s="105"/>
      <c r="L25" s="124"/>
      <c r="M25" s="131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9"/>
      <c r="Z25" s="129"/>
    </row>
    <row r="26" spans="2:26" x14ac:dyDescent="0.25">
      <c r="B26" s="59">
        <f t="shared" si="1"/>
        <v>40544</v>
      </c>
      <c r="C26" s="98">
        <f t="shared" si="0"/>
        <v>1.06E-2</v>
      </c>
      <c r="D26" s="97">
        <v>4.7358094851501775E-4</v>
      </c>
      <c r="H26" s="96"/>
      <c r="L26" s="124"/>
      <c r="M26" s="131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9"/>
      <c r="Z26" s="129"/>
    </row>
    <row r="27" spans="2:26" x14ac:dyDescent="0.25">
      <c r="B27" s="59">
        <f t="shared" si="1"/>
        <v>40575</v>
      </c>
      <c r="C27" s="98">
        <f t="shared" si="0"/>
        <v>9.9000000000000008E-3</v>
      </c>
      <c r="D27" s="97">
        <v>2.4344062753585138E-3</v>
      </c>
      <c r="L27" s="124"/>
      <c r="M27" s="131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9"/>
      <c r="Z27" s="129"/>
    </row>
    <row r="28" spans="2:26" x14ac:dyDescent="0.25">
      <c r="B28" s="59">
        <f t="shared" si="1"/>
        <v>40603</v>
      </c>
      <c r="C28" s="98">
        <f t="shared" si="0"/>
        <v>9.7999999999999997E-3</v>
      </c>
      <c r="D28" s="97">
        <v>4.1824069077172066E-3</v>
      </c>
      <c r="L28" s="124"/>
      <c r="M28" s="131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9"/>
      <c r="Z28" s="129"/>
    </row>
    <row r="29" spans="2:26" x14ac:dyDescent="0.25">
      <c r="B29" s="59">
        <f t="shared" si="1"/>
        <v>40634</v>
      </c>
      <c r="C29" s="98">
        <f t="shared" si="0"/>
        <v>2.69E-2</v>
      </c>
      <c r="D29" s="97">
        <v>1.3368265484347663E-2</v>
      </c>
      <c r="L29" s="124"/>
      <c r="M29" s="131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94"/>
      <c r="Z29" s="94"/>
    </row>
    <row r="30" spans="2:26" x14ac:dyDescent="0.25">
      <c r="B30" s="59">
        <f t="shared" si="1"/>
        <v>40664</v>
      </c>
      <c r="C30" s="98">
        <f t="shared" si="0"/>
        <v>-1.15E-2</v>
      </c>
      <c r="D30" s="97">
        <v>9.8110705999339132E-3</v>
      </c>
    </row>
    <row r="31" spans="2:26" x14ac:dyDescent="0.25">
      <c r="B31" s="59">
        <f t="shared" si="1"/>
        <v>40695</v>
      </c>
      <c r="C31" s="98">
        <f t="shared" si="0"/>
        <v>-8.3999999999999995E-3</v>
      </c>
      <c r="D31" s="97">
        <v>-1.2472920632837781E-3</v>
      </c>
    </row>
    <row r="32" spans="2:26" x14ac:dyDescent="0.25">
      <c r="B32" s="59">
        <f t="shared" si="1"/>
        <v>40725</v>
      </c>
      <c r="C32" s="98">
        <f t="shared" si="0"/>
        <v>-4.1000000000000003E-3</v>
      </c>
      <c r="D32" s="97">
        <v>2.0310240567898097E-2</v>
      </c>
    </row>
    <row r="33" spans="2:4" x14ac:dyDescent="0.25">
      <c r="B33" s="59">
        <f t="shared" si="1"/>
        <v>40756</v>
      </c>
      <c r="C33" s="98">
        <f t="shared" si="0"/>
        <v>-1.9400000000000001E-2</v>
      </c>
      <c r="D33" s="97">
        <v>-5.1536429813814344E-4</v>
      </c>
    </row>
    <row r="34" spans="2:4" x14ac:dyDescent="0.25">
      <c r="B34" s="59">
        <f t="shared" si="1"/>
        <v>40787</v>
      </c>
      <c r="C34" s="98">
        <f t="shared" ref="C34:C65" si="2">INDEX($G$4:$L$15,MATCH(MONTH(B34),$F$4:$F$15),MATCH(YEAR(B34),$G$3:$L$3))</f>
        <v>-5.0799999999999998E-2</v>
      </c>
      <c r="D34" s="97">
        <v>-5.1111827263938148E-2</v>
      </c>
    </row>
    <row r="35" spans="2:4" x14ac:dyDescent="0.25">
      <c r="B35" s="59">
        <f t="shared" si="1"/>
        <v>40817</v>
      </c>
      <c r="C35" s="98">
        <f t="shared" si="2"/>
        <v>3.0200000000000001E-2</v>
      </c>
      <c r="D35" s="97">
        <v>4.924602635511488E-2</v>
      </c>
    </row>
    <row r="36" spans="2:4" x14ac:dyDescent="0.25">
      <c r="B36" s="59">
        <f t="shared" si="1"/>
        <v>40848</v>
      </c>
      <c r="C36" s="98">
        <f t="shared" si="2"/>
        <v>-2.7E-2</v>
      </c>
      <c r="D36" s="97">
        <v>-8.998511037741852E-3</v>
      </c>
    </row>
    <row r="37" spans="2:4" x14ac:dyDescent="0.25">
      <c r="B37" s="59">
        <f t="shared" si="1"/>
        <v>40878</v>
      </c>
      <c r="C37" s="98">
        <f t="shared" si="2"/>
        <v>4.8500000000000001E-2</v>
      </c>
      <c r="D37" s="97">
        <v>9.4068460935459175E-3</v>
      </c>
    </row>
    <row r="38" spans="2:4" x14ac:dyDescent="0.25">
      <c r="B38" s="59">
        <f t="shared" si="1"/>
        <v>40909</v>
      </c>
      <c r="C38" s="98">
        <f t="shared" si="2"/>
        <v>2.8899999999999999E-2</v>
      </c>
      <c r="D38" s="97">
        <v>1.9220812839761736E-2</v>
      </c>
    </row>
    <row r="39" spans="2:4" x14ac:dyDescent="0.25">
      <c r="B39" s="59">
        <f t="shared" si="1"/>
        <v>40940</v>
      </c>
      <c r="C39" s="98">
        <f t="shared" si="2"/>
        <v>2.46E-2</v>
      </c>
      <c r="D39" s="97">
        <v>2.3176074671407587E-2</v>
      </c>
    </row>
    <row r="40" spans="2:4" x14ac:dyDescent="0.25">
      <c r="B40" s="59">
        <f t="shared" si="1"/>
        <v>40969</v>
      </c>
      <c r="C40" s="98">
        <f t="shared" si="2"/>
        <v>1E-4</v>
      </c>
      <c r="D40" s="97">
        <v>-1.9858508129576569E-3</v>
      </c>
    </row>
    <row r="41" spans="2:4" x14ac:dyDescent="0.25">
      <c r="B41" s="59">
        <f t="shared" si="1"/>
        <v>41000</v>
      </c>
      <c r="C41" s="98">
        <f t="shared" si="2"/>
        <v>2.9999999999999997E-4</v>
      </c>
      <c r="D41" s="97">
        <v>9.8246486755380058E-3</v>
      </c>
    </row>
    <row r="42" spans="2:4" x14ac:dyDescent="0.25">
      <c r="B42" s="59">
        <f t="shared" si="1"/>
        <v>41030</v>
      </c>
      <c r="C42" s="98">
        <f t="shared" si="2"/>
        <v>-3.0000000000000001E-3</v>
      </c>
      <c r="D42" s="97">
        <v>-6.8349753694582072E-3</v>
      </c>
    </row>
    <row r="43" spans="2:4" x14ac:dyDescent="0.25">
      <c r="B43" s="59">
        <f t="shared" si="1"/>
        <v>41061</v>
      </c>
      <c r="C43" s="98">
        <f t="shared" si="2"/>
        <v>1.5699999999999999E-2</v>
      </c>
      <c r="D43" s="97">
        <v>2.3560047120094296E-2</v>
      </c>
    </row>
    <row r="44" spans="2:4" x14ac:dyDescent="0.25">
      <c r="B44" s="59">
        <f t="shared" si="1"/>
        <v>41091</v>
      </c>
      <c r="C44" s="98">
        <f t="shared" si="2"/>
        <v>7.4999999999999997E-3</v>
      </c>
      <c r="D44" s="97">
        <v>2.7439578411775356E-2</v>
      </c>
    </row>
    <row r="45" spans="2:4" x14ac:dyDescent="0.25">
      <c r="B45" s="59">
        <f t="shared" si="1"/>
        <v>41122</v>
      </c>
      <c r="C45" s="98">
        <f t="shared" si="2"/>
        <v>0.01</v>
      </c>
      <c r="D45" s="97">
        <v>4.4806037023934486E-3</v>
      </c>
    </row>
    <row r="46" spans="2:4" x14ac:dyDescent="0.25">
      <c r="B46" s="59">
        <f t="shared" si="1"/>
        <v>41153</v>
      </c>
      <c r="C46" s="98">
        <f t="shared" si="2"/>
        <v>8.3000000000000001E-3</v>
      </c>
      <c r="D46" s="97">
        <v>1.8488085456039416E-2</v>
      </c>
    </row>
    <row r="47" spans="2:4" x14ac:dyDescent="0.25">
      <c r="B47" s="59">
        <f t="shared" si="1"/>
        <v>41183</v>
      </c>
      <c r="C47" s="98">
        <f t="shared" si="2"/>
        <v>1.89E-2</v>
      </c>
      <c r="D47" s="97">
        <v>1.0891488503428803E-2</v>
      </c>
    </row>
    <row r="48" spans="2:4" x14ac:dyDescent="0.25">
      <c r="B48" s="59">
        <f t="shared" si="1"/>
        <v>41214</v>
      </c>
      <c r="C48" s="98">
        <f t="shared" si="2"/>
        <v>2.1100000000000001E-2</v>
      </c>
      <c r="D48" s="97">
        <v>9.1209668224834228E-3</v>
      </c>
    </row>
    <row r="49" spans="2:4" x14ac:dyDescent="0.25">
      <c r="B49" s="59">
        <f t="shared" si="1"/>
        <v>41244</v>
      </c>
      <c r="C49" s="98">
        <f t="shared" si="2"/>
        <v>3.9E-2</v>
      </c>
      <c r="D49" s="97">
        <v>2.429104056038689E-3</v>
      </c>
    </row>
    <row r="50" spans="2:4" x14ac:dyDescent="0.25">
      <c r="B50" s="59">
        <f t="shared" si="1"/>
        <v>41275</v>
      </c>
      <c r="C50" s="98">
        <f t="shared" si="2"/>
        <v>4.2099999999999999E-2</v>
      </c>
      <c r="D50" s="97">
        <v>-6.762468300929747E-3</v>
      </c>
    </row>
    <row r="51" spans="2:4" x14ac:dyDescent="0.25">
      <c r="B51" s="59">
        <f t="shared" si="1"/>
        <v>41306</v>
      </c>
      <c r="C51" s="98">
        <f t="shared" si="2"/>
        <v>1.5299999999999999E-2</v>
      </c>
      <c r="D51" s="97">
        <v>6.5815602836878373E-3</v>
      </c>
    </row>
    <row r="52" spans="2:4" x14ac:dyDescent="0.25">
      <c r="B52" s="59">
        <f t="shared" si="1"/>
        <v>41334</v>
      </c>
      <c r="C52" s="98">
        <f t="shared" si="2"/>
        <v>1.72E-2</v>
      </c>
      <c r="D52" s="97">
        <v>-7.8913251789636263E-4</v>
      </c>
    </row>
    <row r="53" spans="2:4" x14ac:dyDescent="0.25">
      <c r="B53" s="59">
        <f t="shared" si="1"/>
        <v>41365</v>
      </c>
      <c r="C53" s="98">
        <f t="shared" si="2"/>
        <v>2.92E-2</v>
      </c>
      <c r="D53" s="97">
        <v>1.6866926157838247E-2</v>
      </c>
    </row>
    <row r="54" spans="2:4" x14ac:dyDescent="0.25">
      <c r="B54" s="59">
        <f t="shared" si="1"/>
        <v>41395</v>
      </c>
      <c r="C54" s="98">
        <f t="shared" si="2"/>
        <v>1.3899999999999999E-2</v>
      </c>
      <c r="D54" s="97">
        <v>-2.4575613003439356E-2</v>
      </c>
    </row>
    <row r="55" spans="2:4" x14ac:dyDescent="0.25">
      <c r="B55" s="59">
        <f t="shared" si="1"/>
        <v>41426</v>
      </c>
      <c r="C55" s="98">
        <f t="shared" si="2"/>
        <v>-5.4999999999999997E-3</v>
      </c>
      <c r="D55" s="97">
        <v>-3.935619632599674E-2</v>
      </c>
    </row>
    <row r="56" spans="2:4" x14ac:dyDescent="0.25">
      <c r="B56" s="59">
        <f t="shared" si="1"/>
        <v>41456</v>
      </c>
      <c r="C56" s="98">
        <f t="shared" si="2"/>
        <v>2.3E-3</v>
      </c>
      <c r="D56" s="97">
        <v>8.8212657628323754E-3</v>
      </c>
    </row>
    <row r="57" spans="2:4" x14ac:dyDescent="0.25">
      <c r="B57" s="59">
        <f t="shared" si="1"/>
        <v>41487</v>
      </c>
      <c r="C57" s="98">
        <f t="shared" si="2"/>
        <v>1.04E-2</v>
      </c>
      <c r="D57" s="97">
        <v>-2.2183098591549322E-2</v>
      </c>
    </row>
    <row r="58" spans="2:4" x14ac:dyDescent="0.25">
      <c r="B58" s="59">
        <f t="shared" si="1"/>
        <v>41518</v>
      </c>
      <c r="C58" s="98">
        <f t="shared" si="2"/>
        <v>2.2700000000000001E-2</v>
      </c>
      <c r="D58" s="97">
        <v>2.3166486616252424E-2</v>
      </c>
    </row>
    <row r="59" spans="2:4" x14ac:dyDescent="0.25">
      <c r="B59" s="59">
        <f t="shared" si="1"/>
        <v>41548</v>
      </c>
      <c r="C59" s="98">
        <f t="shared" si="2"/>
        <v>1.67E-2</v>
      </c>
      <c r="D59" s="97">
        <v>2.4812294697325266E-2</v>
      </c>
    </row>
    <row r="60" spans="2:4" x14ac:dyDescent="0.25">
      <c r="B60" s="59">
        <f t="shared" si="1"/>
        <v>41579</v>
      </c>
      <c r="C60" s="98">
        <f t="shared" si="2"/>
        <v>4.3E-3</v>
      </c>
      <c r="D60" s="97">
        <v>-7.4981397744834366E-3</v>
      </c>
    </row>
    <row r="61" spans="2:4" x14ac:dyDescent="0.25">
      <c r="B61" s="59">
        <f t="shared" si="1"/>
        <v>41609</v>
      </c>
      <c r="C61" s="98">
        <f t="shared" si="2"/>
        <v>2.1000000000000001E-2</v>
      </c>
      <c r="D61" s="97">
        <v>-1.7877739331026987E-3</v>
      </c>
    </row>
    <row r="62" spans="2:4" x14ac:dyDescent="0.25">
      <c r="B62" s="59">
        <f t="shared" si="1"/>
        <v>41640</v>
      </c>
      <c r="C62" s="98">
        <f t="shared" si="2"/>
        <v>7.2099999999999997E-2</v>
      </c>
      <c r="D62" s="97">
        <v>8.897105552024831E-3</v>
      </c>
    </row>
    <row r="63" spans="2:4" x14ac:dyDescent="0.25">
      <c r="B63" s="59">
        <f t="shared" si="1"/>
        <v>41671</v>
      </c>
      <c r="C63" s="98">
        <f t="shared" si="2"/>
        <v>1.8200000000000001E-2</v>
      </c>
      <c r="D63" s="97">
        <v>1.8209929565366823E-2</v>
      </c>
    </row>
    <row r="64" spans="2:4" x14ac:dyDescent="0.25">
      <c r="B64" s="59">
        <f t="shared" si="1"/>
        <v>41699</v>
      </c>
      <c r="C64" s="98">
        <f t="shared" si="2"/>
        <v>-1.9E-2</v>
      </c>
      <c r="D64" s="97">
        <v>6.3550981384623562E-3</v>
      </c>
    </row>
    <row r="65" spans="2:4" x14ac:dyDescent="0.25">
      <c r="B65" s="59">
        <f t="shared" si="1"/>
        <v>41730</v>
      </c>
      <c r="C65" s="98">
        <f t="shared" si="2"/>
        <v>-1.0999999999999999E-2</v>
      </c>
      <c r="D65" s="97">
        <v>7.0973510673968399E-3</v>
      </c>
    </row>
    <row r="66" spans="2:4" x14ac:dyDescent="0.25">
      <c r="B66" s="59">
        <f t="shared" si="1"/>
        <v>41760</v>
      </c>
      <c r="C66" s="98">
        <f t="shared" ref="C66:C68" si="3">INDEX($G$4:$L$15,MATCH(MONTH(B66),$F$4:$F$15),MATCH(YEAR(B66),$G$3:$L$3))</f>
        <v>4.1000000000000003E-3</v>
      </c>
      <c r="D66" s="97">
        <v>2.2973197935741485E-2</v>
      </c>
    </row>
    <row r="67" spans="2:4" x14ac:dyDescent="0.25">
      <c r="B67" s="59">
        <f t="shared" si="1"/>
        <v>41791</v>
      </c>
      <c r="C67" s="98">
        <f t="shared" si="3"/>
        <v>7.4999999999999997E-3</v>
      </c>
      <c r="D67" s="97">
        <v>1.3018714401953346E-3</v>
      </c>
    </row>
    <row r="68" spans="2:4" x14ac:dyDescent="0.25">
      <c r="B68" s="59">
        <f t="shared" ref="B68" si="4">EOMONTH(B67,0)+1</f>
        <v>41821</v>
      </c>
      <c r="C68" s="98">
        <f t="shared" si="3"/>
        <v>1.2999999999999999E-2</v>
      </c>
      <c r="D68" s="97">
        <v>7.2593314914133344E-3</v>
      </c>
    </row>
    <row r="69" spans="2:4" x14ac:dyDescent="0.25">
      <c r="B69" s="59"/>
      <c r="C69" s="98"/>
      <c r="D69" s="129"/>
    </row>
    <row r="70" spans="2:4" x14ac:dyDescent="0.25">
      <c r="B70" s="59"/>
      <c r="C70" s="98"/>
      <c r="D70" s="129"/>
    </row>
    <row r="71" spans="2:4" x14ac:dyDescent="0.25">
      <c r="B71" s="59"/>
      <c r="C71" s="98"/>
      <c r="D71" s="129"/>
    </row>
    <row r="72" spans="2:4" x14ac:dyDescent="0.25">
      <c r="B72" s="59"/>
      <c r="C72" s="98"/>
      <c r="D72" s="129"/>
    </row>
    <row r="73" spans="2:4" x14ac:dyDescent="0.25">
      <c r="B73" s="59"/>
      <c r="C73" s="98"/>
      <c r="D73" s="129"/>
    </row>
    <row r="74" spans="2:4" x14ac:dyDescent="0.25">
      <c r="B74" s="59"/>
      <c r="C74" s="98"/>
      <c r="D74" s="129"/>
    </row>
    <row r="75" spans="2:4" x14ac:dyDescent="0.25">
      <c r="B75" s="59"/>
      <c r="C75" s="98"/>
      <c r="D75" s="129"/>
    </row>
    <row r="76" spans="2:4" x14ac:dyDescent="0.25">
      <c r="B76" s="59"/>
      <c r="C76" s="98"/>
      <c r="D76" s="129"/>
    </row>
    <row r="77" spans="2:4" x14ac:dyDescent="0.25">
      <c r="B77" s="59"/>
      <c r="C77" s="98"/>
      <c r="D77" s="129"/>
    </row>
    <row r="78" spans="2:4" x14ac:dyDescent="0.25">
      <c r="B78" s="59"/>
      <c r="C78" s="98"/>
      <c r="D78" s="129"/>
    </row>
    <row r="79" spans="2:4" x14ac:dyDescent="0.25">
      <c r="B79" s="59"/>
      <c r="C79" s="98"/>
      <c r="D79" s="129"/>
    </row>
    <row r="80" spans="2:4" x14ac:dyDescent="0.25">
      <c r="B80" s="59"/>
      <c r="C80" s="98"/>
      <c r="D80" s="129"/>
    </row>
    <row r="81" spans="2:4" x14ac:dyDescent="0.25">
      <c r="B81" s="59"/>
      <c r="C81" s="98"/>
      <c r="D81" s="129"/>
    </row>
    <row r="82" spans="2:4" x14ac:dyDescent="0.25">
      <c r="B82" s="59"/>
      <c r="C82" s="98"/>
      <c r="D82" s="129"/>
    </row>
    <row r="83" spans="2:4" x14ac:dyDescent="0.25">
      <c r="B83" s="59"/>
      <c r="C83" s="98"/>
      <c r="D83" s="129"/>
    </row>
    <row r="84" spans="2:4" x14ac:dyDescent="0.25">
      <c r="B84" s="59"/>
      <c r="C84" s="98"/>
      <c r="D84" s="129"/>
    </row>
    <row r="85" spans="2:4" x14ac:dyDescent="0.25">
      <c r="B85" s="59"/>
      <c r="C85" s="98"/>
      <c r="D85" s="129"/>
    </row>
    <row r="86" spans="2:4" x14ac:dyDescent="0.25">
      <c r="B86" s="59"/>
      <c r="C86" s="98"/>
      <c r="D86" s="129"/>
    </row>
    <row r="87" spans="2:4" x14ac:dyDescent="0.25">
      <c r="B87" s="59"/>
      <c r="C87" s="98"/>
      <c r="D87" s="129"/>
    </row>
    <row r="88" spans="2:4" x14ac:dyDescent="0.25">
      <c r="B88" s="59"/>
      <c r="C88" s="98"/>
      <c r="D88" s="129"/>
    </row>
    <row r="89" spans="2:4" x14ac:dyDescent="0.25">
      <c r="B89" s="59"/>
      <c r="C89" s="98"/>
      <c r="D89" s="129"/>
    </row>
    <row r="90" spans="2:4" x14ac:dyDescent="0.25">
      <c r="B90" s="59"/>
      <c r="C90" s="98"/>
      <c r="D90" s="129"/>
    </row>
    <row r="91" spans="2:4" x14ac:dyDescent="0.25">
      <c r="B91" s="59"/>
      <c r="C91" s="98"/>
      <c r="D91" s="129"/>
    </row>
    <row r="92" spans="2:4" x14ac:dyDescent="0.25">
      <c r="B92" s="59"/>
      <c r="C92" s="98"/>
      <c r="D92" s="129"/>
    </row>
    <row r="93" spans="2:4" x14ac:dyDescent="0.25">
      <c r="B93" s="59"/>
      <c r="C93" s="98"/>
      <c r="D93" s="129"/>
    </row>
    <row r="94" spans="2:4" x14ac:dyDescent="0.25">
      <c r="B94" s="59"/>
      <c r="C94" s="98"/>
      <c r="D94" s="129"/>
    </row>
    <row r="95" spans="2:4" x14ac:dyDescent="0.25">
      <c r="B95" s="59"/>
      <c r="C95" s="98"/>
      <c r="D95" s="129"/>
    </row>
    <row r="96" spans="2:4" x14ac:dyDescent="0.25">
      <c r="B96" s="59"/>
      <c r="C96" s="98"/>
      <c r="D96" s="129"/>
    </row>
    <row r="97" spans="2:4" x14ac:dyDescent="0.25">
      <c r="B97" s="59"/>
      <c r="C97" s="98"/>
      <c r="D97" s="129"/>
    </row>
    <row r="98" spans="2:4" x14ac:dyDescent="0.25">
      <c r="B98" s="59"/>
      <c r="C98" s="98"/>
      <c r="D98" s="129"/>
    </row>
    <row r="99" spans="2:4" x14ac:dyDescent="0.25">
      <c r="B99" s="59"/>
      <c r="C99" s="98"/>
      <c r="D99" s="129"/>
    </row>
    <row r="100" spans="2:4" x14ac:dyDescent="0.25">
      <c r="B100" s="59"/>
      <c r="C100" s="4"/>
      <c r="D100" s="61"/>
    </row>
    <row r="101" spans="2:4" x14ac:dyDescent="0.25">
      <c r="B101" s="59"/>
      <c r="C101" s="4"/>
      <c r="D101" s="61"/>
    </row>
    <row r="102" spans="2:4" x14ac:dyDescent="0.25">
      <c r="B102" s="59"/>
      <c r="C102" s="4"/>
      <c r="D102" s="61"/>
    </row>
    <row r="103" spans="2:4" x14ac:dyDescent="0.25">
      <c r="B103" s="59"/>
      <c r="C103" s="4"/>
      <c r="D103" s="61"/>
    </row>
    <row r="104" spans="2:4" x14ac:dyDescent="0.25">
      <c r="B104" s="59"/>
      <c r="C104" s="4"/>
      <c r="D104" s="61"/>
    </row>
    <row r="105" spans="2:4" x14ac:dyDescent="0.25">
      <c r="B105" s="59"/>
      <c r="C105" s="4"/>
      <c r="D105" s="61"/>
    </row>
    <row r="106" spans="2:4" x14ac:dyDescent="0.25">
      <c r="B106" s="59"/>
      <c r="C106" s="4"/>
      <c r="D106" s="61"/>
    </row>
    <row r="107" spans="2:4" x14ac:dyDescent="0.25">
      <c r="B107" s="59"/>
      <c r="C107" s="4"/>
      <c r="D107" s="61"/>
    </row>
    <row r="108" spans="2:4" x14ac:dyDescent="0.25">
      <c r="B108" s="59"/>
      <c r="C108" s="4"/>
      <c r="D108" s="61"/>
    </row>
    <row r="109" spans="2:4" x14ac:dyDescent="0.25">
      <c r="B109" s="59"/>
      <c r="C109" s="4"/>
      <c r="D109" s="61"/>
    </row>
    <row r="110" spans="2:4" x14ac:dyDescent="0.25">
      <c r="B110" s="59"/>
      <c r="C110" s="4"/>
      <c r="D110" s="61"/>
    </row>
    <row r="111" spans="2:4" x14ac:dyDescent="0.25">
      <c r="B111" s="59"/>
      <c r="C111" s="4"/>
      <c r="D111" s="61"/>
    </row>
    <row r="112" spans="2:4" x14ac:dyDescent="0.25">
      <c r="B112" s="59"/>
      <c r="C112" s="4"/>
      <c r="D112" s="61"/>
    </row>
    <row r="113" spans="2:4" x14ac:dyDescent="0.25">
      <c r="B113" s="59"/>
      <c r="C113" s="4"/>
      <c r="D113" s="61"/>
    </row>
    <row r="114" spans="2:4" x14ac:dyDescent="0.25">
      <c r="B114" s="59"/>
      <c r="C114" s="4"/>
      <c r="D114" s="61"/>
    </row>
    <row r="115" spans="2:4" x14ac:dyDescent="0.25">
      <c r="B115" s="59"/>
      <c r="C115" s="4"/>
      <c r="D115" s="61"/>
    </row>
    <row r="116" spans="2:4" x14ac:dyDescent="0.25">
      <c r="B116" s="59"/>
      <c r="C116" s="4"/>
      <c r="D116" s="61"/>
    </row>
    <row r="117" spans="2:4" x14ac:dyDescent="0.25">
      <c r="B117" s="59"/>
      <c r="C117" s="4"/>
      <c r="D117" s="61"/>
    </row>
    <row r="118" spans="2:4" x14ac:dyDescent="0.25">
      <c r="B118" s="59"/>
      <c r="C118" s="4"/>
      <c r="D118" s="61"/>
    </row>
    <row r="119" spans="2:4" x14ac:dyDescent="0.25">
      <c r="B119" s="59"/>
      <c r="C119" s="4"/>
      <c r="D119" s="61"/>
    </row>
    <row r="120" spans="2:4" x14ac:dyDescent="0.25">
      <c r="B120" s="59"/>
      <c r="C120" s="4"/>
      <c r="D120" s="61"/>
    </row>
    <row r="121" spans="2:4" x14ac:dyDescent="0.25">
      <c r="B121" s="59"/>
      <c r="C121" s="4"/>
      <c r="D121" s="61"/>
    </row>
    <row r="122" spans="2:4" x14ac:dyDescent="0.25">
      <c r="B122" s="59"/>
      <c r="C122" s="4"/>
      <c r="D122" s="61"/>
    </row>
    <row r="123" spans="2:4" x14ac:dyDescent="0.25">
      <c r="B123" s="59"/>
      <c r="C123" s="4"/>
      <c r="D123" s="61"/>
    </row>
    <row r="124" spans="2:4" x14ac:dyDescent="0.25">
      <c r="B124" s="59"/>
      <c r="C124" s="4"/>
      <c r="D124" s="61"/>
    </row>
    <row r="125" spans="2:4" x14ac:dyDescent="0.25">
      <c r="B125" s="59"/>
      <c r="C125" s="4"/>
      <c r="D125" s="61"/>
    </row>
    <row r="126" spans="2:4" x14ac:dyDescent="0.25">
      <c r="B126" s="59"/>
      <c r="C126" s="4"/>
      <c r="D126" s="61"/>
    </row>
    <row r="127" spans="2:4" x14ac:dyDescent="0.25">
      <c r="B127" s="59"/>
      <c r="C127" s="4"/>
      <c r="D127" s="61"/>
    </row>
    <row r="128" spans="2:4" x14ac:dyDescent="0.25">
      <c r="B128" s="59"/>
      <c r="C128" s="4"/>
      <c r="D128" s="61"/>
    </row>
    <row r="129" spans="2:4" x14ac:dyDescent="0.25">
      <c r="B129" s="59"/>
      <c r="C129" s="4"/>
      <c r="D129" s="61"/>
    </row>
  </sheetData>
  <pageMargins left="0.7" right="0.7" top="0.75" bottom="0.75" header="0.3" footer="0.3"/>
  <ignoredErrors>
    <ignoredError sqref="G16:L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9"/>
  <sheetViews>
    <sheetView workbookViewId="0">
      <selection activeCell="K19" sqref="K19"/>
    </sheetView>
  </sheetViews>
  <sheetFormatPr defaultRowHeight="15" x14ac:dyDescent="0.25"/>
  <cols>
    <col min="1" max="1" width="9.140625" style="5"/>
    <col min="2" max="2" width="9.7109375" bestFit="1" customWidth="1"/>
    <col min="3" max="3" width="15.5703125" bestFit="1" customWidth="1"/>
    <col min="4" max="4" width="12.42578125" bestFit="1" customWidth="1"/>
    <col min="5" max="5" width="10.5703125" bestFit="1" customWidth="1"/>
    <col min="6" max="6" width="15.5703125" bestFit="1" customWidth="1"/>
    <col min="7" max="7" width="12.42578125" bestFit="1" customWidth="1"/>
    <col min="8" max="8" width="10.5703125" bestFit="1" customWidth="1"/>
    <col min="9" max="9" width="9" style="57" bestFit="1" customWidth="1"/>
    <col min="11" max="11" width="37.28515625" bestFit="1" customWidth="1"/>
    <col min="12" max="12" width="26" bestFit="1" customWidth="1"/>
    <col min="13" max="13" width="18.28515625" bestFit="1" customWidth="1"/>
    <col min="14" max="14" width="3" bestFit="1" customWidth="1"/>
    <col min="15" max="15" width="3" style="94" customWidth="1"/>
    <col min="16" max="16" width="3" style="46" bestFit="1" customWidth="1"/>
    <col min="17" max="17" width="18.28515625" bestFit="1" customWidth="1"/>
    <col min="18" max="18" width="26" bestFit="1" customWidth="1"/>
    <col min="19" max="19" width="12.5703125" bestFit="1" customWidth="1"/>
    <col min="20" max="20" width="10.140625" bestFit="1" customWidth="1"/>
  </cols>
  <sheetData>
    <row r="1" spans="1:20" s="57" customFormat="1" x14ac:dyDescent="0.25">
      <c r="B1" s="57" t="s">
        <v>53</v>
      </c>
      <c r="C1" s="134">
        <f>'Monthly Returns'!B2-1</f>
        <v>39813</v>
      </c>
      <c r="D1" s="57" t="s">
        <v>54</v>
      </c>
      <c r="E1" s="134">
        <f>'Monthly Returns'!B68</f>
        <v>41821</v>
      </c>
      <c r="O1" s="94"/>
    </row>
    <row r="2" spans="1:20" x14ac:dyDescent="0.25">
      <c r="A2"/>
      <c r="K2" s="14"/>
      <c r="L2" s="14"/>
      <c r="M2" s="14"/>
    </row>
    <row r="3" spans="1:20" x14ac:dyDescent="0.25">
      <c r="A3"/>
      <c r="C3" s="136" t="str">
        <f>'Monthly Returns'!C1</f>
        <v>Prudence Enhanced Income</v>
      </c>
      <c r="D3" s="136"/>
      <c r="E3" s="136"/>
      <c r="F3" s="137" t="str">
        <f>'Monthly Returns'!D1</f>
        <v>JPEIJACC Index</v>
      </c>
      <c r="G3" s="136"/>
      <c r="H3" s="136"/>
      <c r="I3" s="86" t="s">
        <v>52</v>
      </c>
      <c r="K3" s="15"/>
      <c r="L3" s="15"/>
      <c r="M3" s="15"/>
    </row>
    <row r="4" spans="1:20" x14ac:dyDescent="0.25">
      <c r="A4"/>
      <c r="C4" s="7" t="s">
        <v>1</v>
      </c>
      <c r="D4" s="9" t="s">
        <v>2</v>
      </c>
      <c r="E4" s="6" t="s">
        <v>3</v>
      </c>
      <c r="F4" s="7" t="s">
        <v>1</v>
      </c>
      <c r="G4" s="9" t="s">
        <v>2</v>
      </c>
      <c r="H4" s="6" t="s">
        <v>3</v>
      </c>
      <c r="I4" s="58"/>
      <c r="K4" s="15"/>
      <c r="L4" s="24" t="str">
        <f>C3</f>
        <v>Prudence Enhanced Income</v>
      </c>
      <c r="M4" s="24" t="str">
        <f>F3</f>
        <v>JPEIJACC Index</v>
      </c>
      <c r="Q4" s="138" t="s">
        <v>59</v>
      </c>
      <c r="R4" s="138"/>
      <c r="S4" s="116"/>
      <c r="T4" s="108"/>
    </row>
    <row r="5" spans="1:20" x14ac:dyDescent="0.25">
      <c r="A5"/>
      <c r="B5" s="91">
        <f>C1</f>
        <v>39813</v>
      </c>
      <c r="D5">
        <v>0</v>
      </c>
      <c r="G5" s="10">
        <v>0</v>
      </c>
      <c r="K5" s="20" t="s">
        <v>4</v>
      </c>
      <c r="L5" s="18">
        <f ca="1">AVERAGE(fr)</f>
        <v>2.3707462686567166E-2</v>
      </c>
      <c r="M5" s="18">
        <f ca="1">AVERAGE(br)</f>
        <v>8.8713478647264501E-3</v>
      </c>
      <c r="Q5" s="45" t="str">
        <f>F3</f>
        <v>JPEIJACC Index</v>
      </c>
      <c r="R5" s="48" t="str">
        <f>C3</f>
        <v>Prudence Enhanced Income</v>
      </c>
      <c r="S5" s="113"/>
      <c r="T5" s="48"/>
    </row>
    <row r="6" spans="1:20" x14ac:dyDescent="0.25">
      <c r="A6"/>
      <c r="B6" s="1">
        <f>IF(B5&lt;$E$1,EOMONTH(B5,0)+1,"")</f>
        <v>39814</v>
      </c>
      <c r="C6" s="98">
        <f>VLOOKUP(B6,'Monthly Returns'!B:D,2,FALSE)</f>
        <v>1.9E-3</v>
      </c>
      <c r="D6" s="8">
        <f t="array" ref="D6">PRODUCT(1+$C$6:C6)-1</f>
        <v>1.9000000000000128E-3</v>
      </c>
      <c r="E6" s="8">
        <f>IF($B$6=B6,MIN(0,C6),MIN(0,(1+E5)*(1+C6)-1))</f>
        <v>0</v>
      </c>
      <c r="F6" s="12">
        <f>VLOOKUP(B6,'Monthly Returns'!B:D,3,FALSE)</f>
        <v>1.0683349374398521E-2</v>
      </c>
      <c r="G6" s="11">
        <f t="array" ref="G6">PRODUCT(1+$F$6:F6)-1</f>
        <v>1.0683349374398521E-2</v>
      </c>
      <c r="H6" s="13">
        <f>IF($B$6=B6,MIN(0,F6),MIN(0,(1+H5)*(1+F6)-1))</f>
        <v>0</v>
      </c>
      <c r="I6" s="60">
        <f>VLOOKUP(B6,Appendix!D:F,3,FALSE)</f>
        <v>1.0826883828274347E-4</v>
      </c>
      <c r="J6" s="11"/>
      <c r="K6" s="20" t="s">
        <v>5</v>
      </c>
      <c r="L6" s="18">
        <f ca="1">STDEV(fr)</f>
        <v>4.1809833965130355E-2</v>
      </c>
      <c r="M6" s="18">
        <f ca="1">STDEV(br)</f>
        <v>1.7335955265013817E-2</v>
      </c>
      <c r="P6" s="46">
        <v>1</v>
      </c>
      <c r="Q6" s="47">
        <f t="shared" ref="Q6:Q37" ca="1" si="0">LARGE(br,P6)</f>
        <v>4.924602635511488E-2</v>
      </c>
      <c r="R6" s="47">
        <f t="shared" ref="R6:R37" ca="1" si="1">INDEX(fr,MATCH(Q6,br,0))</f>
        <v>3.0200000000000001E-2</v>
      </c>
      <c r="S6" s="115"/>
      <c r="T6" s="101"/>
    </row>
    <row r="7" spans="1:20" x14ac:dyDescent="0.25">
      <c r="A7"/>
      <c r="B7" s="59">
        <f t="shared" ref="B7:B70" si="2">IF(B6&lt;$E$1,EOMONTH(B6,0)+1,"")</f>
        <v>39845</v>
      </c>
      <c r="C7" s="98">
        <f>VLOOKUP(B7,'Monthly Returns'!B:D,2,FALSE)</f>
        <v>3.0099999999999998E-2</v>
      </c>
      <c r="D7" s="8">
        <f t="array" ref="D7">PRODUCT(1+$C$6:C7)-1</f>
        <v>3.2057189999999958E-2</v>
      </c>
      <c r="E7" s="8">
        <f t="shared" ref="E7:E70" si="3">IF($B$6=B7,MIN(0,C7),MIN(0,(1+E6)*(1+C7)-1))</f>
        <v>0</v>
      </c>
      <c r="F7" s="61">
        <f>VLOOKUP(B7,'Monthly Returns'!B:D,3,FALSE)</f>
        <v>2.0950385677553918E-3</v>
      </c>
      <c r="G7" s="11">
        <f t="array" ref="G7">PRODUCT(1+$F$6:F7)-1</f>
        <v>1.2800769971126114E-2</v>
      </c>
      <c r="H7" s="13">
        <f t="shared" ref="H7:H70" si="4">IF($B$6=B7,MIN(0,F7),MIN(0,(1+H6)*(1+F7)-1))</f>
        <v>0</v>
      </c>
      <c r="I7" s="60">
        <f>VLOOKUP(B7,Appendix!D:F,3,FALSE)</f>
        <v>2.4965690741618474E-4</v>
      </c>
      <c r="J7" s="11"/>
      <c r="K7" s="20" t="s">
        <v>6</v>
      </c>
      <c r="L7" s="90">
        <v>0.99</v>
      </c>
      <c r="M7" s="15">
        <f>L7</f>
        <v>0.99</v>
      </c>
      <c r="P7" s="46">
        <f t="shared" ref="P7:P38" ca="1" si="5">IF(P6&lt;COUNT(br),P6+1,"")</f>
        <v>2</v>
      </c>
      <c r="Q7" s="97">
        <f t="shared" ca="1" si="0"/>
        <v>4.7153271200516711E-2</v>
      </c>
      <c r="R7" s="97">
        <f t="shared" ca="1" si="1"/>
        <v>0.25790000000000002</v>
      </c>
      <c r="S7" s="114"/>
      <c r="T7" s="101"/>
    </row>
    <row r="8" spans="1:20" x14ac:dyDescent="0.25">
      <c r="A8"/>
      <c r="B8" s="59">
        <f t="shared" si="2"/>
        <v>39873</v>
      </c>
      <c r="C8" s="98">
        <f>VLOOKUP(B8,'Monthly Returns'!B:D,2,FALSE)</f>
        <v>0.1363</v>
      </c>
      <c r="D8" s="8">
        <f t="array" ref="D8">PRODUCT(1+$C$6:C8)-1</f>
        <v>0.17272658499700011</v>
      </c>
      <c r="E8" s="8">
        <f t="shared" si="3"/>
        <v>0</v>
      </c>
      <c r="F8" s="61">
        <f>VLOOKUP(B8,'Monthly Returns'!B:D,3,FALSE)</f>
        <v>2.9839399410814371E-2</v>
      </c>
      <c r="G8" s="11">
        <f t="array" ref="G8">PRODUCT(1+$F$6:F8)-1</f>
        <v>4.3022136669874866E-2</v>
      </c>
      <c r="H8" s="13">
        <f t="shared" si="4"/>
        <v>0</v>
      </c>
      <c r="I8" s="60">
        <f>VLOOKUP(B8,Appendix!D:F,3,FALSE)</f>
        <v>1.7483178814159395E-4</v>
      </c>
      <c r="J8" s="11"/>
      <c r="K8" s="20" t="s">
        <v>7</v>
      </c>
      <c r="L8" s="21">
        <f>NORMSINV(1-L7)</f>
        <v>-2.3263478740408408</v>
      </c>
      <c r="M8" s="21">
        <f>NORMSINV(1-M7)</f>
        <v>-2.3263478740408408</v>
      </c>
      <c r="P8" s="94">
        <f t="shared" ca="1" si="5"/>
        <v>3</v>
      </c>
      <c r="Q8" s="97">
        <f t="shared" ca="1" si="0"/>
        <v>4.0623898484314358E-2</v>
      </c>
      <c r="R8" s="97">
        <f t="shared" ca="1" si="1"/>
        <v>8.6900000000000005E-2</v>
      </c>
      <c r="S8" s="114"/>
      <c r="T8" s="101"/>
    </row>
    <row r="9" spans="1:20" ht="15.75" thickBot="1" x14ac:dyDescent="0.3">
      <c r="A9"/>
      <c r="B9" s="59">
        <f t="shared" si="2"/>
        <v>39904</v>
      </c>
      <c r="C9" s="98">
        <f>VLOOKUP(B9,'Monthly Returns'!B:D,2,FALSE)</f>
        <v>0.25790000000000002</v>
      </c>
      <c r="D9" s="8">
        <f t="array" ref="D9">PRODUCT(1+$C$6:C9)-1</f>
        <v>0.4751727712677265</v>
      </c>
      <c r="E9" s="8">
        <f t="shared" si="3"/>
        <v>0</v>
      </c>
      <c r="F9" s="61">
        <f>VLOOKUP(B9,'Monthly Returns'!B:D,3,FALSE)</f>
        <v>4.7153271200516711E-2</v>
      </c>
      <c r="G9" s="11">
        <f t="array" ref="G9">PRODUCT(1+$F$6:F9)-1</f>
        <v>9.2204042348411841E-2</v>
      </c>
      <c r="H9" s="13">
        <f t="shared" si="4"/>
        <v>0</v>
      </c>
      <c r="I9" s="60">
        <f>VLOOKUP(B9,Appendix!D:F,3,FALSE)</f>
        <v>1.3323565538980731E-4</v>
      </c>
      <c r="J9" s="11"/>
      <c r="K9" s="19"/>
      <c r="L9" s="15"/>
      <c r="M9" s="15"/>
      <c r="P9" s="94">
        <f t="shared" ca="1" si="5"/>
        <v>4</v>
      </c>
      <c r="Q9" s="97">
        <f t="shared" ca="1" si="0"/>
        <v>3.6770850743774064E-2</v>
      </c>
      <c r="R9" s="97">
        <f t="shared" ca="1" si="1"/>
        <v>8.3599999999999994E-2</v>
      </c>
      <c r="S9" s="97"/>
      <c r="T9" s="97"/>
    </row>
    <row r="10" spans="1:20" x14ac:dyDescent="0.25">
      <c r="A10"/>
      <c r="B10" s="59">
        <f t="shared" si="2"/>
        <v>39934</v>
      </c>
      <c r="C10" s="98">
        <f>VLOOKUP(B10,'Monthly Returns'!B:D,2,FALSE)</f>
        <v>8.6900000000000005E-2</v>
      </c>
      <c r="D10" s="8">
        <f t="array" ref="D10">PRODUCT(1+$C$6:C10)-1</f>
        <v>0.60336528509089193</v>
      </c>
      <c r="E10" s="8">
        <f t="shared" si="3"/>
        <v>0</v>
      </c>
      <c r="F10" s="61">
        <f>VLOOKUP(B10,'Monthly Returns'!B:D,3,FALSE)</f>
        <v>4.0623898484314358E-2</v>
      </c>
      <c r="G10" s="11">
        <f t="array" ref="G10">PRODUCT(1+$F$6:F10)-1</f>
        <v>0.1365736284889314</v>
      </c>
      <c r="H10" s="13">
        <f t="shared" si="4"/>
        <v>0</v>
      </c>
      <c r="I10" s="60">
        <f>VLOOKUP(B10,Appendix!D:F,3,FALSE)</f>
        <v>1.4987639212593606E-4</v>
      </c>
      <c r="J10" s="11"/>
      <c r="K10" s="62"/>
      <c r="L10" s="82" t="str">
        <f>C3</f>
        <v>Prudence Enhanced Income</v>
      </c>
      <c r="M10" s="80" t="str">
        <f>F3</f>
        <v>JPEIJACC Index</v>
      </c>
      <c r="P10" s="94">
        <f t="shared" ca="1" si="5"/>
        <v>5</v>
      </c>
      <c r="Q10" s="97">
        <f t="shared" ca="1" si="0"/>
        <v>3.0298719772404059E-2</v>
      </c>
      <c r="R10" s="97">
        <f t="shared" ca="1" si="1"/>
        <v>2.1700000000000001E-2</v>
      </c>
      <c r="S10" s="97"/>
      <c r="T10" s="97"/>
    </row>
    <row r="11" spans="1:20" x14ac:dyDescent="0.25">
      <c r="A11"/>
      <c r="B11" s="59">
        <f t="shared" si="2"/>
        <v>39965</v>
      </c>
      <c r="C11" s="98">
        <f>VLOOKUP(B11,'Monthly Returns'!B:D,2,FALSE)</f>
        <v>7.0599999999999996E-2</v>
      </c>
      <c r="D11" s="8">
        <f t="array" ref="D11">PRODUCT(1+$C$6:C11)-1</f>
        <v>0.716562874218309</v>
      </c>
      <c r="E11" s="8">
        <f t="shared" si="3"/>
        <v>0</v>
      </c>
      <c r="F11" s="61">
        <f>VLOOKUP(B11,'Monthly Returns'!B:D,3,FALSE)</f>
        <v>1.3294944533830177E-2</v>
      </c>
      <c r="G11" s="11">
        <f t="array" ref="G11">PRODUCT(1+$F$6:F11)-1</f>
        <v>0.15168431183830577</v>
      </c>
      <c r="H11" s="13">
        <f t="shared" si="4"/>
        <v>0</v>
      </c>
      <c r="I11" s="60">
        <f>VLOOKUP(B11,Appendix!D:F,3,FALSE)</f>
        <v>1.4987639212593606E-4</v>
      </c>
      <c r="J11" s="11"/>
      <c r="K11" s="63" t="s">
        <v>8</v>
      </c>
      <c r="L11" s="64">
        <f t="array" aca="1" ref="L11" ca="1">PRODUCT(1+INDIRECT("R"&amp;COUNT(C:C)-7&amp;"C"&amp;COLUMN(C4),FALSE):INDIRECT("R"&amp;COUNT(C:C)+4&amp;"C"&amp;COLUMN(C4),FALSE))-1</f>
        <v>0.16919991947268653</v>
      </c>
      <c r="M11" s="65">
        <f t="array" aca="1" ref="M11" ca="1">PRODUCT(1+INDIRECT("R"&amp;COUNT(F:F)-7&amp;"C"&amp;COLUMN(F4),FALSE):INDIRECT("R"&amp;COUNT(F:F)+4&amp;"C"&amp;COLUMN(F4),FALSE))-1</f>
        <v>9.2830501450476222E-2</v>
      </c>
      <c r="P11" s="94">
        <f t="shared" ca="1" si="5"/>
        <v>6</v>
      </c>
      <c r="Q11" s="97">
        <f t="shared" ca="1" si="0"/>
        <v>2.9839399410814371E-2</v>
      </c>
      <c r="R11" s="97">
        <f t="shared" ca="1" si="1"/>
        <v>0.1363</v>
      </c>
      <c r="S11" s="97"/>
      <c r="T11" s="97"/>
    </row>
    <row r="12" spans="1:20" x14ac:dyDescent="0.25">
      <c r="A12"/>
      <c r="B12" s="59">
        <f t="shared" si="2"/>
        <v>39995</v>
      </c>
      <c r="C12" s="98">
        <f>VLOOKUP(B12,'Monthly Returns'!B:D,2,FALSE)</f>
        <v>8.3599999999999994E-2</v>
      </c>
      <c r="D12" s="8">
        <f t="array" ref="D12">PRODUCT(1+$C$6:C12)-1</f>
        <v>0.86006753050295948</v>
      </c>
      <c r="E12" s="8">
        <f t="shared" si="3"/>
        <v>0</v>
      </c>
      <c r="F12" s="61">
        <f>VLOOKUP(B12,'Monthly Returns'!B:D,3,FALSE)</f>
        <v>3.6770850743774064E-2</v>
      </c>
      <c r="G12" s="11">
        <f t="array" ref="G12">PRODUCT(1+$F$6:F12)-1</f>
        <v>0.1940327237728583</v>
      </c>
      <c r="H12" s="13">
        <f t="shared" si="4"/>
        <v>0</v>
      </c>
      <c r="I12" s="60">
        <f>VLOOKUP(B12,Appendix!D:F,3,FALSE)</f>
        <v>1.4987639212593606E-4</v>
      </c>
      <c r="J12" s="11"/>
      <c r="K12" s="66" t="s">
        <v>9</v>
      </c>
      <c r="L12" s="64">
        <f t="array" aca="1" ref="L12" ca="1">PRODUCT(1+INDIRECT("R"&amp;COUNT(C:C)-31&amp;"C"&amp;COLUMN(C4),FALSE):INDIRECT("R"&amp;COUNT(C:C)+4&amp;"C"&amp;COLUMN(C4),FALSE))^(1/3)-1</f>
        <v>0.14893129325482146</v>
      </c>
      <c r="M12" s="65">
        <f t="array" aca="1" ref="M12" ca="1">PRODUCT(1+INDIRECT("R"&amp;COUNT(F:F)-31&amp;"C"&amp;COLUMN(F4),FALSE):INDIRECT("R"&amp;COUNT(F:F)+4&amp;"C"&amp;COLUMN(F4),FALSE))^(1/3)-1</f>
        <v>6.6567270920604438E-2</v>
      </c>
      <c r="P12" s="94">
        <f t="shared" ca="1" si="5"/>
        <v>7</v>
      </c>
      <c r="Q12" s="97">
        <f t="shared" ca="1" si="0"/>
        <v>2.8236969073795803E-2</v>
      </c>
      <c r="R12" s="97">
        <f t="shared" ca="1" si="1"/>
        <v>2.18E-2</v>
      </c>
      <c r="S12" s="97"/>
      <c r="T12" s="97"/>
    </row>
    <row r="13" spans="1:20" x14ac:dyDescent="0.25">
      <c r="A13"/>
      <c r="B13" s="59">
        <f t="shared" si="2"/>
        <v>40026</v>
      </c>
      <c r="C13" s="98">
        <f>VLOOKUP(B13,'Monthly Returns'!B:D,2,FALSE)</f>
        <v>1.7500000000000002E-2</v>
      </c>
      <c r="D13" s="8">
        <f t="array" ref="D13">PRODUCT(1+$C$6:C13)-1</f>
        <v>0.89261871228676148</v>
      </c>
      <c r="E13" s="8">
        <f t="shared" si="3"/>
        <v>0</v>
      </c>
      <c r="F13" s="61">
        <f>VLOOKUP(B13,'Monthly Returns'!B:D,3,FALSE)</f>
        <v>1.9103659519587257E-2</v>
      </c>
      <c r="G13" s="11">
        <f t="array" ref="G13">PRODUCT(1+$F$6:F13)-1</f>
        <v>0.21684311838306036</v>
      </c>
      <c r="H13" s="13">
        <f t="shared" si="4"/>
        <v>0</v>
      </c>
      <c r="I13" s="60">
        <f>VLOOKUP(B13,Appendix!D:F,3,FALSE)</f>
        <v>1.4155640446089635E-4</v>
      </c>
      <c r="J13" s="11"/>
      <c r="K13" s="66" t="s">
        <v>10</v>
      </c>
      <c r="L13" s="64">
        <f t="array" aca="1" ref="L13" ca="1">PRODUCT(1+INDIRECT("R"&amp;COUNT(C:C)-55&amp;"C"&amp;COLUMN(C4),FALSE):INDIRECT("R"&amp;COUNT(C:C)+4&amp;"C"&amp;COLUMN(C4),FALSE))^(1/5)-1</f>
        <v>0.19675363214564601</v>
      </c>
      <c r="M13" s="65">
        <f t="array" aca="1" ref="M13" ca="1">PRODUCT(1+INDIRECT("R"&amp;COUNT(F:F)-55&amp;"C"&amp;COLUMN(F4),FALSE):INDIRECT("R"&amp;COUNT(F:F)+4&amp;"C"&amp;COLUMN(F4),FALSE))^(1/5)-1</f>
        <v>9.05656998409341E-2</v>
      </c>
      <c r="P13" s="94">
        <f t="shared" ca="1" si="5"/>
        <v>8</v>
      </c>
      <c r="Q13" s="97">
        <f t="shared" ca="1" si="0"/>
        <v>2.7439578411775356E-2</v>
      </c>
      <c r="R13" s="97">
        <f t="shared" ca="1" si="1"/>
        <v>7.4999999999999997E-3</v>
      </c>
      <c r="S13" s="97"/>
      <c r="T13" s="97"/>
    </row>
    <row r="14" spans="1:20" x14ac:dyDescent="0.25">
      <c r="A14"/>
      <c r="B14" s="59">
        <f t="shared" si="2"/>
        <v>40057</v>
      </c>
      <c r="C14" s="98">
        <f>VLOOKUP(B14,'Monthly Returns'!B:D,2,FALSE)</f>
        <v>2.18E-2</v>
      </c>
      <c r="D14" s="8">
        <f t="array" ref="D14">PRODUCT(1+$C$6:C14)-1</f>
        <v>0.93387780021461286</v>
      </c>
      <c r="E14" s="8">
        <f t="shared" si="3"/>
        <v>0</v>
      </c>
      <c r="F14" s="61">
        <f>VLOOKUP(B14,'Monthly Returns'!B:D,3,FALSE)</f>
        <v>2.8236969073795803E-2</v>
      </c>
      <c r="G14" s="11">
        <f t="array" ref="G14">PRODUCT(1+$F$6:F14)-1</f>
        <v>0.25120307988450419</v>
      </c>
      <c r="H14" s="13">
        <f t="shared" si="4"/>
        <v>0</v>
      </c>
      <c r="I14" s="60">
        <f>VLOOKUP(B14,Appendix!D:F,3,FALSE)</f>
        <v>9.9945042129734318E-5</v>
      </c>
      <c r="J14" s="11"/>
      <c r="K14" s="66" t="s">
        <v>11</v>
      </c>
      <c r="L14" s="64">
        <f t="array" aca="1" ref="L14" ca="1">PRODUCT(1+fr)^(12/COUNT(fr))-1</f>
        <v>0.31258912854775422</v>
      </c>
      <c r="M14" s="65">
        <f t="array" aca="1" ref="M14" ca="1">PRODUCT(1+br)^(12/COUNT(br))-1</f>
        <v>0.10985380939913791</v>
      </c>
      <c r="P14" s="94">
        <f t="shared" ca="1" si="5"/>
        <v>9</v>
      </c>
      <c r="Q14" s="97">
        <f t="shared" ca="1" si="0"/>
        <v>2.7198674582355364E-2</v>
      </c>
      <c r="R14" s="97">
        <f t="shared" ca="1" si="1"/>
        <v>2.0299999999999999E-2</v>
      </c>
      <c r="S14" s="97"/>
      <c r="T14" s="97"/>
    </row>
    <row r="15" spans="1:20" x14ac:dyDescent="0.25">
      <c r="A15"/>
      <c r="B15" s="59">
        <f t="shared" si="2"/>
        <v>40087</v>
      </c>
      <c r="C15" s="98">
        <f>VLOOKUP(B15,'Monthly Returns'!B:D,2,FALSE)</f>
        <v>1.43E-2</v>
      </c>
      <c r="D15" s="8">
        <f t="array" ref="D15">PRODUCT(1+$C$6:C15)-1</f>
        <v>0.96153225275768173</v>
      </c>
      <c r="E15" s="8">
        <f t="shared" si="3"/>
        <v>0</v>
      </c>
      <c r="F15" s="61">
        <f>VLOOKUP(B15,'Monthly Returns'!B:D,3,FALSE)</f>
        <v>4.0769230769230891E-3</v>
      </c>
      <c r="G15" s="11">
        <f t="array" ref="G15">PRODUCT(1+$F$6:F15)-1</f>
        <v>0.25630413859480261</v>
      </c>
      <c r="H15" s="13">
        <f t="shared" si="4"/>
        <v>0</v>
      </c>
      <c r="I15" s="60">
        <f>VLOOKUP(B15,Appendix!D:F,3,FALSE)</f>
        <v>5.8314626421251958E-5</v>
      </c>
      <c r="J15" s="11"/>
      <c r="K15" s="66"/>
      <c r="L15" s="67"/>
      <c r="M15" s="68"/>
      <c r="P15" s="94">
        <f t="shared" ca="1" si="5"/>
        <v>10</v>
      </c>
      <c r="Q15" s="97">
        <f t="shared" ca="1" si="0"/>
        <v>2.4812294697325266E-2</v>
      </c>
      <c r="R15" s="97">
        <f t="shared" ca="1" si="1"/>
        <v>1.67E-2</v>
      </c>
      <c r="S15" s="97"/>
      <c r="T15" s="97"/>
    </row>
    <row r="16" spans="1:20" x14ac:dyDescent="0.25">
      <c r="A16"/>
      <c r="B16" s="59">
        <f t="shared" si="2"/>
        <v>40118</v>
      </c>
      <c r="C16" s="98">
        <f>VLOOKUP(B16,'Monthly Returns'!B:D,2,FALSE)</f>
        <v>1.5E-3</v>
      </c>
      <c r="D16" s="8">
        <f t="array" ref="D16">PRODUCT(1+$C$6:C16)-1</f>
        <v>0.96447455113681846</v>
      </c>
      <c r="E16" s="8">
        <f t="shared" si="3"/>
        <v>0</v>
      </c>
      <c r="F16" s="61">
        <f>VLOOKUP(B16,'Monthly Returns'!B:D,3,FALSE)</f>
        <v>1.4556040756914079E-2</v>
      </c>
      <c r="G16" s="11">
        <f t="array" ref="G16">PRODUCT(1+$F$6:F16)-1</f>
        <v>0.27459095283926849</v>
      </c>
      <c r="H16" s="13">
        <f t="shared" si="4"/>
        <v>0</v>
      </c>
      <c r="I16" s="60">
        <f>VLOOKUP(B16,Appendix!D:F,3,FALSE)</f>
        <v>4.1657121104599071E-5</v>
      </c>
      <c r="J16" s="11"/>
      <c r="K16" s="66" t="s">
        <v>12</v>
      </c>
      <c r="L16" s="75">
        <f ca="1">STDEV(INDIRECT("R"&amp;COUNT(C:C)-7&amp;"C"&amp;COLUMN(C4),FALSE):INDIRECT("R"&amp;COUNT(C:C)+4&amp;"C"&amp;COLUMN(C4),FALSE))*SQRT(12)</f>
        <v>7.7334268541889573E-2</v>
      </c>
      <c r="M16" s="76">
        <f ca="1">STDEV(INDIRECT("R"&amp;COUNT(F:F)-7&amp;"C"&amp;COLUMN(F4),FALSE):INDIRECT("R"&amp;COUNT(F:F)+4&amp;"C"&amp;COLUMN(F4),FALSE))*SQRT(12)</f>
        <v>4.8262409605118961E-2</v>
      </c>
      <c r="P16" s="94">
        <f t="shared" ca="1" si="5"/>
        <v>11</v>
      </c>
      <c r="Q16" s="97">
        <f t="shared" ca="1" si="0"/>
        <v>2.3560047120094296E-2</v>
      </c>
      <c r="R16" s="97">
        <f t="shared" ca="1" si="1"/>
        <v>1.5699999999999999E-2</v>
      </c>
      <c r="S16" s="97"/>
      <c r="T16" s="97"/>
    </row>
    <row r="17" spans="1:20" x14ac:dyDescent="0.25">
      <c r="A17"/>
      <c r="B17" s="59">
        <f t="shared" si="2"/>
        <v>40148</v>
      </c>
      <c r="C17" s="98">
        <f>VLOOKUP(B17,'Monthly Returns'!B:D,2,FALSE)</f>
        <v>6.8999999999999999E-3</v>
      </c>
      <c r="D17" s="8">
        <f t="array" ref="D17">PRODUCT(1+$C$6:C17)-1</f>
        <v>0.97802942553966221</v>
      </c>
      <c r="E17" s="8">
        <f t="shared" si="3"/>
        <v>0</v>
      </c>
      <c r="F17" s="61">
        <f>VLOOKUP(B17,'Monthly Returns'!B:D,3,FALSE)</f>
        <v>3.8510911424902705E-3</v>
      </c>
      <c r="G17" s="11">
        <f t="array" ref="G17">PRODUCT(1+$F$6:F17)-1</f>
        <v>0.27949951876804602</v>
      </c>
      <c r="H17" s="13">
        <f t="shared" si="4"/>
        <v>0</v>
      </c>
      <c r="I17" s="60">
        <f>VLOOKUP(B17,Appendix!D:F,3,FALSE)</f>
        <v>4.1657121104599071E-5</v>
      </c>
      <c r="J17" s="11"/>
      <c r="K17" s="66" t="s">
        <v>13</v>
      </c>
      <c r="L17" s="75">
        <f ca="1">STDEV(INDIRECT("R"&amp;COUNT(C:C)-31&amp;"C"&amp;COLUMN(C4),FALSE):INDIRECT("R"&amp;COUNT(C:C)+4&amp;"C"&amp;COLUMN(C4),FALSE))*SQRT(12)</f>
        <v>7.6613819467073505E-2</v>
      </c>
      <c r="M17" s="76">
        <f ca="1">STDEV(INDIRECT("R"&amp;COUNT(F:F)-31&amp;"C"&amp;COLUMN(F4),FALSE):INDIRECT("R"&amp;COUNT(F:F)+4&amp;"C"&amp;COLUMN(F4),FALSE))*SQRT(12)</f>
        <v>6.6185849511126479E-2</v>
      </c>
      <c r="P17" s="94">
        <f t="shared" ca="1" si="5"/>
        <v>12</v>
      </c>
      <c r="Q17" s="97">
        <f t="shared" ca="1" si="0"/>
        <v>2.3176074671407587E-2</v>
      </c>
      <c r="R17" s="97">
        <f t="shared" ca="1" si="1"/>
        <v>2.46E-2</v>
      </c>
      <c r="S17" s="97"/>
      <c r="T17" s="97"/>
    </row>
    <row r="18" spans="1:20" x14ac:dyDescent="0.25">
      <c r="A18"/>
      <c r="B18" s="59">
        <f t="shared" si="2"/>
        <v>40179</v>
      </c>
      <c r="C18" s="98">
        <f>VLOOKUP(B18,'Monthly Returns'!B:D,2,FALSE)</f>
        <v>7.51E-2</v>
      </c>
      <c r="D18" s="8">
        <f t="array" ref="D18">PRODUCT(1+$C$6:C18)-1</f>
        <v>1.1265794353976908</v>
      </c>
      <c r="E18" s="8">
        <f t="shared" si="3"/>
        <v>0</v>
      </c>
      <c r="F18" s="61">
        <f>VLOOKUP(B18,'Monthly Returns'!B:D,3,FALSE)</f>
        <v>9.1018504588535887E-3</v>
      </c>
      <c r="G18" s="11">
        <f t="array" ref="G18">PRODUCT(1+$F$6:F18)-1</f>
        <v>0.29114533205004789</v>
      </c>
      <c r="H18" s="13">
        <f t="shared" si="4"/>
        <v>0</v>
      </c>
      <c r="I18" s="60">
        <f>VLOOKUP(B18,Appendix!D:F,3,FALSE)</f>
        <v>4.99862552685304E-5</v>
      </c>
      <c r="J18" s="11"/>
      <c r="K18" s="66" t="s">
        <v>14</v>
      </c>
      <c r="L18" s="75">
        <f ca="1">STDEV(INDIRECT("R"&amp;COUNT(C:C)-55&amp;"C"&amp;COLUMN(C4),FALSE):INDIRECT("R"&amp;COUNT(C:C)+4&amp;"C"&amp;COLUMN(C4),FALSE))*SQRT(12)</f>
        <v>8.2376526811292122E-2</v>
      </c>
      <c r="M18" s="76">
        <f ca="1">STDEV(INDIRECT("R"&amp;COUNT(F:F)-55&amp;"C"&amp;COLUMN(F4),FALSE):INDIRECT("R"&amp;COUNT(F:F)+4&amp;"C"&amp;COLUMN(F4),FALSE))*SQRT(12)</f>
        <v>5.8313594352619715E-2</v>
      </c>
      <c r="P18" s="94">
        <f t="shared" ca="1" si="5"/>
        <v>13</v>
      </c>
      <c r="Q18" s="97">
        <f t="shared" ca="1" si="0"/>
        <v>2.3166486616252424E-2</v>
      </c>
      <c r="R18" s="97">
        <f t="shared" ca="1" si="1"/>
        <v>2.2700000000000001E-2</v>
      </c>
      <c r="S18" s="97"/>
      <c r="T18" s="97"/>
    </row>
    <row r="19" spans="1:20" x14ac:dyDescent="0.25">
      <c r="A19"/>
      <c r="B19" s="59">
        <f t="shared" si="2"/>
        <v>40210</v>
      </c>
      <c r="C19" s="98">
        <f>VLOOKUP(B19,'Monthly Returns'!B:D,2,FALSE)</f>
        <v>9.1000000000000004E-3</v>
      </c>
      <c r="D19" s="8">
        <f t="array" ref="D19">PRODUCT(1+$C$6:C19)-1</f>
        <v>1.1459313082598102</v>
      </c>
      <c r="E19" s="8">
        <f t="shared" si="3"/>
        <v>0</v>
      </c>
      <c r="F19" s="61">
        <f>VLOOKUP(B19,'Monthly Returns'!B:D,3,FALSE)</f>
        <v>8.1997763697352344E-3</v>
      </c>
      <c r="G19" s="11">
        <f t="array" ref="G19">PRODUCT(1+$F$6:F19)-1</f>
        <v>0.30173243503368585</v>
      </c>
      <c r="H19" s="13">
        <f t="shared" si="4"/>
        <v>0</v>
      </c>
      <c r="I19" s="60">
        <f>VLOOKUP(B19,Appendix!D:F,3,FALSE)</f>
        <v>9.1620483841925449E-5</v>
      </c>
      <c r="J19" s="11"/>
      <c r="K19" s="66" t="s">
        <v>15</v>
      </c>
      <c r="L19" s="67">
        <f ca="1">STDEV(fr)*SQRT(12)</f>
        <v>0.14483351336724939</v>
      </c>
      <c r="M19" s="68">
        <f ca="1">STDEV(br)*SQRT(12)</f>
        <v>6.0053510633490216E-2</v>
      </c>
      <c r="P19" s="94">
        <f t="shared" ca="1" si="5"/>
        <v>14</v>
      </c>
      <c r="Q19" s="97">
        <f t="shared" ca="1" si="0"/>
        <v>2.2973197935741485E-2</v>
      </c>
      <c r="R19" s="97">
        <f t="shared" ca="1" si="1"/>
        <v>4.1000000000000003E-3</v>
      </c>
      <c r="S19" s="97"/>
      <c r="T19" s="97"/>
    </row>
    <row r="20" spans="1:20" x14ac:dyDescent="0.25">
      <c r="A20"/>
      <c r="B20" s="59">
        <f t="shared" si="2"/>
        <v>40238</v>
      </c>
      <c r="C20" s="98">
        <f>VLOOKUP(B20,'Monthly Returns'!B:D,2,FALSE)</f>
        <v>4.1700000000000001E-2</v>
      </c>
      <c r="D20" s="8">
        <f t="array" ref="D20">PRODUCT(1+$C$6:C20)-1</f>
        <v>1.2354166438142444</v>
      </c>
      <c r="E20" s="8">
        <f t="shared" si="3"/>
        <v>0</v>
      </c>
      <c r="F20" s="61">
        <f>VLOOKUP(B20,'Monthly Returns'!B:D,3,FALSE)</f>
        <v>1.6857670979667283E-2</v>
      </c>
      <c r="G20" s="11">
        <f t="array" ref="G20">PRODUCT(1+$F$6:F20)-1</f>
        <v>0.3236766121270449</v>
      </c>
      <c r="H20" s="13">
        <f t="shared" si="4"/>
        <v>0</v>
      </c>
      <c r="I20" s="60">
        <f>VLOOKUP(B20,Appendix!D:F,3,FALSE)</f>
        <v>1.2491414476678564E-4</v>
      </c>
      <c r="J20" s="11"/>
      <c r="K20" s="66"/>
      <c r="L20" s="67"/>
      <c r="M20" s="68"/>
      <c r="P20" s="94">
        <f t="shared" ca="1" si="5"/>
        <v>15</v>
      </c>
      <c r="Q20" s="97">
        <f t="shared" ca="1" si="0"/>
        <v>2.0310240567898097E-2</v>
      </c>
      <c r="R20" s="97">
        <f t="shared" ca="1" si="1"/>
        <v>-4.1000000000000003E-3</v>
      </c>
      <c r="S20" s="97"/>
      <c r="T20" s="97"/>
    </row>
    <row r="21" spans="1:20" x14ac:dyDescent="0.25">
      <c r="A21"/>
      <c r="B21" s="59">
        <f t="shared" si="2"/>
        <v>40269</v>
      </c>
      <c r="C21" s="98">
        <f>VLOOKUP(B21,'Monthly Returns'!B:D,2,FALSE)</f>
        <v>1.5800000000000002E-2</v>
      </c>
      <c r="D21" s="8">
        <f t="array" ref="D21">PRODUCT(1+$C$6:C21)-1</f>
        <v>1.2707362267865094</v>
      </c>
      <c r="E21" s="8">
        <f t="shared" si="3"/>
        <v>0</v>
      </c>
      <c r="F21" s="61">
        <f>VLOOKUP(B21,'Monthly Returns'!B:D,3,FALSE)</f>
        <v>1.337889914927648E-2</v>
      </c>
      <c r="G21" s="11">
        <f t="array" ref="G21">PRODUCT(1+$F$6:F21)-1</f>
        <v>0.34138594802694855</v>
      </c>
      <c r="H21" s="13">
        <f t="shared" si="4"/>
        <v>0</v>
      </c>
      <c r="I21" s="60">
        <f>VLOOKUP(B21,Appendix!D:F,3,FALSE)</f>
        <v>1.3323565538980731E-4</v>
      </c>
      <c r="J21" s="11"/>
      <c r="K21" s="66" t="s">
        <v>29</v>
      </c>
      <c r="L21" s="69">
        <f ca="1">LINEST(fr,br)</f>
        <v>1.2221575969580096</v>
      </c>
      <c r="M21" s="70">
        <f ca="1">LINEST(br,br)</f>
        <v>0.99999999999999978</v>
      </c>
      <c r="P21" s="94">
        <f t="shared" ca="1" si="5"/>
        <v>16</v>
      </c>
      <c r="Q21" s="97">
        <f t="shared" ca="1" si="0"/>
        <v>1.9220812839761736E-2</v>
      </c>
      <c r="R21" s="97">
        <f t="shared" ca="1" si="1"/>
        <v>2.8899999999999999E-2</v>
      </c>
      <c r="S21" s="97"/>
      <c r="T21" s="97"/>
    </row>
    <row r="22" spans="1:20" x14ac:dyDescent="0.25">
      <c r="A22"/>
      <c r="B22" s="59">
        <f t="shared" si="2"/>
        <v>40299</v>
      </c>
      <c r="C22" s="98">
        <f>VLOOKUP(B22,'Monthly Returns'!B:D,2,FALSE)</f>
        <v>-9.4000000000000004E-3</v>
      </c>
      <c r="D22" s="8">
        <f t="array" ref="D22">PRODUCT(1+$C$6:C22)-1</f>
        <v>1.2493913062547164</v>
      </c>
      <c r="E22" s="8">
        <f t="shared" si="3"/>
        <v>-9.3999999999999639E-3</v>
      </c>
      <c r="F22" s="61">
        <f>VLOOKUP(B22,'Monthly Returns'!B:D,3,FALSE)</f>
        <v>-6.8163880318578007E-3</v>
      </c>
      <c r="G22" s="11">
        <f t="array" ref="G22">PRODUCT(1+$F$6:F22)-1</f>
        <v>0.33224254090471539</v>
      </c>
      <c r="H22" s="13">
        <f t="shared" si="4"/>
        <v>-6.8163880318578007E-3</v>
      </c>
      <c r="I22" s="60">
        <f>VLOOKUP(B22,Appendix!D:F,3,FALSE)</f>
        <v>1.3323565538980731E-4</v>
      </c>
      <c r="J22" s="11"/>
      <c r="K22" s="66" t="s">
        <v>42</v>
      </c>
      <c r="L22" s="69">
        <f ca="1">CORREL(fr,br)</f>
        <v>0.5067532543977844</v>
      </c>
      <c r="M22" s="70">
        <f ca="1">CORREL(br,br)</f>
        <v>1</v>
      </c>
      <c r="P22" s="94">
        <f t="shared" ca="1" si="5"/>
        <v>17</v>
      </c>
      <c r="Q22" s="97">
        <f t="shared" ca="1" si="0"/>
        <v>1.9103659519587257E-2</v>
      </c>
      <c r="R22" s="97">
        <f t="shared" ca="1" si="1"/>
        <v>1.7500000000000002E-2</v>
      </c>
      <c r="S22" s="97"/>
      <c r="T22" s="97"/>
    </row>
    <row r="23" spans="1:20" x14ac:dyDescent="0.25">
      <c r="A23"/>
      <c r="B23" s="59">
        <f t="shared" si="2"/>
        <v>40330</v>
      </c>
      <c r="C23" s="98">
        <f>VLOOKUP(B23,'Monthly Returns'!B:D,2,FALSE)</f>
        <v>2.58E-2</v>
      </c>
      <c r="D23" s="8">
        <f t="array" ref="D23">PRODUCT(1+$C$6:C23)-1</f>
        <v>1.3074256019560884</v>
      </c>
      <c r="E23" s="8">
        <f t="shared" si="3"/>
        <v>0</v>
      </c>
      <c r="F23" s="61">
        <f>VLOOKUP(B23,'Monthly Returns'!B:D,3,FALSE)</f>
        <v>1.5749169195202972E-2</v>
      </c>
      <c r="G23" s="11">
        <f t="array" ref="G23">PRODUCT(1+$F$6:F23)-1</f>
        <v>0.35322425409047087</v>
      </c>
      <c r="H23" s="13">
        <f t="shared" si="4"/>
        <v>0</v>
      </c>
      <c r="I23" s="60">
        <f>VLOOKUP(B23,Appendix!D:F,3,FALSE)</f>
        <v>9.9945042129734318E-5</v>
      </c>
      <c r="J23" s="11"/>
      <c r="K23" s="66" t="s">
        <v>16</v>
      </c>
      <c r="L23" s="71">
        <f ca="1">COUNTIF(fr,"&gt;0")/COUNT(fr)</f>
        <v>0.83582089552238803</v>
      </c>
      <c r="M23" s="72">
        <f ca="1">COUNTIF(br,"&gt;0")/COUNT(br)</f>
        <v>0.76119402985074625</v>
      </c>
      <c r="P23" s="94">
        <f t="shared" ca="1" si="5"/>
        <v>18</v>
      </c>
      <c r="Q23" s="97">
        <f t="shared" ca="1" si="0"/>
        <v>1.8488085456039416E-2</v>
      </c>
      <c r="R23" s="97">
        <f t="shared" ca="1" si="1"/>
        <v>8.3000000000000001E-3</v>
      </c>
      <c r="S23" s="97"/>
      <c r="T23" s="97"/>
    </row>
    <row r="24" spans="1:20" x14ac:dyDescent="0.25">
      <c r="A24"/>
      <c r="B24" s="59">
        <f t="shared" si="2"/>
        <v>40360</v>
      </c>
      <c r="C24" s="98">
        <f>VLOOKUP(B24,'Monthly Returns'!B:D,2,FALSE)</f>
        <v>2.1700000000000001E-2</v>
      </c>
      <c r="D24" s="8">
        <f t="array" ref="D24">PRODUCT(1+$C$6:C24)-1</f>
        <v>1.3574967375185354</v>
      </c>
      <c r="E24" s="8">
        <f t="shared" si="3"/>
        <v>0</v>
      </c>
      <c r="F24" s="61">
        <f>VLOOKUP(B24,'Monthly Returns'!B:D,3,FALSE)</f>
        <v>3.0298719772404059E-2</v>
      </c>
      <c r="G24" s="11">
        <f t="array" ref="G24">PRODUCT(1+$F$6:F24)-1</f>
        <v>0.39422521655437848</v>
      </c>
      <c r="H24" s="13">
        <f t="shared" si="4"/>
        <v>0</v>
      </c>
      <c r="I24" s="60">
        <f>VLOOKUP(B24,Appendix!D:F,3,FALSE)</f>
        <v>1.3323565538980731E-4</v>
      </c>
      <c r="J24" s="11"/>
      <c r="K24" s="66" t="s">
        <v>17</v>
      </c>
      <c r="L24" s="73">
        <f ca="1">1-L23</f>
        <v>0.16417910447761197</v>
      </c>
      <c r="M24" s="74">
        <f ca="1">1-M23</f>
        <v>0.23880597014925375</v>
      </c>
      <c r="P24" s="94">
        <f t="shared" ca="1" si="5"/>
        <v>19</v>
      </c>
      <c r="Q24" s="97">
        <f t="shared" ca="1" si="0"/>
        <v>1.8209929565366823E-2</v>
      </c>
      <c r="R24" s="97">
        <f t="shared" ca="1" si="1"/>
        <v>1.8200000000000001E-2</v>
      </c>
      <c r="S24" s="97"/>
      <c r="T24" s="97"/>
    </row>
    <row r="25" spans="1:20" x14ac:dyDescent="0.25">
      <c r="A25"/>
      <c r="B25" s="59">
        <f t="shared" si="2"/>
        <v>40391</v>
      </c>
      <c r="C25" s="98">
        <f>VLOOKUP(B25,'Monthly Returns'!B:D,2,FALSE)</f>
        <v>2.0299999999999999E-2</v>
      </c>
      <c r="D25" s="8">
        <f t="array" ref="D25">PRODUCT(1+$C$6:C25)-1</f>
        <v>1.4053539212901618</v>
      </c>
      <c r="E25" s="8">
        <f t="shared" si="3"/>
        <v>0</v>
      </c>
      <c r="F25" s="61">
        <f>VLOOKUP(B25,'Monthly Returns'!B:D,3,FALSE)</f>
        <v>2.7198674582355364E-2</v>
      </c>
      <c r="G25" s="11">
        <f t="array" ref="G25">PRODUCT(1+$F$6:F25)-1</f>
        <v>0.43214629451395492</v>
      </c>
      <c r="H25" s="13">
        <f t="shared" si="4"/>
        <v>0</v>
      </c>
      <c r="I25" s="60">
        <f>VLOOKUP(B25,Appendix!D:F,3,FALSE)</f>
        <v>1.3323565538980731E-4</v>
      </c>
      <c r="J25" s="11"/>
      <c r="K25" s="66" t="s">
        <v>18</v>
      </c>
      <c r="L25" s="67">
        <f ca="1">MIN(fr)</f>
        <v>-5.0799999999999998E-2</v>
      </c>
      <c r="M25" s="68">
        <f ca="1">MIN(br)</f>
        <v>-5.1111827263938148E-2</v>
      </c>
      <c r="P25" s="94">
        <f t="shared" ca="1" si="5"/>
        <v>20</v>
      </c>
      <c r="Q25" s="97">
        <f t="shared" ca="1" si="0"/>
        <v>1.6866926157838247E-2</v>
      </c>
      <c r="R25" s="97">
        <f t="shared" ca="1" si="1"/>
        <v>2.92E-2</v>
      </c>
      <c r="S25" s="97"/>
      <c r="T25" s="97"/>
    </row>
    <row r="26" spans="1:20" x14ac:dyDescent="0.25">
      <c r="A26"/>
      <c r="B26" s="59">
        <f t="shared" si="2"/>
        <v>40422</v>
      </c>
      <c r="C26" s="98">
        <f>VLOOKUP(B26,'Monthly Returns'!B:D,2,FALSE)</f>
        <v>6.9199999999999998E-2</v>
      </c>
      <c r="D26" s="8">
        <f t="array" ref="D26">PRODUCT(1+$C$6:C26)-1</f>
        <v>1.571804412643441</v>
      </c>
      <c r="E26" s="8">
        <f t="shared" si="3"/>
        <v>0</v>
      </c>
      <c r="F26" s="61">
        <f>VLOOKUP(B26,'Monthly Returns'!B:D,3,FALSE)</f>
        <v>1.2903225806451424E-2</v>
      </c>
      <c r="G26" s="11">
        <f t="array" ref="G26">PRODUCT(1+$F$6:F26)-1</f>
        <v>0.45062560153994125</v>
      </c>
      <c r="H26" s="13">
        <f t="shared" si="4"/>
        <v>0</v>
      </c>
      <c r="I26" s="60">
        <f>VLOOKUP(B26,Appendix!D:F,3,FALSE)</f>
        <v>1.2491414476678564E-4</v>
      </c>
      <c r="J26" s="11"/>
      <c r="K26" s="66" t="s">
        <v>19</v>
      </c>
      <c r="L26" s="75">
        <f ca="1">MIN(fdown)</f>
        <v>-9.1387844455104172E-2</v>
      </c>
      <c r="M26" s="76">
        <f ca="1">MIN(bdown)</f>
        <v>-7.5668478863863187E-2</v>
      </c>
      <c r="P26" s="94">
        <f t="shared" ca="1" si="5"/>
        <v>21</v>
      </c>
      <c r="Q26" s="97">
        <f t="shared" ca="1" si="0"/>
        <v>1.6857670979667283E-2</v>
      </c>
      <c r="R26" s="97">
        <f t="shared" ca="1" si="1"/>
        <v>4.1700000000000001E-2</v>
      </c>
      <c r="S26" s="97"/>
      <c r="T26" s="97"/>
    </row>
    <row r="27" spans="1:20" x14ac:dyDescent="0.25">
      <c r="A27"/>
      <c r="B27" s="59">
        <f t="shared" si="2"/>
        <v>40452</v>
      </c>
      <c r="C27" s="98">
        <f>VLOOKUP(B27,'Monthly Returns'!B:D,2,FALSE)</f>
        <v>9.01E-2</v>
      </c>
      <c r="D27" s="8">
        <f t="array" ref="D27">PRODUCT(1+$C$6:C27)-1</f>
        <v>1.8035239902226152</v>
      </c>
      <c r="E27" s="8">
        <f t="shared" si="3"/>
        <v>0</v>
      </c>
      <c r="F27" s="61">
        <f>VLOOKUP(B27,'Monthly Returns'!B:D,3,FALSE)</f>
        <v>4.3789808917196194E-3</v>
      </c>
      <c r="G27" s="11">
        <f t="array" ref="G27">PRODUCT(1+$F$6:F27)-1</f>
        <v>0.45697786333012402</v>
      </c>
      <c r="H27" s="13">
        <f t="shared" si="4"/>
        <v>0</v>
      </c>
      <c r="I27" s="60">
        <f>VLOOKUP(B27,Appendix!D:F,3,FALSE)</f>
        <v>1.0826883828274347E-4</v>
      </c>
      <c r="J27" s="11"/>
      <c r="K27" s="66" t="s">
        <v>20</v>
      </c>
      <c r="L27" s="88">
        <f ca="1">INDEX(B:B,MATCH(L26,E:E,0))</f>
        <v>40787</v>
      </c>
      <c r="M27" s="89">
        <f ca="1">INDEX(B:B,MATCH(M26,H:H,0))</f>
        <v>41487</v>
      </c>
      <c r="P27" s="94">
        <f t="shared" ca="1" si="5"/>
        <v>22</v>
      </c>
      <c r="Q27" s="97">
        <f t="shared" ca="1" si="0"/>
        <v>1.5749169195202972E-2</v>
      </c>
      <c r="R27" s="97">
        <f t="shared" ca="1" si="1"/>
        <v>2.58E-2</v>
      </c>
      <c r="S27" s="97"/>
      <c r="T27" s="97"/>
    </row>
    <row r="28" spans="1:20" x14ac:dyDescent="0.25">
      <c r="A28"/>
      <c r="B28" s="59">
        <f t="shared" si="2"/>
        <v>40483</v>
      </c>
      <c r="C28" s="98">
        <f>VLOOKUP(B28,'Monthly Returns'!B:D,2,FALSE)</f>
        <v>2.12E-2</v>
      </c>
      <c r="D28" s="8">
        <f t="array" ref="D28">PRODUCT(1+$C$6:C28)-1</f>
        <v>1.8629586988153348</v>
      </c>
      <c r="E28" s="8">
        <f t="shared" si="3"/>
        <v>0</v>
      </c>
      <c r="F28" s="61">
        <f>VLOOKUP(B28,'Monthly Returns'!B:D,3,FALSE)</f>
        <v>-1.4599022327916544E-2</v>
      </c>
      <c r="G28" s="11">
        <f t="array" ref="G28">PRODUCT(1+$F$6:F28)-1</f>
        <v>0.43570741097208732</v>
      </c>
      <c r="H28" s="13">
        <f t="shared" si="4"/>
        <v>-1.4599022327916544E-2</v>
      </c>
      <c r="I28" s="60">
        <f>VLOOKUP(B28,Appendix!D:F,3,FALSE)</f>
        <v>1.1659187244639213E-4</v>
      </c>
      <c r="J28" s="11"/>
      <c r="K28" s="66" t="s">
        <v>21</v>
      </c>
      <c r="L28" s="69">
        <f ca="1">(AVERAGE(fr)-AVERAGE(rf))/STDEV(fr)*SQRT(12)</f>
        <v>1.9580006158691259</v>
      </c>
      <c r="M28" s="70">
        <f ca="1">(AVERAGE(br)-AVERAGE(rf))/STDEV(br)*SQRT(12)</f>
        <v>1.7576113268990519</v>
      </c>
      <c r="P28" s="94">
        <f t="shared" ca="1" si="5"/>
        <v>23</v>
      </c>
      <c r="Q28" s="97">
        <f t="shared" ca="1" si="0"/>
        <v>1.4556040756914079E-2</v>
      </c>
      <c r="R28" s="97">
        <f t="shared" ca="1" si="1"/>
        <v>1.5E-3</v>
      </c>
      <c r="S28" s="97"/>
      <c r="T28" s="97"/>
    </row>
    <row r="29" spans="1:20" x14ac:dyDescent="0.25">
      <c r="A29"/>
      <c r="B29" s="59">
        <f t="shared" si="2"/>
        <v>40513</v>
      </c>
      <c r="C29" s="98">
        <f>VLOOKUP(B29,'Monthly Returns'!B:D,2,FALSE)</f>
        <v>1.7899999999999999E-2</v>
      </c>
      <c r="D29" s="8">
        <f t="array" ref="D29">PRODUCT(1+$C$6:C29)-1</f>
        <v>1.9142056595241295</v>
      </c>
      <c r="E29" s="8">
        <f t="shared" si="3"/>
        <v>0</v>
      </c>
      <c r="F29" s="61">
        <f>VLOOKUP(B29,'Monthly Returns'!B:D,3,FALSE)</f>
        <v>-9.1171147013473508E-3</v>
      </c>
      <c r="G29" s="11">
        <f t="array" ref="G29">PRODUCT(1+$F$6:F29)-1</f>
        <v>0.42261790182868042</v>
      </c>
      <c r="H29" s="13">
        <f t="shared" si="4"/>
        <v>-2.3583036068172802E-2</v>
      </c>
      <c r="I29" s="60">
        <f>VLOOKUP(B29,Appendix!D:F,3,FALSE)</f>
        <v>1.1659187244639213E-4</v>
      </c>
      <c r="J29" s="11"/>
      <c r="K29" s="66" t="s">
        <v>22</v>
      </c>
      <c r="L29" s="69">
        <f ca="1">(AVERAGE(fr)-AVERAGE(rf))/L30*12</f>
        <v>9.9620926329440032</v>
      </c>
      <c r="M29" s="70">
        <f ca="1">(AVERAGE(br)-AVERAGE(rf))/M30*12</f>
        <v>3.2587497670434584</v>
      </c>
      <c r="P29" s="94">
        <f t="shared" ca="1" si="5"/>
        <v>24</v>
      </c>
      <c r="Q29" s="97">
        <f t="shared" ca="1" si="0"/>
        <v>1.337889914927648E-2</v>
      </c>
      <c r="R29" s="97">
        <f t="shared" ca="1" si="1"/>
        <v>1.5800000000000002E-2</v>
      </c>
      <c r="S29" s="97"/>
      <c r="T29" s="97"/>
    </row>
    <row r="30" spans="1:20" x14ac:dyDescent="0.25">
      <c r="A30"/>
      <c r="B30" s="59">
        <f t="shared" si="2"/>
        <v>40544</v>
      </c>
      <c r="C30" s="98">
        <f>VLOOKUP(B30,'Monthly Returns'!B:D,2,FALSE)</f>
        <v>1.06E-2</v>
      </c>
      <c r="D30" s="8">
        <f t="array" ref="D30">PRODUCT(1+$C$6:C30)-1</f>
        <v>1.945096239515085</v>
      </c>
      <c r="E30" s="8">
        <f t="shared" si="3"/>
        <v>0</v>
      </c>
      <c r="F30" s="61">
        <f>VLOOKUP(B30,'Monthly Returns'!B:D,3,FALSE)</f>
        <v>4.7358094851501775E-4</v>
      </c>
      <c r="G30" s="11">
        <f t="array" ref="G30">PRODUCT(1+$F$6:F30)-1</f>
        <v>0.42329162656400299</v>
      </c>
      <c r="H30" s="13">
        <f t="shared" si="4"/>
        <v>-2.312062359624778E-2</v>
      </c>
      <c r="I30" s="60">
        <f>VLOOKUP(B30,Appendix!D:F,3,FALSE)</f>
        <v>1.2491414476678564E-4</v>
      </c>
      <c r="J30" s="11"/>
      <c r="K30" s="66" t="s">
        <v>23</v>
      </c>
      <c r="L30" s="75">
        <f t="array" aca="1" ref="L30" ca="1">SQRT(SUMSQ(IF(fr&lt;rf,fr-rf,0))/COUNT(fr))*SQRT(12)</f>
        <v>2.8466319158062147E-2</v>
      </c>
      <c r="M30" s="76">
        <f t="array" aca="1" ref="M30" ca="1">SQRT(SUMSQ(IF(br&lt;rf,br-rf,0))/COUNT(br))*SQRT(12)</f>
        <v>3.2389946468714993E-2</v>
      </c>
      <c r="P30" s="94">
        <f t="shared" ca="1" si="5"/>
        <v>25</v>
      </c>
      <c r="Q30" s="97">
        <f t="shared" ca="1" si="0"/>
        <v>1.3368265484347663E-2</v>
      </c>
      <c r="R30" s="97">
        <f t="shared" ca="1" si="1"/>
        <v>2.69E-2</v>
      </c>
      <c r="S30" s="97"/>
      <c r="T30" s="97"/>
    </row>
    <row r="31" spans="1:20" x14ac:dyDescent="0.25">
      <c r="A31"/>
      <c r="B31" s="59">
        <f t="shared" si="2"/>
        <v>40575</v>
      </c>
      <c r="C31" s="98">
        <f>VLOOKUP(B31,'Monthly Returns'!B:D,2,FALSE)</f>
        <v>9.9000000000000008E-3</v>
      </c>
      <c r="D31" s="8">
        <f t="array" ref="D31">PRODUCT(1+$C$6:C31)-1</f>
        <v>1.9742526922862846</v>
      </c>
      <c r="E31" s="8">
        <f t="shared" si="3"/>
        <v>0</v>
      </c>
      <c r="F31" s="61">
        <f>VLOOKUP(B31,'Monthly Returns'!B:D,3,FALSE)</f>
        <v>2.4344062753585138E-3</v>
      </c>
      <c r="G31" s="11">
        <f t="array" ref="G31">PRODUCT(1+$F$6:F31)-1</f>
        <v>0.42675649663137571</v>
      </c>
      <c r="H31" s="13">
        <f t="shared" si="4"/>
        <v>-2.0742502312062205E-2</v>
      </c>
      <c r="I31" s="60">
        <f>VLOOKUP(B31,Appendix!D:F,3,FALSE)</f>
        <v>1.0826883828274347E-4</v>
      </c>
      <c r="J31" s="11"/>
      <c r="K31" s="66" t="s">
        <v>24</v>
      </c>
      <c r="L31" s="69">
        <f ca="1">SKEW(fr)</f>
        <v>3.0935667431250744</v>
      </c>
      <c r="M31" s="70">
        <f ca="1">SKEW(br)</f>
        <v>-0.61683526510535136</v>
      </c>
      <c r="P31" s="94">
        <f t="shared" ca="1" si="5"/>
        <v>26</v>
      </c>
      <c r="Q31" s="97">
        <f t="shared" ca="1" si="0"/>
        <v>1.3294944533830177E-2</v>
      </c>
      <c r="R31" s="97">
        <f t="shared" ca="1" si="1"/>
        <v>7.0599999999999996E-2</v>
      </c>
      <c r="S31" s="97"/>
      <c r="T31" s="97"/>
    </row>
    <row r="32" spans="1:20" x14ac:dyDescent="0.25">
      <c r="A32"/>
      <c r="B32" s="59">
        <f t="shared" si="2"/>
        <v>40603</v>
      </c>
      <c r="C32" s="98">
        <f>VLOOKUP(B32,'Monthly Returns'!B:D,2,FALSE)</f>
        <v>9.7999999999999997E-3</v>
      </c>
      <c r="D32" s="8">
        <f t="array" ref="D32">PRODUCT(1+$C$6:C32)-1</f>
        <v>2.0034003686706905</v>
      </c>
      <c r="E32" s="8">
        <f t="shared" si="3"/>
        <v>0</v>
      </c>
      <c r="F32" s="61">
        <f>VLOOKUP(B32,'Monthly Returns'!B:D,3,FALSE)</f>
        <v>4.1824069077172066E-3</v>
      </c>
      <c r="G32" s="11">
        <f t="array" ref="G32">PRODUCT(1+$F$6:F32)-1</f>
        <v>0.43272377285851715</v>
      </c>
      <c r="H32" s="13">
        <f t="shared" si="4"/>
        <v>-1.6646848989298357E-2</v>
      </c>
      <c r="I32" s="60">
        <f>VLOOKUP(B32,Appendix!D:F,3,FALSE)</f>
        <v>8.3295163273211514E-5</v>
      </c>
      <c r="J32" s="11"/>
      <c r="K32" s="66" t="s">
        <v>25</v>
      </c>
      <c r="L32" s="69">
        <f ca="1">KURT(fr)</f>
        <v>14.739386831664291</v>
      </c>
      <c r="M32" s="70">
        <f ca="1">KURT(br)</f>
        <v>2.1638699013747811</v>
      </c>
      <c r="P32" s="94">
        <f t="shared" ca="1" si="5"/>
        <v>27</v>
      </c>
      <c r="Q32" s="97">
        <f t="shared" ca="1" si="0"/>
        <v>1.2903225806451424E-2</v>
      </c>
      <c r="R32" s="97">
        <f t="shared" ca="1" si="1"/>
        <v>6.9199999999999998E-2</v>
      </c>
      <c r="S32" s="97"/>
      <c r="T32" s="97"/>
    </row>
    <row r="33" spans="1:20" x14ac:dyDescent="0.25">
      <c r="A33"/>
      <c r="B33" s="59">
        <f t="shared" si="2"/>
        <v>40634</v>
      </c>
      <c r="C33" s="98">
        <f>VLOOKUP(B33,'Monthly Returns'!B:D,2,FALSE)</f>
        <v>2.69E-2</v>
      </c>
      <c r="D33" s="8">
        <f t="array" ref="D33">PRODUCT(1+$C$6:C33)-1</f>
        <v>2.0841918385879317</v>
      </c>
      <c r="E33" s="8">
        <f t="shared" si="3"/>
        <v>0</v>
      </c>
      <c r="F33" s="61">
        <f>VLOOKUP(B33,'Monthly Returns'!B:D,3,FALSE)</f>
        <v>1.3368265484347663E-2</v>
      </c>
      <c r="G33" s="11">
        <f t="array" ref="G33">PRODUCT(1+$F$6:F33)-1</f>
        <v>0.45187680461982604</v>
      </c>
      <c r="H33" s="13">
        <f t="shared" si="4"/>
        <v>-3.5011230017174544E-3</v>
      </c>
      <c r="I33" s="60">
        <f>VLOOKUP(B33,Appendix!D:F,3,FALSE)</f>
        <v>4.99862552685304E-5</v>
      </c>
      <c r="J33" s="11"/>
      <c r="K33" s="66" t="s">
        <v>26</v>
      </c>
      <c r="L33" s="64">
        <f ca="1">L5+(L8+(L8^2-1)*L31/6+(L8^3-3*L8)*L32/24-(2*L8^3-5*L8)*L31^2/36)*L6</f>
        <v>2.8060840761279026E-2</v>
      </c>
      <c r="M33" s="65">
        <f ca="1">M5+(M8+(M8^2-1)*M31/6+(M8^3-3*M8)*M32/24-(2*M8^3-5*M8)*M31^2/36)*M6</f>
        <v>-4.560882684075724E-2</v>
      </c>
      <c r="P33" s="94">
        <f t="shared" ca="1" si="5"/>
        <v>28</v>
      </c>
      <c r="Q33" s="97">
        <f t="shared" ca="1" si="0"/>
        <v>1.0891488503428803E-2</v>
      </c>
      <c r="R33" s="97">
        <f t="shared" ca="1" si="1"/>
        <v>1.89E-2</v>
      </c>
      <c r="S33" s="97"/>
      <c r="T33" s="97"/>
    </row>
    <row r="34" spans="1:20" ht="15.75" thickBot="1" x14ac:dyDescent="0.3">
      <c r="A34"/>
      <c r="B34" s="59">
        <f t="shared" si="2"/>
        <v>40664</v>
      </c>
      <c r="C34" s="98">
        <f>VLOOKUP(B34,'Monthly Returns'!B:D,2,FALSE)</f>
        <v>-1.15E-2</v>
      </c>
      <c r="D34" s="8">
        <f t="array" ref="D34">PRODUCT(1+$C$6:C34)-1</f>
        <v>2.0487236324441707</v>
      </c>
      <c r="E34" s="8">
        <f t="shared" si="3"/>
        <v>-1.1499999999999955E-2</v>
      </c>
      <c r="F34" s="61">
        <f>VLOOKUP(B34,'Monthly Returns'!B:D,3,FALSE)</f>
        <v>9.8110705999339132E-3</v>
      </c>
      <c r="G34" s="11">
        <f t="array" ref="G34">PRODUCT(1+$F$6:F34)-1</f>
        <v>0.46612127045235763</v>
      </c>
      <c r="H34" s="13">
        <f t="shared" si="4"/>
        <v>0</v>
      </c>
      <c r="I34" s="60">
        <f>VLOOKUP(B34,Appendix!D:F,3,FALSE)</f>
        <v>3.3327223783574667E-5</v>
      </c>
      <c r="J34" s="11"/>
      <c r="K34" s="77" t="s">
        <v>27</v>
      </c>
      <c r="L34" s="78">
        <f ca="1">AVERAGEIF(fr,"&lt;"&amp;L33)</f>
        <v>7.138000000000002E-3</v>
      </c>
      <c r="M34" s="79">
        <f ca="1">AVERAGEIF(br,"&lt;"&amp;M33)</f>
        <v>-5.1111827263938148E-2</v>
      </c>
      <c r="P34" s="94">
        <f t="shared" ca="1" si="5"/>
        <v>29</v>
      </c>
      <c r="Q34" s="97">
        <f t="shared" ca="1" si="0"/>
        <v>1.0683349374398521E-2</v>
      </c>
      <c r="R34" s="97">
        <f t="shared" ca="1" si="1"/>
        <v>1.9E-3</v>
      </c>
      <c r="S34" s="97"/>
      <c r="T34" s="97"/>
    </row>
    <row r="35" spans="1:20" ht="15.75" thickBot="1" x14ac:dyDescent="0.3">
      <c r="A35"/>
      <c r="B35" s="59">
        <f t="shared" si="2"/>
        <v>40695</v>
      </c>
      <c r="C35" s="98">
        <f>VLOOKUP(B35,'Monthly Returns'!B:D,2,FALSE)</f>
        <v>-8.3999999999999995E-3</v>
      </c>
      <c r="D35" s="8">
        <f t="array" ref="D35">PRODUCT(1+$C$6:C35)-1</f>
        <v>2.0231143539316396</v>
      </c>
      <c r="E35" s="8">
        <f t="shared" si="3"/>
        <v>-1.9803399999999916E-2</v>
      </c>
      <c r="F35" s="61">
        <f>VLOOKUP(B35,'Monthly Returns'!B:D,3,FALSE)</f>
        <v>-1.2472920632837781E-3</v>
      </c>
      <c r="G35" s="11">
        <f t="array" ref="G35">PRODUCT(1+$F$6:F35)-1</f>
        <v>0.46429258902791082</v>
      </c>
      <c r="H35" s="13">
        <f t="shared" si="4"/>
        <v>-1.2472920632837781E-3</v>
      </c>
      <c r="I35" s="60">
        <f>VLOOKUP(B35,Appendix!D:F,3,FALSE)</f>
        <v>3.3327223783574667E-5</v>
      </c>
      <c r="J35" s="11"/>
      <c r="K35" s="15"/>
      <c r="L35" s="15"/>
      <c r="M35" s="15"/>
      <c r="P35" s="94">
        <f t="shared" ca="1" si="5"/>
        <v>30</v>
      </c>
      <c r="Q35" s="97">
        <f t="shared" ca="1" si="0"/>
        <v>9.8246486755380058E-3</v>
      </c>
      <c r="R35" s="97">
        <f t="shared" ca="1" si="1"/>
        <v>2.9999999999999997E-4</v>
      </c>
      <c r="S35" s="97"/>
      <c r="T35" s="97"/>
    </row>
    <row r="36" spans="1:20" x14ac:dyDescent="0.25">
      <c r="A36"/>
      <c r="B36" s="59">
        <f t="shared" si="2"/>
        <v>40725</v>
      </c>
      <c r="C36" s="98">
        <f>VLOOKUP(B36,'Monthly Returns'!B:D,2,FALSE)</f>
        <v>-4.1000000000000003E-3</v>
      </c>
      <c r="D36" s="8">
        <f t="array" ref="D36">PRODUCT(1+$C$6:C36)-1</f>
        <v>2.01071958508052</v>
      </c>
      <c r="E36" s="8">
        <f t="shared" si="3"/>
        <v>-2.3822206059999962E-2</v>
      </c>
      <c r="F36" s="61">
        <f>VLOOKUP(B36,'Monthly Returns'!B:D,3,FALSE)</f>
        <v>2.0310240567898097E-2</v>
      </c>
      <c r="G36" s="11">
        <f t="array" ref="G36">PRODUCT(1+$F$6:F36)-1</f>
        <v>0.49403272377285812</v>
      </c>
      <c r="H36" s="13">
        <f t="shared" si="4"/>
        <v>0</v>
      </c>
      <c r="I36" s="60">
        <f>VLOOKUP(B36,Appendix!D:F,3,FALSE)</f>
        <v>3.3327223783574667E-5</v>
      </c>
      <c r="J36" s="11"/>
      <c r="K36" s="28"/>
      <c r="L36" s="30" t="str">
        <f>F3</f>
        <v>JPEIJACC Index</v>
      </c>
      <c r="M36" s="15"/>
      <c r="P36" s="94">
        <f t="shared" ca="1" si="5"/>
        <v>31</v>
      </c>
      <c r="Q36" s="97">
        <f t="shared" ca="1" si="0"/>
        <v>9.8110705999339132E-3</v>
      </c>
      <c r="R36" s="97">
        <f t="shared" ca="1" si="1"/>
        <v>-1.15E-2</v>
      </c>
      <c r="S36" s="97"/>
      <c r="T36" s="97"/>
    </row>
    <row r="37" spans="1:20" x14ac:dyDescent="0.25">
      <c r="A37"/>
      <c r="B37" s="59">
        <f t="shared" si="2"/>
        <v>40756</v>
      </c>
      <c r="C37" s="98">
        <f>VLOOKUP(B37,'Monthly Returns'!B:D,2,FALSE)</f>
        <v>-1.9400000000000001E-2</v>
      </c>
      <c r="D37" s="8">
        <f t="array" ref="D37">PRODUCT(1+$C$6:C37)-1</f>
        <v>1.9523116251299579</v>
      </c>
      <c r="E37" s="8">
        <f t="shared" si="3"/>
        <v>-4.2760055262435981E-2</v>
      </c>
      <c r="F37" s="61">
        <f>VLOOKUP(B37,'Monthly Returns'!B:D,3,FALSE)</f>
        <v>-5.1536429813814344E-4</v>
      </c>
      <c r="G37" s="11">
        <f t="array" ref="G37">PRODUCT(1+$F$6:F37)-1</f>
        <v>0.49326275264677544</v>
      </c>
      <c r="H37" s="13">
        <f t="shared" si="4"/>
        <v>-5.1536429813814344E-4</v>
      </c>
      <c r="I37" s="60">
        <f>VLOOKUP(B37,Appendix!D:F,3,FALSE)</f>
        <v>1.6665139084048874E-5</v>
      </c>
      <c r="J37" s="11"/>
      <c r="K37" s="27" t="s">
        <v>28</v>
      </c>
      <c r="L37" s="34">
        <f t="array" aca="1" ref="L37" ca="1">(1+INTERCEPT(fr,br))^12-1</f>
        <v>0.16578965638808985</v>
      </c>
      <c r="M37" s="15"/>
      <c r="P37" s="94">
        <f t="shared" ca="1" si="5"/>
        <v>32</v>
      </c>
      <c r="Q37" s="97">
        <f t="shared" ca="1" si="0"/>
        <v>9.4068460935459175E-3</v>
      </c>
      <c r="R37" s="97">
        <f t="shared" ca="1" si="1"/>
        <v>4.8500000000000001E-2</v>
      </c>
      <c r="S37" s="97"/>
      <c r="T37" s="97"/>
    </row>
    <row r="38" spans="1:20" x14ac:dyDescent="0.25">
      <c r="A38"/>
      <c r="B38" s="59">
        <f t="shared" si="2"/>
        <v>40787</v>
      </c>
      <c r="C38" s="98">
        <f>VLOOKUP(B38,'Monthly Returns'!B:D,2,FALSE)</f>
        <v>-5.0799999999999998E-2</v>
      </c>
      <c r="D38" s="8">
        <f t="array" ref="D38">PRODUCT(1+$C$6:C38)-1</f>
        <v>1.8023341945733562</v>
      </c>
      <c r="E38" s="8">
        <f t="shared" si="3"/>
        <v>-9.1387844455104172E-2</v>
      </c>
      <c r="F38" s="61">
        <f>VLOOKUP(B38,'Monthly Returns'!B:D,3,FALSE)</f>
        <v>-5.1111827263938148E-2</v>
      </c>
      <c r="G38" s="11">
        <f t="array" ref="G38">PRODUCT(1+$F$6:F38)-1</f>
        <v>0.41693936477382065</v>
      </c>
      <c r="H38" s="13">
        <f t="shared" si="4"/>
        <v>-5.1600850351091854E-2</v>
      </c>
      <c r="I38" s="60">
        <f>VLOOKUP(B38,Appendix!D:F,3,FALSE)</f>
        <v>8.3329514133367866E-6</v>
      </c>
      <c r="J38" s="11"/>
      <c r="K38" s="27" t="s">
        <v>29</v>
      </c>
      <c r="L38" s="31">
        <f ca="1">L21</f>
        <v>1.2221575969580096</v>
      </c>
      <c r="M38" s="15"/>
      <c r="P38" s="94">
        <f t="shared" ca="1" si="5"/>
        <v>33</v>
      </c>
      <c r="Q38" s="97">
        <f t="shared" ref="Q38:Q69" ca="1" si="6">LARGE(br,P38)</f>
        <v>9.1209668224834228E-3</v>
      </c>
      <c r="R38" s="97">
        <f t="shared" ref="R38:R69" ca="1" si="7">INDEX(fr,MATCH(Q38,br,0))</f>
        <v>2.1100000000000001E-2</v>
      </c>
      <c r="S38" s="97"/>
      <c r="T38" s="97"/>
    </row>
    <row r="39" spans="1:20" ht="18" thickBot="1" x14ac:dyDescent="0.3">
      <c r="A39"/>
      <c r="B39" s="59">
        <f t="shared" si="2"/>
        <v>40817</v>
      </c>
      <c r="C39" s="98">
        <f>VLOOKUP(B39,'Monthly Returns'!B:D,2,FALSE)</f>
        <v>3.0200000000000001E-2</v>
      </c>
      <c r="D39" s="8">
        <f t="array" ref="D39">PRODUCT(1+$C$6:C39)-1</f>
        <v>1.8869646872494714</v>
      </c>
      <c r="E39" s="8">
        <f t="shared" si="3"/>
        <v>-6.3947757357648349E-2</v>
      </c>
      <c r="F39" s="61">
        <f>VLOOKUP(B39,'Monthly Returns'!B:D,3,FALSE)</f>
        <v>4.924602635511488E-2</v>
      </c>
      <c r="G39" s="11">
        <f t="array" ref="G39">PRODUCT(1+$F$6:F39)-1</f>
        <v>0.48671799807507199</v>
      </c>
      <c r="H39" s="13">
        <f t="shared" si="4"/>
        <v>-4.8959608323131398E-3</v>
      </c>
      <c r="I39" s="60">
        <f>VLOOKUP(B39,Appendix!D:F,3,FALSE)</f>
        <v>1.6665139084048874E-5</v>
      </c>
      <c r="J39" s="11"/>
      <c r="K39" s="29" t="s">
        <v>30</v>
      </c>
      <c r="L39" s="32">
        <f ca="1">L22^2</f>
        <v>0.25679886084274561</v>
      </c>
      <c r="M39" s="15"/>
      <c r="P39" s="94">
        <f t="shared" ref="P39:P70" ca="1" si="8">IF(P38&lt;COUNT(br),P38+1,"")</f>
        <v>34</v>
      </c>
      <c r="Q39" s="97">
        <f t="shared" ca="1" si="6"/>
        <v>9.1018504588535887E-3</v>
      </c>
      <c r="R39" s="97">
        <f t="shared" ca="1" si="7"/>
        <v>7.51E-2</v>
      </c>
      <c r="S39" s="97"/>
      <c r="T39" s="97"/>
    </row>
    <row r="40" spans="1:20" x14ac:dyDescent="0.25">
      <c r="A40"/>
      <c r="B40" s="59">
        <f t="shared" si="2"/>
        <v>40848</v>
      </c>
      <c r="C40" s="98">
        <f>VLOOKUP(B40,'Monthly Returns'!B:D,2,FALSE)</f>
        <v>-2.7E-2</v>
      </c>
      <c r="D40" s="8">
        <f t="array" ref="D40">PRODUCT(1+$C$6:C40)-1</f>
        <v>1.8090166406937356</v>
      </c>
      <c r="E40" s="8">
        <f t="shared" si="3"/>
        <v>-8.9221167908991816E-2</v>
      </c>
      <c r="F40" s="61">
        <f>VLOOKUP(B40,'Monthly Returns'!B:D,3,FALSE)</f>
        <v>-8.998511037741852E-3</v>
      </c>
      <c r="G40" s="11">
        <f t="array" ref="G40">PRODUCT(1+$F$6:F40)-1</f>
        <v>0.47333974975938409</v>
      </c>
      <c r="H40" s="13">
        <f t="shared" si="4"/>
        <v>-1.385041551246502E-2</v>
      </c>
      <c r="I40" s="60">
        <f>VLOOKUP(B40,Appendix!D:F,3,FALSE)</f>
        <v>8.3329514133367866E-6</v>
      </c>
      <c r="J40" s="11"/>
      <c r="K40" s="15"/>
      <c r="L40" s="15"/>
      <c r="M40" s="15"/>
      <c r="P40" s="94">
        <f t="shared" ca="1" si="8"/>
        <v>35</v>
      </c>
      <c r="Q40" s="97">
        <f t="shared" ca="1" si="6"/>
        <v>8.897105552024831E-3</v>
      </c>
      <c r="R40" s="97">
        <f t="shared" ca="1" si="7"/>
        <v>7.2099999999999997E-2</v>
      </c>
      <c r="S40" s="97"/>
      <c r="T40" s="97"/>
    </row>
    <row r="41" spans="1:20" x14ac:dyDescent="0.25">
      <c r="A41"/>
      <c r="B41" s="59">
        <f t="shared" si="2"/>
        <v>40878</v>
      </c>
      <c r="C41" s="98">
        <f>VLOOKUP(B41,'Monthly Returns'!B:D,2,FALSE)</f>
        <v>4.8500000000000001E-2</v>
      </c>
      <c r="D41" s="8">
        <f t="array" ref="D41">PRODUCT(1+$C$6:C41)-1</f>
        <v>1.9452539477673816</v>
      </c>
      <c r="E41" s="8">
        <f t="shared" si="3"/>
        <v>-4.5048394552577919E-2</v>
      </c>
      <c r="F41" s="61">
        <f>VLOOKUP(B41,'Monthly Returns'!B:D,3,FALSE)</f>
        <v>9.4068460935459175E-3</v>
      </c>
      <c r="G41" s="11">
        <f t="array" ref="G41">PRODUCT(1+$F$6:F41)-1</f>
        <v>0.48719923002887411</v>
      </c>
      <c r="H41" s="13">
        <f t="shared" si="4"/>
        <v>-4.5738581459765504E-3</v>
      </c>
      <c r="I41" s="60">
        <f>VLOOKUP(B41,Appendix!D:F,3,FALSE)</f>
        <v>8.3329514133367866E-6</v>
      </c>
      <c r="J41" s="11"/>
      <c r="K41" s="15"/>
      <c r="L41" s="33" t="str">
        <f>C3</f>
        <v>Prudence Enhanced Income</v>
      </c>
      <c r="M41" s="33" t="str">
        <f>F3</f>
        <v>JPEIJACC Index</v>
      </c>
      <c r="P41" s="94">
        <f t="shared" ca="1" si="8"/>
        <v>36</v>
      </c>
      <c r="Q41" s="97">
        <f t="shared" ca="1" si="6"/>
        <v>8.8212657628323754E-3</v>
      </c>
      <c r="R41" s="97">
        <f t="shared" ca="1" si="7"/>
        <v>2.3E-3</v>
      </c>
      <c r="S41" s="97"/>
      <c r="T41" s="97"/>
    </row>
    <row r="42" spans="1:20" x14ac:dyDescent="0.25">
      <c r="A42"/>
      <c r="B42" s="59">
        <f t="shared" si="2"/>
        <v>40909</v>
      </c>
      <c r="C42" s="98">
        <f>VLOOKUP(B42,'Monthly Returns'!B:D,2,FALSE)</f>
        <v>2.8899999999999999E-2</v>
      </c>
      <c r="D42" s="8">
        <f t="array" ref="D42">PRODUCT(1+$C$6:C42)-1</f>
        <v>2.0303717868578586</v>
      </c>
      <c r="E42" s="8">
        <f t="shared" si="3"/>
        <v>-1.7450293155147456E-2</v>
      </c>
      <c r="F42" s="61">
        <f>VLOOKUP(B42,'Monthly Returns'!B:D,3,FALSE)</f>
        <v>1.9220812839761736E-2</v>
      </c>
      <c r="G42" s="11">
        <f t="array" ref="G42">PRODUCT(1+$F$6:F42)-1</f>
        <v>0.51578440808469694</v>
      </c>
      <c r="H42" s="13">
        <f t="shared" si="4"/>
        <v>0</v>
      </c>
      <c r="I42" s="60">
        <f>VLOOKUP(B42,Appendix!D:F,3,FALSE)</f>
        <v>2.4996563158685703E-5</v>
      </c>
      <c r="J42" s="11"/>
      <c r="K42" s="23" t="s">
        <v>31</v>
      </c>
      <c r="L42" s="37">
        <f ca="1">AVERAGEIF(br,"&lt;0",fr)</f>
        <v>1.5375000000000002E-3</v>
      </c>
      <c r="M42" s="37">
        <f ca="1">AVERAGEIF(br,"&lt;0")</f>
        <v>-1.2761173022127321E-2</v>
      </c>
      <c r="P42" s="94">
        <f t="shared" ca="1" si="8"/>
        <v>37</v>
      </c>
      <c r="Q42" s="97">
        <f t="shared" ca="1" si="6"/>
        <v>8.1997763697352344E-3</v>
      </c>
      <c r="R42" s="97">
        <f t="shared" ca="1" si="7"/>
        <v>9.1000000000000004E-3</v>
      </c>
      <c r="S42" s="97"/>
      <c r="T42" s="97"/>
    </row>
    <row r="43" spans="1:20" x14ac:dyDescent="0.25">
      <c r="A43"/>
      <c r="B43" s="59">
        <f t="shared" si="2"/>
        <v>40940</v>
      </c>
      <c r="C43" s="98">
        <f>VLOOKUP(B43,'Monthly Returns'!B:D,2,FALSE)</f>
        <v>2.46E-2</v>
      </c>
      <c r="D43" s="8">
        <f t="array" ref="D43">PRODUCT(1+$C$6:C43)-1</f>
        <v>2.1049189328145617</v>
      </c>
      <c r="E43" s="8">
        <f t="shared" si="3"/>
        <v>0</v>
      </c>
      <c r="F43" s="61">
        <f>VLOOKUP(B43,'Monthly Returns'!B:D,3,FALSE)</f>
        <v>2.3176074671407587E-2</v>
      </c>
      <c r="G43" s="11">
        <f t="array" ref="G43">PRODUCT(1+$F$6:F43)-1</f>
        <v>0.55091434071222323</v>
      </c>
      <c r="H43" s="13">
        <f t="shared" si="4"/>
        <v>0</v>
      </c>
      <c r="I43" s="60">
        <f>VLOOKUP(B43,Appendix!D:F,3,FALSE)</f>
        <v>7.4969080277487166E-5</v>
      </c>
      <c r="J43" s="11"/>
      <c r="K43" s="23" t="s">
        <v>32</v>
      </c>
      <c r="L43" s="22">
        <f ca="1">AVERAGEIF(br,"&gt;0",fr)</f>
        <v>3.0662745098039207E-2</v>
      </c>
      <c r="M43" s="37">
        <f ca="1">AVERAGEIF(br,"&gt;0")</f>
        <v>1.5658021084131554E-2</v>
      </c>
      <c r="P43" s="94">
        <f t="shared" ca="1" si="8"/>
        <v>38</v>
      </c>
      <c r="Q43" s="97">
        <f t="shared" ca="1" si="6"/>
        <v>7.2593314914133344E-3</v>
      </c>
      <c r="R43" s="97">
        <f t="shared" ca="1" si="7"/>
        <v>1.2999999999999999E-2</v>
      </c>
      <c r="S43" s="97"/>
      <c r="T43" s="97"/>
    </row>
    <row r="44" spans="1:20" x14ac:dyDescent="0.25">
      <c r="A44"/>
      <c r="B44" s="59">
        <f t="shared" si="2"/>
        <v>40969</v>
      </c>
      <c r="C44" s="98">
        <f>VLOOKUP(B44,'Monthly Returns'!B:D,2,FALSE)</f>
        <v>1E-4</v>
      </c>
      <c r="D44" s="8">
        <f t="array" ref="D44">PRODUCT(1+$C$6:C44)-1</f>
        <v>2.1052294247078431</v>
      </c>
      <c r="E44" s="8">
        <f t="shared" si="3"/>
        <v>0</v>
      </c>
      <c r="F44" s="61">
        <f>VLOOKUP(B44,'Monthly Returns'!B:D,3,FALSE)</f>
        <v>-1.9858508129576569E-3</v>
      </c>
      <c r="G44" s="11">
        <f t="array" ref="G44">PRODUCT(1+$F$6:F44)-1</f>
        <v>0.54783445620789206</v>
      </c>
      <c r="H44" s="13">
        <f t="shared" si="4"/>
        <v>-1.9858508129576569E-3</v>
      </c>
      <c r="I44" s="60">
        <f>VLOOKUP(B44,Appendix!D:F,3,FALSE)</f>
        <v>6.6642234708869097E-5</v>
      </c>
      <c r="J44" s="11"/>
      <c r="K44" s="15"/>
      <c r="L44" s="15"/>
      <c r="M44" s="15"/>
      <c r="P44" s="94">
        <f t="shared" ca="1" si="8"/>
        <v>39</v>
      </c>
      <c r="Q44" s="97">
        <f t="shared" ca="1" si="6"/>
        <v>7.0973510673968399E-3</v>
      </c>
      <c r="R44" s="97">
        <f t="shared" ca="1" si="7"/>
        <v>-1.0999999999999999E-2</v>
      </c>
      <c r="S44" s="97"/>
      <c r="T44" s="97"/>
    </row>
    <row r="45" spans="1:20" x14ac:dyDescent="0.25">
      <c r="A45"/>
      <c r="B45" s="59">
        <f t="shared" si="2"/>
        <v>41000</v>
      </c>
      <c r="C45" s="98">
        <f>VLOOKUP(B45,'Monthly Returns'!B:D,2,FALSE)</f>
        <v>2.9999999999999997E-4</v>
      </c>
      <c r="D45" s="8">
        <f t="array" ref="D45">PRODUCT(1+$C$6:C45)-1</f>
        <v>2.1061609935352554</v>
      </c>
      <c r="E45" s="8">
        <f t="shared" si="3"/>
        <v>0</v>
      </c>
      <c r="F45" s="61">
        <f>VLOOKUP(B45,'Monthly Returns'!B:D,3,FALSE)</f>
        <v>9.8246486755380058E-3</v>
      </c>
      <c r="G45" s="11">
        <f t="array" ref="G45">PRODUCT(1+$F$6:F45)-1</f>
        <v>0.563041385948027</v>
      </c>
      <c r="H45" s="13">
        <f t="shared" si="4"/>
        <v>0</v>
      </c>
      <c r="I45" s="60">
        <f>VLOOKUP(B45,Appendix!D:F,3,FALSE)</f>
        <v>6.6642234708869097E-5</v>
      </c>
      <c r="J45" s="11"/>
      <c r="K45" s="15"/>
      <c r="L45" s="15"/>
      <c r="M45" s="15"/>
      <c r="P45" s="94">
        <f t="shared" ca="1" si="8"/>
        <v>40</v>
      </c>
      <c r="Q45" s="97">
        <f t="shared" ca="1" si="6"/>
        <v>6.5815602836878373E-3</v>
      </c>
      <c r="R45" s="97">
        <f t="shared" ca="1" si="7"/>
        <v>1.5299999999999999E-2</v>
      </c>
      <c r="S45" s="97"/>
      <c r="T45" s="97"/>
    </row>
    <row r="46" spans="1:20" x14ac:dyDescent="0.25">
      <c r="A46"/>
      <c r="B46" s="59">
        <f t="shared" si="2"/>
        <v>41030</v>
      </c>
      <c r="C46" s="98">
        <f>VLOOKUP(B46,'Monthly Returns'!B:D,2,FALSE)</f>
        <v>-3.0000000000000001E-3</v>
      </c>
      <c r="D46" s="8">
        <f t="array" ref="D46">PRODUCT(1+$C$6:C46)-1</f>
        <v>2.0968425105546498</v>
      </c>
      <c r="E46" s="8">
        <f t="shared" si="3"/>
        <v>-3.0000000000000027E-3</v>
      </c>
      <c r="F46" s="61">
        <f>VLOOKUP(B46,'Monthly Returns'!B:D,3,FALSE)</f>
        <v>-6.8349753694582072E-3</v>
      </c>
      <c r="G46" s="11">
        <f t="array" ref="G46">PRODUCT(1+$F$6:F46)-1</f>
        <v>0.55235803657362847</v>
      </c>
      <c r="H46" s="13">
        <f t="shared" si="4"/>
        <v>-6.8349753694582072E-3</v>
      </c>
      <c r="I46" s="60">
        <f>VLOOKUP(B46,Appendix!D:F,3,FALSE)</f>
        <v>7.4969080277487166E-5</v>
      </c>
      <c r="J46" s="11"/>
      <c r="K46" s="87" t="s">
        <v>33</v>
      </c>
      <c r="L46" s="87" t="s">
        <v>34</v>
      </c>
      <c r="M46" s="81" t="s">
        <v>35</v>
      </c>
      <c r="P46" s="94">
        <f t="shared" ca="1" si="8"/>
        <v>41</v>
      </c>
      <c r="Q46" s="97">
        <f t="shared" ca="1" si="6"/>
        <v>6.3550981384623562E-3</v>
      </c>
      <c r="R46" s="97">
        <f t="shared" ca="1" si="7"/>
        <v>-1.9E-2</v>
      </c>
      <c r="S46" s="97"/>
      <c r="T46" s="97"/>
    </row>
    <row r="47" spans="1:20" x14ac:dyDescent="0.25">
      <c r="A47"/>
      <c r="B47" s="59">
        <f t="shared" si="2"/>
        <v>41061</v>
      </c>
      <c r="C47" s="98">
        <f>VLOOKUP(B47,'Monthly Returns'!B:D,2,FALSE)</f>
        <v>1.5699999999999999E-2</v>
      </c>
      <c r="D47" s="8">
        <f t="array" ref="D47">PRODUCT(1+$C$6:C47)-1</f>
        <v>2.145462937970358</v>
      </c>
      <c r="E47" s="8">
        <f t="shared" si="3"/>
        <v>0</v>
      </c>
      <c r="F47" s="61">
        <f>VLOOKUP(B47,'Monthly Returns'!B:D,3,FALSE)</f>
        <v>2.3560047120094296E-2</v>
      </c>
      <c r="G47" s="11">
        <f t="array" ref="G47">PRODUCT(1+$F$6:F47)-1</f>
        <v>0.58893166506256023</v>
      </c>
      <c r="H47" s="13">
        <f t="shared" si="4"/>
        <v>0</v>
      </c>
      <c r="I47" s="60">
        <f>VLOOKUP(B47,Appendix!D:F,3,FALSE)</f>
        <v>7.4969080277487166E-5</v>
      </c>
      <c r="J47" s="11"/>
      <c r="K47" s="84">
        <f ca="1">MIN(fr)</f>
        <v>-5.0799999999999998E-2</v>
      </c>
      <c r="L47" s="83">
        <f t="array" aca="1" ref="L47:L58" ca="1">FREQUENCY(fr,K47:K58)</f>
        <v>1</v>
      </c>
      <c r="M47" s="92">
        <f ca="1">L47/SUM($L$47:$L$58)</f>
        <v>1.4925373134328358E-2</v>
      </c>
      <c r="P47" s="94">
        <f t="shared" ca="1" si="8"/>
        <v>42</v>
      </c>
      <c r="Q47" s="97">
        <f t="shared" ca="1" si="6"/>
        <v>4.4806037023934486E-3</v>
      </c>
      <c r="R47" s="97">
        <f t="shared" ca="1" si="7"/>
        <v>0.01</v>
      </c>
      <c r="S47" s="97"/>
      <c r="T47" s="97"/>
    </row>
    <row r="48" spans="1:20" x14ac:dyDescent="0.25">
      <c r="A48"/>
      <c r="B48" s="59">
        <f t="shared" si="2"/>
        <v>41091</v>
      </c>
      <c r="C48" s="98">
        <f>VLOOKUP(B48,'Monthly Returns'!B:D,2,FALSE)</f>
        <v>7.4999999999999997E-3</v>
      </c>
      <c r="D48" s="8">
        <f t="array" ref="D48">PRODUCT(1+$C$6:C48)-1</f>
        <v>2.169053910005136</v>
      </c>
      <c r="E48" s="8">
        <f t="shared" si="3"/>
        <v>0</v>
      </c>
      <c r="F48" s="61">
        <f>VLOOKUP(B48,'Monthly Returns'!B:D,3,FALSE)</f>
        <v>2.7439578411775356E-2</v>
      </c>
      <c r="G48" s="11">
        <f t="array" ref="G48">PRODUCT(1+$F$6:F48)-1</f>
        <v>0.6325312800769971</v>
      </c>
      <c r="H48" s="13">
        <f t="shared" si="4"/>
        <v>0</v>
      </c>
      <c r="I48" s="60">
        <f>VLOOKUP(B48,Appendix!D:F,3,FALSE)</f>
        <v>8.3295163273211514E-5</v>
      </c>
      <c r="J48" s="11"/>
      <c r="K48" s="84">
        <f ca="1">K47+($K$58-$K$47)/11</f>
        <v>-2.2736363636363631E-2</v>
      </c>
      <c r="L48" s="83">
        <f ca="1"/>
        <v>1</v>
      </c>
      <c r="M48" s="92">
        <f t="shared" ref="M48:M58" ca="1" si="9">L48/SUM($L$47:$L$58)</f>
        <v>1.4925373134328358E-2</v>
      </c>
      <c r="P48" s="94">
        <f t="shared" ca="1" si="8"/>
        <v>43</v>
      </c>
      <c r="Q48" s="97">
        <f t="shared" ca="1" si="6"/>
        <v>4.3789808917196194E-3</v>
      </c>
      <c r="R48" s="97">
        <f t="shared" ca="1" si="7"/>
        <v>9.01E-2</v>
      </c>
      <c r="S48" s="97"/>
      <c r="T48" s="97"/>
    </row>
    <row r="49" spans="1:20" x14ac:dyDescent="0.25">
      <c r="A49"/>
      <c r="B49" s="59">
        <f t="shared" si="2"/>
        <v>41122</v>
      </c>
      <c r="C49" s="98">
        <f>VLOOKUP(B49,'Monthly Returns'!B:D,2,FALSE)</f>
        <v>0.01</v>
      </c>
      <c r="D49" s="8">
        <f t="array" ref="D49">PRODUCT(1+$C$6:C49)-1</f>
        <v>2.2007444491051875</v>
      </c>
      <c r="E49" s="8">
        <f t="shared" si="3"/>
        <v>0</v>
      </c>
      <c r="F49" s="61">
        <f>VLOOKUP(B49,'Monthly Returns'!B:D,3,FALSE)</f>
        <v>4.4806037023934486E-3</v>
      </c>
      <c r="G49" s="11">
        <f t="array" ref="G49">PRODUCT(1+$F$6:F49)-1</f>
        <v>0.63984600577478323</v>
      </c>
      <c r="H49" s="13">
        <f t="shared" si="4"/>
        <v>0</v>
      </c>
      <c r="I49" s="60">
        <f>VLOOKUP(B49,Appendix!D:F,3,FALSE)</f>
        <v>8.3295163273211514E-5</v>
      </c>
      <c r="J49" s="60"/>
      <c r="K49" s="84">
        <f t="shared" ref="K49:K57" ca="1" si="10">K48+($K$58-$K$47)/11</f>
        <v>5.327272727272736E-3</v>
      </c>
      <c r="L49" s="83">
        <f ca="1"/>
        <v>16</v>
      </c>
      <c r="M49" s="92">
        <f t="shared" ca="1" si="9"/>
        <v>0.23880597014925373</v>
      </c>
      <c r="P49" s="94">
        <f t="shared" ca="1" si="8"/>
        <v>44</v>
      </c>
      <c r="Q49" s="97">
        <f t="shared" ca="1" si="6"/>
        <v>4.1824069077172066E-3</v>
      </c>
      <c r="R49" s="97">
        <f t="shared" ca="1" si="7"/>
        <v>9.7999999999999997E-3</v>
      </c>
      <c r="S49" s="97"/>
      <c r="T49" s="97"/>
    </row>
    <row r="50" spans="1:20" x14ac:dyDescent="0.25">
      <c r="A50"/>
      <c r="B50" s="59">
        <f t="shared" si="2"/>
        <v>41153</v>
      </c>
      <c r="C50" s="98">
        <f>VLOOKUP(B50,'Monthly Returns'!B:D,2,FALSE)</f>
        <v>8.3000000000000001E-3</v>
      </c>
      <c r="D50" s="8">
        <f t="array" ref="D50">PRODUCT(1+$C$6:C50)-1</f>
        <v>2.2273106280327606</v>
      </c>
      <c r="E50" s="8">
        <f t="shared" si="3"/>
        <v>0</v>
      </c>
      <c r="F50" s="61">
        <f>VLOOKUP(B50,'Monthly Returns'!B:D,3,FALSE)</f>
        <v>1.8488085456039416E-2</v>
      </c>
      <c r="G50" s="11">
        <f t="array" ref="G50">PRODUCT(1+$F$6:F50)-1</f>
        <v>0.67016361886429232</v>
      </c>
      <c r="H50" s="13">
        <f t="shared" si="4"/>
        <v>0</v>
      </c>
      <c r="I50" s="60">
        <f>VLOOKUP(B50,Appendix!D:F,3,FALSE)</f>
        <v>9.1620483841925449E-5</v>
      </c>
      <c r="J50" s="60"/>
      <c r="K50" s="84">
        <f t="shared" ca="1" si="10"/>
        <v>3.3390909090909103E-2</v>
      </c>
      <c r="L50" s="83">
        <f ca="1"/>
        <v>36</v>
      </c>
      <c r="M50" s="92">
        <f t="shared" ca="1" si="9"/>
        <v>0.53731343283582089</v>
      </c>
      <c r="P50" s="94">
        <f t="shared" ca="1" si="8"/>
        <v>45</v>
      </c>
      <c r="Q50" s="97">
        <f t="shared" ca="1" si="6"/>
        <v>4.0769230769230891E-3</v>
      </c>
      <c r="R50" s="97">
        <f t="shared" ca="1" si="7"/>
        <v>1.43E-2</v>
      </c>
      <c r="S50" s="97"/>
      <c r="T50" s="97"/>
    </row>
    <row r="51" spans="1:20" x14ac:dyDescent="0.25">
      <c r="A51"/>
      <c r="B51" s="59">
        <f t="shared" si="2"/>
        <v>41183</v>
      </c>
      <c r="C51" s="98">
        <f>VLOOKUP(B51,'Monthly Returns'!B:D,2,FALSE)</f>
        <v>1.89E-2</v>
      </c>
      <c r="D51" s="8">
        <f t="array" ref="D51">PRODUCT(1+$C$6:C51)-1</f>
        <v>2.2883067989025796</v>
      </c>
      <c r="E51" s="8">
        <f t="shared" si="3"/>
        <v>0</v>
      </c>
      <c r="F51" s="61">
        <f>VLOOKUP(B51,'Monthly Returns'!B:D,3,FALSE)</f>
        <v>1.0891488503428803E-2</v>
      </c>
      <c r="G51" s="11">
        <f t="array" ref="G51">PRODUCT(1+$F$6:F51)-1</f>
        <v>0.68835418671799786</v>
      </c>
      <c r="H51" s="13">
        <f t="shared" si="4"/>
        <v>0</v>
      </c>
      <c r="I51" s="60">
        <f>VLOOKUP(B51,Appendix!D:F,3,FALSE)</f>
        <v>8.3295163273211514E-5</v>
      </c>
      <c r="J51" s="60"/>
      <c r="K51" s="84">
        <f t="shared" ca="1" si="10"/>
        <v>6.145454545454547E-2</v>
      </c>
      <c r="L51" s="83">
        <f ca="1"/>
        <v>4</v>
      </c>
      <c r="M51" s="92">
        <f t="shared" ca="1" si="9"/>
        <v>5.9701492537313432E-2</v>
      </c>
      <c r="P51" s="94">
        <f t="shared" ca="1" si="8"/>
        <v>46</v>
      </c>
      <c r="Q51" s="97">
        <f t="shared" ca="1" si="6"/>
        <v>3.8510911424902705E-3</v>
      </c>
      <c r="R51" s="97">
        <f t="shared" ca="1" si="7"/>
        <v>6.8999999999999999E-3</v>
      </c>
      <c r="S51" s="97"/>
      <c r="T51" s="97"/>
    </row>
    <row r="52" spans="1:20" x14ac:dyDescent="0.25">
      <c r="A52"/>
      <c r="B52" s="59">
        <f t="shared" si="2"/>
        <v>41214</v>
      </c>
      <c r="C52" s="98">
        <f>VLOOKUP(B52,'Monthly Returns'!B:D,2,FALSE)</f>
        <v>2.1100000000000001E-2</v>
      </c>
      <c r="D52" s="8">
        <f t="array" ref="D52">PRODUCT(1+$C$6:C52)-1</f>
        <v>2.3576900723594236</v>
      </c>
      <c r="E52" s="8">
        <f t="shared" si="3"/>
        <v>0</v>
      </c>
      <c r="F52" s="61">
        <f>VLOOKUP(B52,'Monthly Returns'!B:D,3,FALSE)</f>
        <v>9.1209668224834228E-3</v>
      </c>
      <c r="G52" s="11">
        <f t="array" ref="G52">PRODUCT(1+$F$6:F52)-1</f>
        <v>0.70375360923965369</v>
      </c>
      <c r="H52" s="13">
        <f t="shared" si="4"/>
        <v>0</v>
      </c>
      <c r="I52" s="60">
        <f>VLOOKUP(B52,Appendix!D:F,3,FALSE)</f>
        <v>7.4969080277487166E-5</v>
      </c>
      <c r="J52" s="60"/>
      <c r="K52" s="84">
        <f t="shared" ca="1" si="10"/>
        <v>8.951818181818183E-2</v>
      </c>
      <c r="L52" s="83">
        <f ca="1"/>
        <v>6</v>
      </c>
      <c r="M52" s="92">
        <f t="shared" ca="1" si="9"/>
        <v>8.9552238805970144E-2</v>
      </c>
      <c r="P52" s="94">
        <f t="shared" ca="1" si="8"/>
        <v>47</v>
      </c>
      <c r="Q52" s="97">
        <f t="shared" ca="1" si="6"/>
        <v>2.4344062753585138E-3</v>
      </c>
      <c r="R52" s="97">
        <f t="shared" ca="1" si="7"/>
        <v>9.9000000000000008E-3</v>
      </c>
      <c r="S52" s="97"/>
      <c r="T52" s="97"/>
    </row>
    <row r="53" spans="1:20" x14ac:dyDescent="0.25">
      <c r="A53"/>
      <c r="B53" s="59">
        <f t="shared" si="2"/>
        <v>41244</v>
      </c>
      <c r="C53" s="98">
        <f>VLOOKUP(B53,'Monthly Returns'!B:D,2,FALSE)</f>
        <v>3.9E-2</v>
      </c>
      <c r="D53" s="8">
        <f t="array" ref="D53">PRODUCT(1+$C$6:C53)-1</f>
        <v>2.4886399851814409</v>
      </c>
      <c r="E53" s="8">
        <f t="shared" si="3"/>
        <v>0</v>
      </c>
      <c r="F53" s="61">
        <f>VLOOKUP(B53,'Monthly Returns'!B:D,3,FALSE)</f>
        <v>2.429104056038689E-3</v>
      </c>
      <c r="G53" s="11">
        <f t="array" ref="G53">PRODUCT(1+$F$6:F53)-1</f>
        <v>0.70789220404234832</v>
      </c>
      <c r="H53" s="13">
        <f t="shared" si="4"/>
        <v>0</v>
      </c>
      <c r="I53" s="60">
        <f>VLOOKUP(B53,Appendix!D:F,3,FALSE)</f>
        <v>5.8314626421251958E-5</v>
      </c>
      <c r="J53" s="60"/>
      <c r="K53" s="84">
        <f t="shared" ca="1" si="10"/>
        <v>0.1175818181818182</v>
      </c>
      <c r="L53" s="83">
        <f ca="1"/>
        <v>1</v>
      </c>
      <c r="M53" s="92">
        <f t="shared" ca="1" si="9"/>
        <v>1.4925373134328358E-2</v>
      </c>
      <c r="P53" s="94">
        <f t="shared" ca="1" si="8"/>
        <v>48</v>
      </c>
      <c r="Q53" s="97">
        <f t="shared" ca="1" si="6"/>
        <v>2.429104056038689E-3</v>
      </c>
      <c r="R53" s="97">
        <f t="shared" ca="1" si="7"/>
        <v>3.9E-2</v>
      </c>
      <c r="S53" s="97"/>
      <c r="T53" s="97"/>
    </row>
    <row r="54" spans="1:20" x14ac:dyDescent="0.25">
      <c r="A54"/>
      <c r="B54" s="59">
        <f t="shared" si="2"/>
        <v>41275</v>
      </c>
      <c r="C54" s="98">
        <f>VLOOKUP(B54,'Monthly Returns'!B:D,2,FALSE)</f>
        <v>4.2099999999999999E-2</v>
      </c>
      <c r="D54" s="8">
        <f t="array" ref="D54">PRODUCT(1+$C$6:C54)-1</f>
        <v>2.6355117285575798</v>
      </c>
      <c r="E54" s="8">
        <f t="shared" si="3"/>
        <v>0</v>
      </c>
      <c r="F54" s="61">
        <f>VLOOKUP(B54,'Monthly Returns'!B:D,3,FALSE)</f>
        <v>-6.762468300929747E-3</v>
      </c>
      <c r="G54" s="11">
        <f t="array" ref="G54">PRODUCT(1+$F$6:F54)-1</f>
        <v>0.696342637151107</v>
      </c>
      <c r="H54" s="13">
        <f t="shared" si="4"/>
        <v>-6.762468300929747E-3</v>
      </c>
      <c r="I54" s="60">
        <f>VLOOKUP(B54,Appendix!D:F,3,FALSE)</f>
        <v>5.8314626421251958E-5</v>
      </c>
      <c r="J54" s="60"/>
      <c r="K54" s="84">
        <f t="shared" ca="1" si="10"/>
        <v>0.14564545454545458</v>
      </c>
      <c r="L54" s="83">
        <f ca="1"/>
        <v>1</v>
      </c>
      <c r="M54" s="92">
        <f t="shared" ca="1" si="9"/>
        <v>1.4925373134328358E-2</v>
      </c>
      <c r="P54" s="94">
        <f t="shared" ca="1" si="8"/>
        <v>49</v>
      </c>
      <c r="Q54" s="97">
        <f t="shared" ca="1" si="6"/>
        <v>2.0950385677553918E-3</v>
      </c>
      <c r="R54" s="97">
        <f t="shared" ca="1" si="7"/>
        <v>3.0099999999999998E-2</v>
      </c>
      <c r="S54" s="97"/>
      <c r="T54" s="97"/>
    </row>
    <row r="55" spans="1:20" x14ac:dyDescent="0.25">
      <c r="A55"/>
      <c r="B55" s="59">
        <f t="shared" si="2"/>
        <v>41306</v>
      </c>
      <c r="C55" s="98">
        <f>VLOOKUP(B55,'Monthly Returns'!B:D,2,FALSE)</f>
        <v>1.5299999999999999E-2</v>
      </c>
      <c r="D55" s="8">
        <f t="array" ref="D55">PRODUCT(1+$C$6:C55)-1</f>
        <v>2.691135058004511</v>
      </c>
      <c r="E55" s="8">
        <f t="shared" si="3"/>
        <v>0</v>
      </c>
      <c r="F55" s="61">
        <f>VLOOKUP(B55,'Monthly Returns'!B:D,3,FALSE)</f>
        <v>6.5815602836878373E-3</v>
      </c>
      <c r="G55" s="11">
        <f t="array" ref="G55">PRODUCT(1+$F$6:F55)-1</f>
        <v>0.70750721847930698</v>
      </c>
      <c r="H55" s="13">
        <f t="shared" si="4"/>
        <v>-2.2541561003097677E-4</v>
      </c>
      <c r="I55" s="60">
        <f>VLOOKUP(B55,Appendix!D:F,3,FALSE)</f>
        <v>8.3295163273211514E-5</v>
      </c>
      <c r="J55" s="60"/>
      <c r="K55" s="84">
        <f t="shared" ca="1" si="10"/>
        <v>0.17370909090909095</v>
      </c>
      <c r="L55" s="83">
        <f ca="1"/>
        <v>0</v>
      </c>
      <c r="M55" s="92">
        <f t="shared" ca="1" si="9"/>
        <v>0</v>
      </c>
      <c r="P55" s="94">
        <f t="shared" ca="1" si="8"/>
        <v>50</v>
      </c>
      <c r="Q55" s="97">
        <f t="shared" ca="1" si="6"/>
        <v>1.3018714401953346E-3</v>
      </c>
      <c r="R55" s="97">
        <f t="shared" ca="1" si="7"/>
        <v>7.4999999999999997E-3</v>
      </c>
      <c r="S55" s="97"/>
      <c r="T55" s="97"/>
    </row>
    <row r="56" spans="1:20" x14ac:dyDescent="0.25">
      <c r="A56"/>
      <c r="B56" s="59">
        <f t="shared" si="2"/>
        <v>41334</v>
      </c>
      <c r="C56" s="98">
        <f>VLOOKUP(B56,'Monthly Returns'!B:D,2,FALSE)</f>
        <v>1.72E-2</v>
      </c>
      <c r="D56" s="8">
        <f t="array" ref="D56">PRODUCT(1+$C$6:C56)-1</f>
        <v>2.7546225810021889</v>
      </c>
      <c r="E56" s="8">
        <f t="shared" si="3"/>
        <v>0</v>
      </c>
      <c r="F56" s="61">
        <f>VLOOKUP(B56,'Monthly Returns'!B:D,3,FALSE)</f>
        <v>-7.8913251789636263E-4</v>
      </c>
      <c r="G56" s="11">
        <f t="array" ref="G56">PRODUCT(1+$F$6:F56)-1</f>
        <v>0.70615976900866229</v>
      </c>
      <c r="H56" s="13">
        <f t="shared" si="4"/>
        <v>-1.0143702451393954E-3</v>
      </c>
      <c r="I56" s="60">
        <f>VLOOKUP(B56,Appendix!D:F,3,FALSE)</f>
        <v>7.4969080277487166E-5</v>
      </c>
      <c r="J56" s="60"/>
      <c r="K56" s="84">
        <f t="shared" ca="1" si="10"/>
        <v>0.20177272727272733</v>
      </c>
      <c r="L56" s="83">
        <f ca="1"/>
        <v>0</v>
      </c>
      <c r="M56" s="92">
        <f t="shared" ca="1" si="9"/>
        <v>0</v>
      </c>
      <c r="P56" s="94">
        <f t="shared" ca="1" si="8"/>
        <v>51</v>
      </c>
      <c r="Q56" s="97">
        <f t="shared" ca="1" si="6"/>
        <v>4.7358094851501775E-4</v>
      </c>
      <c r="R56" s="97">
        <f t="shared" ca="1" si="7"/>
        <v>1.06E-2</v>
      </c>
      <c r="S56" s="97"/>
      <c r="T56" s="97"/>
    </row>
    <row r="57" spans="1:20" x14ac:dyDescent="0.25">
      <c r="A57"/>
      <c r="B57" s="59">
        <f t="shared" si="2"/>
        <v>41365</v>
      </c>
      <c r="C57" s="98">
        <f>VLOOKUP(B57,'Monthly Returns'!B:D,2,FALSE)</f>
        <v>2.92E-2</v>
      </c>
      <c r="D57" s="8">
        <f t="array" ref="D57">PRODUCT(1+$C$6:C57)-1</f>
        <v>2.8642575603674523</v>
      </c>
      <c r="E57" s="8">
        <f t="shared" si="3"/>
        <v>0</v>
      </c>
      <c r="F57" s="61">
        <f>VLOOKUP(B57,'Monthly Returns'!B:D,3,FALSE)</f>
        <v>1.6866926157838247E-2</v>
      </c>
      <c r="G57" s="11">
        <f t="array" ref="G57">PRODUCT(1+$F$6:F57)-1</f>
        <v>0.73493743984600579</v>
      </c>
      <c r="H57" s="13">
        <f t="shared" si="4"/>
        <v>0</v>
      </c>
      <c r="I57" s="60">
        <f>VLOOKUP(B57,Appendix!D:F,3,FALSE)</f>
        <v>4.99862552685304E-5</v>
      </c>
      <c r="J57" s="60"/>
      <c r="K57" s="84">
        <f t="shared" ca="1" si="10"/>
        <v>0.2298363636363637</v>
      </c>
      <c r="L57" s="83">
        <f ca="1"/>
        <v>0</v>
      </c>
      <c r="M57" s="92">
        <f t="shared" ca="1" si="9"/>
        <v>0</v>
      </c>
      <c r="P57" s="94">
        <f t="shared" ca="1" si="8"/>
        <v>52</v>
      </c>
      <c r="Q57" s="97">
        <f t="shared" ca="1" si="6"/>
        <v>-5.1536429813814344E-4</v>
      </c>
      <c r="R57" s="97">
        <f t="shared" ca="1" si="7"/>
        <v>-1.9400000000000001E-2</v>
      </c>
      <c r="S57" s="97"/>
      <c r="T57" s="97"/>
    </row>
    <row r="58" spans="1:20" x14ac:dyDescent="0.25">
      <c r="A58"/>
      <c r="B58" s="59">
        <f t="shared" si="2"/>
        <v>41395</v>
      </c>
      <c r="C58" s="98">
        <f>VLOOKUP(B58,'Monthly Returns'!B:D,2,FALSE)</f>
        <v>1.3899999999999999E-2</v>
      </c>
      <c r="D58" s="8">
        <f t="array" ref="D58">PRODUCT(1+$C$6:C58)-1</f>
        <v>2.91797074045656</v>
      </c>
      <c r="E58" s="8">
        <f t="shared" si="3"/>
        <v>0</v>
      </c>
      <c r="F58" s="61">
        <f>VLOOKUP(B58,'Monthly Returns'!B:D,3,FALSE)</f>
        <v>-2.4575613003439356E-2</v>
      </c>
      <c r="G58" s="11">
        <f t="array" ref="G58">PRODUCT(1+$F$6:F58)-1</f>
        <v>0.69230028873917249</v>
      </c>
      <c r="H58" s="13">
        <f t="shared" si="4"/>
        <v>-2.4575613003439356E-2</v>
      </c>
      <c r="I58" s="60">
        <f>VLOOKUP(B58,Appendix!D:F,3,FALSE)</f>
        <v>3.3327223783574667E-5</v>
      </c>
      <c r="J58" s="60"/>
      <c r="K58" s="84">
        <f ca="1">MAX(fr)</f>
        <v>0.25790000000000002</v>
      </c>
      <c r="L58" s="83">
        <f ca="1"/>
        <v>1</v>
      </c>
      <c r="M58" s="92">
        <f t="shared" ca="1" si="9"/>
        <v>1.4925373134328358E-2</v>
      </c>
      <c r="P58" s="94">
        <f t="shared" ca="1" si="8"/>
        <v>53</v>
      </c>
      <c r="Q58" s="97">
        <f t="shared" ca="1" si="6"/>
        <v>-7.8913251789636263E-4</v>
      </c>
      <c r="R58" s="97">
        <f t="shared" ca="1" si="7"/>
        <v>1.72E-2</v>
      </c>
      <c r="S58" s="97"/>
      <c r="T58" s="97"/>
    </row>
    <row r="59" spans="1:20" x14ac:dyDescent="0.25">
      <c r="A59"/>
      <c r="B59" s="59">
        <f t="shared" si="2"/>
        <v>41426</v>
      </c>
      <c r="C59" s="98">
        <f>VLOOKUP(B59,'Monthly Returns'!B:D,2,FALSE)</f>
        <v>-5.4999999999999997E-3</v>
      </c>
      <c r="D59" s="8">
        <f t="array" ref="D59">PRODUCT(1+$C$6:C59)-1</f>
        <v>2.8964219013840493</v>
      </c>
      <c r="E59" s="8">
        <f t="shared" si="3"/>
        <v>-5.4999999999999494E-3</v>
      </c>
      <c r="F59" s="61">
        <f>VLOOKUP(B59,'Monthly Returns'!B:D,3,FALSE)</f>
        <v>-3.935619632599674E-2</v>
      </c>
      <c r="G59" s="11">
        <f t="array" ref="G59">PRODUCT(1+$F$6:F59)-1</f>
        <v>0.62569778633301265</v>
      </c>
      <c r="H59" s="13">
        <f t="shared" si="4"/>
        <v>-6.2964606679240975E-2</v>
      </c>
      <c r="I59" s="60">
        <f>VLOOKUP(B59,Appendix!D:F,3,FALSE)</f>
        <v>4.1657121104599071E-5</v>
      </c>
      <c r="J59" s="11"/>
      <c r="K59" s="103"/>
      <c r="L59" s="102"/>
      <c r="M59" s="92"/>
      <c r="N59" s="94"/>
      <c r="P59" s="94">
        <f t="shared" ca="1" si="8"/>
        <v>54</v>
      </c>
      <c r="Q59" s="97">
        <f t="shared" ca="1" si="6"/>
        <v>-1.2472920632837781E-3</v>
      </c>
      <c r="R59" s="97">
        <f t="shared" ca="1" si="7"/>
        <v>-8.3999999999999995E-3</v>
      </c>
      <c r="S59" s="97"/>
      <c r="T59" s="97"/>
    </row>
    <row r="60" spans="1:20" x14ac:dyDescent="0.25">
      <c r="A60"/>
      <c r="B60" s="59">
        <f t="shared" si="2"/>
        <v>41456</v>
      </c>
      <c r="C60" s="98">
        <f>VLOOKUP(B60,'Monthly Returns'!B:D,2,FALSE)</f>
        <v>2.3E-3</v>
      </c>
      <c r="D60" s="8">
        <f t="array" ref="D60">PRODUCT(1+$C$6:C60)-1</f>
        <v>2.9053836717572326</v>
      </c>
      <c r="E60" s="8">
        <f t="shared" si="3"/>
        <v>-3.2126499999999281E-3</v>
      </c>
      <c r="F60" s="61">
        <f>VLOOKUP(B60,'Monthly Returns'!B:D,3,FALSE)</f>
        <v>8.8212657628323754E-3</v>
      </c>
      <c r="G60" s="11">
        <f t="array" ref="G60">PRODUCT(1+$F$6:F60)-1</f>
        <v>0.64003849855630435</v>
      </c>
      <c r="H60" s="13">
        <f t="shared" si="4"/>
        <v>-5.4698768445578416E-2</v>
      </c>
      <c r="I60" s="60">
        <f>VLOOKUP(B60,Appendix!D:F,3,FALSE)</f>
        <v>3.3327223783574667E-5</v>
      </c>
      <c r="J60" s="11"/>
      <c r="K60" s="109" t="s">
        <v>51</v>
      </c>
      <c r="L60" s="24"/>
      <c r="M60" s="24"/>
      <c r="P60" s="94">
        <f t="shared" ca="1" si="8"/>
        <v>55</v>
      </c>
      <c r="Q60" s="97">
        <f t="shared" ca="1" si="6"/>
        <v>-1.7877739331026987E-3</v>
      </c>
      <c r="R60" s="97">
        <f t="shared" ca="1" si="7"/>
        <v>2.1000000000000001E-2</v>
      </c>
      <c r="S60" s="97"/>
      <c r="T60" s="97"/>
    </row>
    <row r="61" spans="1:20" x14ac:dyDescent="0.25">
      <c r="A61"/>
      <c r="B61" s="59">
        <f t="shared" si="2"/>
        <v>41487</v>
      </c>
      <c r="C61" s="98">
        <f>VLOOKUP(B61,'Monthly Returns'!B:D,2,FALSE)</f>
        <v>1.04E-2</v>
      </c>
      <c r="D61" s="8">
        <f t="array" ref="D61">PRODUCT(1+$C$6:C61)-1</f>
        <v>2.9459996619435076</v>
      </c>
      <c r="E61" s="8">
        <f t="shared" si="3"/>
        <v>0</v>
      </c>
      <c r="F61" s="61">
        <f>VLOOKUP(B61,'Monthly Returns'!B:D,3,FALSE)</f>
        <v>-2.2183098591549322E-2</v>
      </c>
      <c r="G61" s="11">
        <f t="array" ref="G61">PRODUCT(1+$F$6:F61)-1</f>
        <v>0.60365736284889326</v>
      </c>
      <c r="H61" s="13">
        <f t="shared" si="4"/>
        <v>-7.5668478863863187E-2</v>
      </c>
      <c r="I61" s="60">
        <f>VLOOKUP(B61,Appendix!D:F,3,FALSE)</f>
        <v>3.3327223783574667E-5</v>
      </c>
      <c r="J61" s="11"/>
      <c r="K61" s="43"/>
      <c r="L61" s="33" t="str">
        <f>C3</f>
        <v>Prudence Enhanced Income</v>
      </c>
      <c r="M61" s="33" t="str">
        <f>F3</f>
        <v>JPEIJACC Index</v>
      </c>
      <c r="P61" s="94">
        <f t="shared" ca="1" si="8"/>
        <v>56</v>
      </c>
      <c r="Q61" s="97">
        <f t="shared" ca="1" si="6"/>
        <v>-1.9858508129576569E-3</v>
      </c>
      <c r="R61" s="97">
        <f t="shared" ca="1" si="7"/>
        <v>1E-4</v>
      </c>
      <c r="S61" s="97"/>
      <c r="T61" s="97"/>
    </row>
    <row r="62" spans="1:20" x14ac:dyDescent="0.25">
      <c r="A62"/>
      <c r="B62" s="59">
        <f t="shared" si="2"/>
        <v>41518</v>
      </c>
      <c r="C62" s="98">
        <f>VLOOKUP(B62,'Monthly Returns'!B:D,2,FALSE)</f>
        <v>2.2700000000000001E-2</v>
      </c>
      <c r="D62" s="8">
        <f t="array" ref="D62">PRODUCT(1+$C$6:C62)-1</f>
        <v>3.0355738542696251</v>
      </c>
      <c r="E62" s="8">
        <f t="shared" si="3"/>
        <v>0</v>
      </c>
      <c r="F62" s="61">
        <f>VLOOKUP(B62,'Monthly Returns'!B:D,3,FALSE)</f>
        <v>2.3166486616252424E-2</v>
      </c>
      <c r="G62" s="11">
        <f t="array" ref="G62">PRODUCT(1+$F$6:F62)-1</f>
        <v>0.64080846968238681</v>
      </c>
      <c r="H62" s="13">
        <f t="shared" si="4"/>
        <v>-5.4254965050482662E-2</v>
      </c>
      <c r="I62" s="60">
        <f>VLOOKUP(B62,Appendix!D:F,3,FALSE)</f>
        <v>1.6665139084048874E-5</v>
      </c>
      <c r="J62" s="11"/>
      <c r="K62" s="38">
        <f t="shared" ref="K62:K71" ca="1" si="11">INDEX(t,MATCH(M62,br,0))</f>
        <v>40787</v>
      </c>
      <c r="L62" s="39">
        <f t="shared" ref="L62:L71" ca="1" si="12">INDEX(fr,MATCH(K62,t,0))</f>
        <v>-5.0799999999999998E-2</v>
      </c>
      <c r="M62" s="18">
        <f t="shared" ref="M62:M71" ca="1" si="13">SMALL(br,N62)</f>
        <v>-5.1111827263938148E-2</v>
      </c>
      <c r="N62" s="44">
        <v>1</v>
      </c>
      <c r="O62" s="44"/>
      <c r="P62" s="94">
        <f t="shared" ca="1" si="8"/>
        <v>57</v>
      </c>
      <c r="Q62" s="97">
        <f t="shared" ca="1" si="6"/>
        <v>-6.762468300929747E-3</v>
      </c>
      <c r="R62" s="97">
        <f t="shared" ca="1" si="7"/>
        <v>4.2099999999999999E-2</v>
      </c>
      <c r="S62" s="97"/>
      <c r="T62" s="97"/>
    </row>
    <row r="63" spans="1:20" x14ac:dyDescent="0.25">
      <c r="A63"/>
      <c r="B63" s="59">
        <f t="shared" si="2"/>
        <v>41548</v>
      </c>
      <c r="C63" s="98">
        <f>VLOOKUP(B63,'Monthly Returns'!B:D,2,FALSE)</f>
        <v>1.67E-2</v>
      </c>
      <c r="D63" s="8">
        <f t="array" ref="D63">PRODUCT(1+$C$6:C63)-1</f>
        <v>3.1029679376359276</v>
      </c>
      <c r="E63" s="8">
        <f t="shared" si="3"/>
        <v>0</v>
      </c>
      <c r="F63" s="61">
        <f>VLOOKUP(B63,'Monthly Returns'!B:D,3,FALSE)</f>
        <v>2.4812294697325266E-2</v>
      </c>
      <c r="G63" s="11">
        <f t="array" ref="G63">PRODUCT(1+$F$6:F63)-1</f>
        <v>0.68152069297401341</v>
      </c>
      <c r="H63" s="13">
        <f t="shared" si="4"/>
        <v>-3.0788860534783025E-2</v>
      </c>
      <c r="I63" s="60">
        <f>VLOOKUP(B63,Appendix!D:F,3,FALSE)</f>
        <v>4.1657121104599071E-5</v>
      </c>
      <c r="J63" s="11"/>
      <c r="K63" s="59">
        <f t="shared" ca="1" si="11"/>
        <v>41426</v>
      </c>
      <c r="L63" s="60">
        <f t="shared" ca="1" si="12"/>
        <v>-5.4999999999999997E-3</v>
      </c>
      <c r="M63" s="60">
        <f t="shared" ca="1" si="13"/>
        <v>-3.935619632599674E-2</v>
      </c>
      <c r="N63" s="44">
        <v>2</v>
      </c>
      <c r="O63" s="44"/>
      <c r="P63" s="94">
        <f t="shared" ca="1" si="8"/>
        <v>58</v>
      </c>
      <c r="Q63" s="97">
        <f t="shared" ca="1" si="6"/>
        <v>-6.8163880318578007E-3</v>
      </c>
      <c r="R63" s="97">
        <f t="shared" ca="1" si="7"/>
        <v>-9.4000000000000004E-3</v>
      </c>
      <c r="S63" s="97"/>
      <c r="T63" s="97"/>
    </row>
    <row r="64" spans="1:20" x14ac:dyDescent="0.25">
      <c r="A64"/>
      <c r="B64" s="59">
        <f t="shared" si="2"/>
        <v>41579</v>
      </c>
      <c r="C64" s="98">
        <f>VLOOKUP(B64,'Monthly Returns'!B:D,2,FALSE)</f>
        <v>4.3E-3</v>
      </c>
      <c r="D64" s="8">
        <f t="array" ref="D64">PRODUCT(1+$C$6:C64)-1</f>
        <v>3.1206106997677621</v>
      </c>
      <c r="E64" s="8">
        <f t="shared" si="3"/>
        <v>0</v>
      </c>
      <c r="F64" s="61">
        <f>VLOOKUP(B64,'Monthly Returns'!B:D,3,FALSE)</f>
        <v>-7.4981397744834366E-3</v>
      </c>
      <c r="G64" s="11">
        <f t="array" ref="G64">PRODUCT(1+$F$6:F64)-1</f>
        <v>0.66891241578440797</v>
      </c>
      <c r="H64" s="13">
        <f t="shared" si="4"/>
        <v>-3.8056141129479526E-2</v>
      </c>
      <c r="I64" s="60">
        <f>VLOOKUP(B64,Appendix!D:F,3,FALSE)</f>
        <v>5.8314626421251958E-5</v>
      </c>
      <c r="J64" s="11"/>
      <c r="K64" s="59">
        <f t="shared" ca="1" si="11"/>
        <v>41395</v>
      </c>
      <c r="L64" s="60">
        <f t="shared" ca="1" si="12"/>
        <v>1.3899999999999999E-2</v>
      </c>
      <c r="M64" s="60">
        <f t="shared" ca="1" si="13"/>
        <v>-2.4575613003439356E-2</v>
      </c>
      <c r="N64" s="44">
        <v>3</v>
      </c>
      <c r="O64" s="44"/>
      <c r="P64" s="94">
        <f t="shared" ca="1" si="8"/>
        <v>59</v>
      </c>
      <c r="Q64" s="97">
        <f t="shared" ca="1" si="6"/>
        <v>-6.8349753694582072E-3</v>
      </c>
      <c r="R64" s="97">
        <f t="shared" ca="1" si="7"/>
        <v>-3.0000000000000001E-3</v>
      </c>
      <c r="S64" s="97"/>
      <c r="T64" s="97"/>
    </row>
    <row r="65" spans="1:20" x14ac:dyDescent="0.25">
      <c r="A65"/>
      <c r="B65" s="59">
        <f t="shared" si="2"/>
        <v>41609</v>
      </c>
      <c r="C65" s="98">
        <f>VLOOKUP(B65,'Monthly Returns'!B:D,2,FALSE)</f>
        <v>2.1000000000000001E-2</v>
      </c>
      <c r="D65" s="8">
        <f t="array" ref="D65">PRODUCT(1+$C$6:C65)-1</f>
        <v>3.207143524462885</v>
      </c>
      <c r="E65" s="8">
        <f t="shared" si="3"/>
        <v>0</v>
      </c>
      <c r="F65" s="61">
        <f>VLOOKUP(B65,'Monthly Returns'!B:D,3,FALSE)</f>
        <v>-1.7877739331026987E-3</v>
      </c>
      <c r="G65" s="11">
        <f t="array" ref="G65">PRODUCT(1+$F$6:F65)-1</f>
        <v>0.66592877767083714</v>
      </c>
      <c r="H65" s="13">
        <f t="shared" si="4"/>
        <v>-3.9775879285476434E-2</v>
      </c>
      <c r="I65" s="60">
        <f>VLOOKUP(B65,Appendix!D:F,3,FALSE)</f>
        <v>5.8314626421251958E-5</v>
      </c>
      <c r="J65" s="11"/>
      <c r="K65" s="59">
        <f t="shared" ca="1" si="11"/>
        <v>41487</v>
      </c>
      <c r="L65" s="60">
        <f t="shared" ca="1" si="12"/>
        <v>1.04E-2</v>
      </c>
      <c r="M65" s="60">
        <f t="shared" ca="1" si="13"/>
        <v>-2.2183098591549322E-2</v>
      </c>
      <c r="N65" s="44">
        <v>4</v>
      </c>
      <c r="O65" s="44"/>
      <c r="P65" s="94">
        <f t="shared" ca="1" si="8"/>
        <v>60</v>
      </c>
      <c r="Q65" s="97">
        <f t="shared" ca="1" si="6"/>
        <v>-7.4981397744834366E-3</v>
      </c>
      <c r="R65" s="97">
        <f t="shared" ca="1" si="7"/>
        <v>4.3E-3</v>
      </c>
      <c r="S65" s="97"/>
      <c r="T65" s="97"/>
    </row>
    <row r="66" spans="1:20" x14ac:dyDescent="0.25">
      <c r="A66"/>
      <c r="B66" s="59">
        <f t="shared" si="2"/>
        <v>41640</v>
      </c>
      <c r="C66" s="98">
        <f>VLOOKUP(B66,'Monthly Returns'!B:D,2,FALSE)</f>
        <v>7.2099999999999997E-2</v>
      </c>
      <c r="D66" s="8">
        <f t="array" ref="D66">PRODUCT(1+$C$6:C66)-1</f>
        <v>3.510478572576659</v>
      </c>
      <c r="E66" s="8">
        <f t="shared" si="3"/>
        <v>0</v>
      </c>
      <c r="F66" s="61">
        <f>VLOOKUP(B66,'Monthly Returns'!B:D,3,FALSE)</f>
        <v>8.897105552024831E-3</v>
      </c>
      <c r="G66" s="11">
        <f t="array" ref="G66">PRODUCT(1+$F$6:F66)-1</f>
        <v>0.68075072184793028</v>
      </c>
      <c r="H66" s="13">
        <f t="shared" si="4"/>
        <v>-3.1232663929879112E-2</v>
      </c>
      <c r="I66" s="60">
        <f>VLOOKUP(B66,Appendix!D:F,3,FALSE)</f>
        <v>3.3327223783574667E-5</v>
      </c>
      <c r="J66" s="11"/>
      <c r="K66" s="59">
        <f t="shared" ca="1" si="11"/>
        <v>40483</v>
      </c>
      <c r="L66" s="60">
        <f t="shared" ca="1" si="12"/>
        <v>2.12E-2</v>
      </c>
      <c r="M66" s="60">
        <f t="shared" ca="1" si="13"/>
        <v>-1.4599022327916544E-2</v>
      </c>
      <c r="N66" s="44">
        <v>5</v>
      </c>
      <c r="O66" s="44"/>
      <c r="P66" s="94">
        <f t="shared" ca="1" si="8"/>
        <v>61</v>
      </c>
      <c r="Q66" s="97">
        <f t="shared" ca="1" si="6"/>
        <v>-8.998511037741852E-3</v>
      </c>
      <c r="R66" s="97">
        <f t="shared" ca="1" si="7"/>
        <v>-2.7E-2</v>
      </c>
      <c r="S66" s="97"/>
      <c r="T66" s="97"/>
    </row>
    <row r="67" spans="1:20" x14ac:dyDescent="0.25">
      <c r="A67"/>
      <c r="B67" s="59">
        <f t="shared" si="2"/>
        <v>41671</v>
      </c>
      <c r="C67" s="98">
        <f>VLOOKUP(B67,'Monthly Returns'!B:D,2,FALSE)</f>
        <v>1.8200000000000001E-2</v>
      </c>
      <c r="D67" s="8">
        <f t="array" ref="D67">PRODUCT(1+$C$6:C67)-1</f>
        <v>3.5925692825975544</v>
      </c>
      <c r="E67" s="8">
        <f t="shared" si="3"/>
        <v>0</v>
      </c>
      <c r="F67" s="61">
        <f>VLOOKUP(B67,'Monthly Returns'!B:D,3,FALSE)</f>
        <v>1.8209929565366823E-2</v>
      </c>
      <c r="G67" s="11">
        <f t="array" ref="G67">PRODUCT(1+$F$6:F67)-1</f>
        <v>0.7113570741097206</v>
      </c>
      <c r="H67" s="13">
        <f t="shared" si="4"/>
        <v>-1.3591478974814164E-2</v>
      </c>
      <c r="I67" s="60">
        <f>VLOOKUP(B67,Appendix!D:F,3,FALSE)</f>
        <v>4.1657121104599071E-5</v>
      </c>
      <c r="J67" s="11"/>
      <c r="K67" s="59">
        <f t="shared" ca="1" si="11"/>
        <v>40513</v>
      </c>
      <c r="L67" s="60">
        <f t="shared" ca="1" si="12"/>
        <v>1.7899999999999999E-2</v>
      </c>
      <c r="M67" s="60">
        <f t="shared" ca="1" si="13"/>
        <v>-9.1171147013473508E-3</v>
      </c>
      <c r="N67" s="44">
        <v>6</v>
      </c>
      <c r="O67" s="44"/>
      <c r="P67" s="94">
        <f t="shared" ca="1" si="8"/>
        <v>62</v>
      </c>
      <c r="Q67" s="97">
        <f t="shared" ca="1" si="6"/>
        <v>-9.1171147013473508E-3</v>
      </c>
      <c r="R67" s="97">
        <f t="shared" ca="1" si="7"/>
        <v>1.7899999999999999E-2</v>
      </c>
      <c r="S67" s="97"/>
      <c r="T67" s="97"/>
    </row>
    <row r="68" spans="1:20" x14ac:dyDescent="0.25">
      <c r="A68"/>
      <c r="B68" s="59">
        <f t="shared" si="2"/>
        <v>41699</v>
      </c>
      <c r="C68" s="98">
        <f>VLOOKUP(B68,'Monthly Returns'!B:D,2,FALSE)</f>
        <v>-1.9E-2</v>
      </c>
      <c r="D68" s="8">
        <f t="array" ref="D68">PRODUCT(1+$C$6:C68)-1</f>
        <v>3.5053104662282006</v>
      </c>
      <c r="E68" s="8">
        <f t="shared" si="3"/>
        <v>-1.9000000000000017E-2</v>
      </c>
      <c r="F68" s="61">
        <f>VLOOKUP(B68,'Monthly Returns'!B:D,3,FALSE)</f>
        <v>6.3550981384623562E-3</v>
      </c>
      <c r="G68" s="11">
        <f t="array" ref="G68">PRODUCT(1+$F$6:F68)-1</f>
        <v>0.72223291626563957</v>
      </c>
      <c r="H68" s="13">
        <f t="shared" si="4"/>
        <v>-7.3227560190836094E-3</v>
      </c>
      <c r="I68" s="60">
        <f>VLOOKUP(B68,Appendix!D:F,3,FALSE)</f>
        <v>4.1657121104599071E-5</v>
      </c>
      <c r="J68" s="11"/>
      <c r="K68" s="59">
        <f t="shared" ca="1" si="11"/>
        <v>40848</v>
      </c>
      <c r="L68" s="60">
        <f t="shared" ca="1" si="12"/>
        <v>-2.7E-2</v>
      </c>
      <c r="M68" s="60">
        <f t="shared" ca="1" si="13"/>
        <v>-8.998511037741852E-3</v>
      </c>
      <c r="N68" s="44">
        <v>7</v>
      </c>
      <c r="O68" s="44"/>
      <c r="P68" s="94">
        <f t="shared" ca="1" si="8"/>
        <v>63</v>
      </c>
      <c r="Q68" s="97">
        <f t="shared" ca="1" si="6"/>
        <v>-1.4599022327916544E-2</v>
      </c>
      <c r="R68" s="97">
        <f t="shared" ca="1" si="7"/>
        <v>2.12E-2</v>
      </c>
      <c r="S68" s="97"/>
      <c r="T68" s="97"/>
    </row>
    <row r="69" spans="1:20" x14ac:dyDescent="0.25">
      <c r="A69"/>
      <c r="B69" s="59">
        <f t="shared" si="2"/>
        <v>41730</v>
      </c>
      <c r="C69" s="98">
        <f>VLOOKUP(B69,'Monthly Returns'!B:D,2,FALSE)</f>
        <v>-1.0999999999999999E-2</v>
      </c>
      <c r="D69" s="8">
        <f t="array" ref="D69">PRODUCT(1+$C$6:C69)-1</f>
        <v>3.4557520510996902</v>
      </c>
      <c r="E69" s="8">
        <f t="shared" si="3"/>
        <v>-2.9791000000000012E-2</v>
      </c>
      <c r="F69" s="61">
        <f>VLOOKUP(B69,'Monthly Returns'!B:D,3,FALSE)</f>
        <v>7.0973510673968399E-3</v>
      </c>
      <c r="G69" s="11">
        <f t="array" ref="G69">PRODUCT(1+$F$6:F69)-1</f>
        <v>0.73445620789220345</v>
      </c>
      <c r="H69" s="13">
        <f t="shared" si="4"/>
        <v>-2.7737712193509623E-4</v>
      </c>
      <c r="I69" s="60">
        <f>VLOOKUP(B69,Appendix!D:F,3,FALSE)</f>
        <v>2.4996563158685703E-5</v>
      </c>
      <c r="J69" s="11"/>
      <c r="K69" s="59">
        <f t="shared" ca="1" si="11"/>
        <v>41579</v>
      </c>
      <c r="L69" s="60">
        <f t="shared" ca="1" si="12"/>
        <v>4.3E-3</v>
      </c>
      <c r="M69" s="60">
        <f t="shared" ca="1" si="13"/>
        <v>-7.4981397744834366E-3</v>
      </c>
      <c r="N69" s="44">
        <v>8</v>
      </c>
      <c r="O69" s="44"/>
      <c r="P69" s="94">
        <f t="shared" ca="1" si="8"/>
        <v>64</v>
      </c>
      <c r="Q69" s="97">
        <f t="shared" ca="1" si="6"/>
        <v>-2.2183098591549322E-2</v>
      </c>
      <c r="R69" s="97">
        <f t="shared" ca="1" si="7"/>
        <v>1.04E-2</v>
      </c>
      <c r="S69" s="97"/>
      <c r="T69" s="97"/>
    </row>
    <row r="70" spans="1:20" x14ac:dyDescent="0.25">
      <c r="A70"/>
      <c r="B70" s="59">
        <f t="shared" si="2"/>
        <v>41760</v>
      </c>
      <c r="C70" s="98">
        <f>VLOOKUP(B70,'Monthly Returns'!B:D,2,FALSE)</f>
        <v>4.1000000000000003E-3</v>
      </c>
      <c r="D70" s="8">
        <f t="array" ref="D70">PRODUCT(1+$C$6:C70)-1</f>
        <v>3.4740206345091993</v>
      </c>
      <c r="E70" s="8">
        <f t="shared" si="3"/>
        <v>-2.5813143100000047E-2</v>
      </c>
      <c r="F70" s="61">
        <f>VLOOKUP(B70,'Monthly Returns'!B:D,3,FALSE)</f>
        <v>2.2973197935741485E-2</v>
      </c>
      <c r="G70" s="11">
        <f t="array" ref="G70">PRODUCT(1+$F$6:F70)-1</f>
        <v>0.77430221366698659</v>
      </c>
      <c r="H70" s="13">
        <f t="shared" si="4"/>
        <v>0</v>
      </c>
      <c r="I70" s="60">
        <f>VLOOKUP(B70,Appendix!D:F,3,FALSE)</f>
        <v>2.4996563158685703E-5</v>
      </c>
      <c r="J70" s="11"/>
      <c r="K70" s="59">
        <f t="shared" ca="1" si="11"/>
        <v>41030</v>
      </c>
      <c r="L70" s="60">
        <f t="shared" ca="1" si="12"/>
        <v>-3.0000000000000001E-3</v>
      </c>
      <c r="M70" s="60">
        <f t="shared" ca="1" si="13"/>
        <v>-6.8349753694582072E-3</v>
      </c>
      <c r="N70" s="44">
        <v>9</v>
      </c>
      <c r="O70" s="44"/>
      <c r="P70" s="94">
        <f t="shared" ca="1" si="8"/>
        <v>65</v>
      </c>
      <c r="Q70" s="97">
        <f t="shared" ref="Q70:Q72" ca="1" si="14">LARGE(br,P70)</f>
        <v>-2.4575613003439356E-2</v>
      </c>
      <c r="R70" s="97">
        <f t="shared" ref="R70:R72" ca="1" si="15">INDEX(fr,MATCH(Q70,br,0))</f>
        <v>1.3899999999999999E-2</v>
      </c>
      <c r="S70" s="97"/>
      <c r="T70" s="97"/>
    </row>
    <row r="71" spans="1:20" x14ac:dyDescent="0.25">
      <c r="A71"/>
      <c r="B71" s="59">
        <f t="shared" ref="B71:B72" si="16">IF(B70&lt;$E$1,EOMONTH(B70,0)+1,"")</f>
        <v>41791</v>
      </c>
      <c r="C71" s="98">
        <f>VLOOKUP(B71,'Monthly Returns'!B:D,2,FALSE)</f>
        <v>7.4999999999999997E-3</v>
      </c>
      <c r="D71" s="8">
        <f t="array" ref="D71">PRODUCT(1+$C$6:C71)-1</f>
        <v>3.5075757892680182</v>
      </c>
      <c r="E71" s="8">
        <f t="shared" ref="E71:E72" si="17">IF($B$6=B71,MIN(0,C71),MIN(0,(1+E70)*(1+C71)-1))</f>
        <v>-1.8506741673249949E-2</v>
      </c>
      <c r="F71" s="61">
        <f>VLOOKUP(B71,'Monthly Returns'!B:D,3,FALSE)</f>
        <v>1.3018714401953346E-3</v>
      </c>
      <c r="G71" s="11">
        <f t="array" ref="G71">PRODUCT(1+$F$6:F71)-1</f>
        <v>0.77661212704523508</v>
      </c>
      <c r="H71" s="13">
        <f t="shared" ref="H71:H72" si="18">IF($B$6=B71,MIN(0,F71),MIN(0,(1+H70)*(1+F71)-1))</f>
        <v>0</v>
      </c>
      <c r="I71" s="60">
        <f>VLOOKUP(B71,Appendix!D:F,3,FALSE)</f>
        <v>3.3327223783574667E-5</v>
      </c>
      <c r="J71" s="11"/>
      <c r="K71" s="59">
        <f t="shared" ca="1" si="11"/>
        <v>40299</v>
      </c>
      <c r="L71" s="60">
        <f t="shared" ca="1" si="12"/>
        <v>-9.4000000000000004E-3</v>
      </c>
      <c r="M71" s="60">
        <f t="shared" ca="1" si="13"/>
        <v>-6.8163880318578007E-3</v>
      </c>
      <c r="N71" s="44">
        <v>10</v>
      </c>
      <c r="O71" s="44"/>
      <c r="P71" s="94">
        <f t="shared" ref="P71:P102" ca="1" si="19">IF(P70&lt;COUNT(br),P70+1,"")</f>
        <v>66</v>
      </c>
      <c r="Q71" s="97">
        <f t="shared" ca="1" si="14"/>
        <v>-3.935619632599674E-2</v>
      </c>
      <c r="R71" s="97">
        <f t="shared" ca="1" si="15"/>
        <v>-5.4999999999999997E-3</v>
      </c>
      <c r="S71" s="97"/>
      <c r="T71" s="97"/>
    </row>
    <row r="72" spans="1:20" x14ac:dyDescent="0.25">
      <c r="A72"/>
      <c r="B72" s="59">
        <f t="shared" si="16"/>
        <v>41821</v>
      </c>
      <c r="C72" s="98">
        <f>VLOOKUP(B72,'Monthly Returns'!B:D,2,FALSE)</f>
        <v>1.2999999999999999E-2</v>
      </c>
      <c r="D72" s="8">
        <f t="array" ref="D72">PRODUCT(1+$C$6:C72)-1</f>
        <v>3.5661742745285023</v>
      </c>
      <c r="E72" s="8">
        <f t="shared" si="17"/>
        <v>-5.7473293150023252E-3</v>
      </c>
      <c r="F72" s="61">
        <f>VLOOKUP(B72,'Monthly Returns'!B:D,3,FALSE)</f>
        <v>7.2593314914133344E-3</v>
      </c>
      <c r="G72" s="11">
        <f t="array" ref="G72">PRODUCT(1+$F$6:F72)-1</f>
        <v>0.78950914340712131</v>
      </c>
      <c r="H72" s="13">
        <f t="shared" si="18"/>
        <v>0</v>
      </c>
      <c r="I72" s="60">
        <f>VLOOKUP(B72,Appendix!D:F,3,FALSE)</f>
        <v>2.4996563158685703E-5</v>
      </c>
      <c r="J72" s="11"/>
      <c r="K72" s="15"/>
      <c r="L72" s="15"/>
      <c r="M72" s="16"/>
      <c r="P72" s="94">
        <f t="shared" ca="1" si="19"/>
        <v>67</v>
      </c>
      <c r="Q72" s="97">
        <f t="shared" ca="1" si="14"/>
        <v>-5.1111827263938148E-2</v>
      </c>
      <c r="R72" s="97">
        <f t="shared" ca="1" si="15"/>
        <v>-5.0799999999999998E-2</v>
      </c>
      <c r="S72" s="97"/>
      <c r="T72" s="97"/>
    </row>
    <row r="73" spans="1:20" x14ac:dyDescent="0.25">
      <c r="A73"/>
      <c r="B73" s="59"/>
      <c r="C73" s="98"/>
      <c r="D73" s="8"/>
      <c r="E73" s="8"/>
      <c r="F73" s="61"/>
      <c r="G73" s="11"/>
      <c r="H73" s="13"/>
      <c r="I73" s="60"/>
      <c r="J73" s="11"/>
      <c r="K73" s="109" t="s">
        <v>39</v>
      </c>
      <c r="L73" s="15"/>
      <c r="M73" s="16"/>
      <c r="P73" s="94" t="str">
        <f t="shared" ca="1" si="19"/>
        <v/>
      </c>
      <c r="Q73" s="97"/>
      <c r="R73" s="97"/>
      <c r="S73" s="97"/>
      <c r="T73" s="97"/>
    </row>
    <row r="74" spans="1:20" x14ac:dyDescent="0.25">
      <c r="A74"/>
      <c r="B74" s="59"/>
      <c r="C74" s="98"/>
      <c r="D74" s="8"/>
      <c r="E74" s="8"/>
      <c r="F74" s="61"/>
      <c r="G74" s="11"/>
      <c r="H74" s="13"/>
      <c r="I74" s="60"/>
      <c r="J74" s="11"/>
      <c r="K74" s="43"/>
      <c r="L74" s="33" t="str">
        <f>C3</f>
        <v>Prudence Enhanced Income</v>
      </c>
      <c r="M74" s="33" t="str">
        <f>F3</f>
        <v>JPEIJACC Index</v>
      </c>
      <c r="P74" s="94" t="str">
        <f t="shared" ca="1" si="19"/>
        <v/>
      </c>
      <c r="Q74" s="97"/>
      <c r="R74" s="97"/>
      <c r="S74" s="97"/>
      <c r="T74" s="97"/>
    </row>
    <row r="75" spans="1:20" x14ac:dyDescent="0.25">
      <c r="A75"/>
      <c r="B75" s="59"/>
      <c r="C75" s="98"/>
      <c r="D75" s="8"/>
      <c r="E75" s="8"/>
      <c r="F75" s="61"/>
      <c r="G75" s="11"/>
      <c r="H75" s="13"/>
      <c r="I75" s="60"/>
      <c r="J75" s="11"/>
      <c r="K75" s="17">
        <f t="shared" ref="K75:K84" ca="1" si="20">INDEX(t,MATCH(L75,fr,0))</f>
        <v>40787</v>
      </c>
      <c r="L75" s="18">
        <f t="shared" ref="L75:L84" ca="1" si="21">SMALL(fr,N75)</f>
        <v>-5.0799999999999998E-2</v>
      </c>
      <c r="M75" s="18">
        <f t="shared" ref="M75:M84" ca="1" si="22">INDEX(br,MATCH(K75,t,0))</f>
        <v>-5.1111827263938148E-2</v>
      </c>
      <c r="N75" s="44">
        <v>1</v>
      </c>
      <c r="O75" s="44"/>
      <c r="P75" s="94" t="str">
        <f t="shared" ca="1" si="19"/>
        <v/>
      </c>
      <c r="Q75" s="97"/>
      <c r="R75" s="97"/>
      <c r="S75" s="97"/>
      <c r="T75" s="97"/>
    </row>
    <row r="76" spans="1:20" x14ac:dyDescent="0.25">
      <c r="A76"/>
      <c r="B76" s="59"/>
      <c r="C76" s="98"/>
      <c r="D76" s="8"/>
      <c r="E76" s="8"/>
      <c r="F76" s="61"/>
      <c r="G76" s="11"/>
      <c r="H76" s="13"/>
      <c r="I76" s="60"/>
      <c r="J76" s="11"/>
      <c r="K76" s="59">
        <f t="shared" ca="1" si="20"/>
        <v>40848</v>
      </c>
      <c r="L76" s="60">
        <f t="shared" ca="1" si="21"/>
        <v>-2.7E-2</v>
      </c>
      <c r="M76" s="60">
        <f t="shared" ca="1" si="22"/>
        <v>-8.998511037741852E-3</v>
      </c>
      <c r="N76" s="44">
        <v>2</v>
      </c>
      <c r="O76" s="44"/>
      <c r="P76" s="94" t="str">
        <f t="shared" ca="1" si="19"/>
        <v/>
      </c>
      <c r="Q76" s="97"/>
      <c r="R76" s="97"/>
      <c r="S76" s="97"/>
      <c r="T76" s="97"/>
    </row>
    <row r="77" spans="1:20" x14ac:dyDescent="0.25">
      <c r="A77"/>
      <c r="B77" s="59"/>
      <c r="C77" s="98"/>
      <c r="D77" s="8"/>
      <c r="E77" s="8"/>
      <c r="F77" s="61"/>
      <c r="G77" s="11"/>
      <c r="H77" s="13"/>
      <c r="I77" s="60"/>
      <c r="J77" s="11"/>
      <c r="K77" s="59">
        <f t="shared" ca="1" si="20"/>
        <v>40756</v>
      </c>
      <c r="L77" s="60">
        <f t="shared" ca="1" si="21"/>
        <v>-1.9400000000000001E-2</v>
      </c>
      <c r="M77" s="60">
        <f t="shared" ca="1" si="22"/>
        <v>-5.1536429813814344E-4</v>
      </c>
      <c r="N77" s="44">
        <v>3</v>
      </c>
      <c r="O77" s="44"/>
      <c r="P77" s="94" t="str">
        <f t="shared" ca="1" si="19"/>
        <v/>
      </c>
      <c r="Q77" s="97"/>
      <c r="R77" s="97"/>
      <c r="S77" s="97"/>
      <c r="T77" s="97"/>
    </row>
    <row r="78" spans="1:20" x14ac:dyDescent="0.25">
      <c r="A78"/>
      <c r="B78" s="59"/>
      <c r="C78" s="98"/>
      <c r="D78" s="8"/>
      <c r="E78" s="8"/>
      <c r="F78" s="61"/>
      <c r="G78" s="11"/>
      <c r="H78" s="13"/>
      <c r="I78" s="60"/>
      <c r="J78" s="11"/>
      <c r="K78" s="59">
        <f t="shared" ca="1" si="20"/>
        <v>41699</v>
      </c>
      <c r="L78" s="60">
        <f t="shared" ca="1" si="21"/>
        <v>-1.9E-2</v>
      </c>
      <c r="M78" s="60">
        <f t="shared" ca="1" si="22"/>
        <v>6.3550981384623562E-3</v>
      </c>
      <c r="N78" s="44">
        <v>4</v>
      </c>
      <c r="O78" s="44"/>
      <c r="P78" s="94" t="str">
        <f t="shared" ca="1" si="19"/>
        <v/>
      </c>
      <c r="Q78" s="97"/>
      <c r="R78" s="97"/>
      <c r="S78" s="97"/>
      <c r="T78" s="97"/>
    </row>
    <row r="79" spans="1:20" x14ac:dyDescent="0.25">
      <c r="A79"/>
      <c r="B79" s="59"/>
      <c r="C79" s="98"/>
      <c r="D79" s="8"/>
      <c r="E79" s="8"/>
      <c r="F79" s="61"/>
      <c r="G79" s="11"/>
      <c r="H79" s="13"/>
      <c r="I79" s="60"/>
      <c r="J79" s="11"/>
      <c r="K79" s="59">
        <f t="shared" ca="1" si="20"/>
        <v>40664</v>
      </c>
      <c r="L79" s="60">
        <f t="shared" ca="1" si="21"/>
        <v>-1.15E-2</v>
      </c>
      <c r="M79" s="60">
        <f t="shared" ca="1" si="22"/>
        <v>9.8110705999339132E-3</v>
      </c>
      <c r="N79" s="44">
        <v>5</v>
      </c>
      <c r="O79" s="44"/>
      <c r="P79" s="94" t="str">
        <f t="shared" ca="1" si="19"/>
        <v/>
      </c>
      <c r="Q79" s="97"/>
      <c r="R79" s="97"/>
      <c r="S79" s="97"/>
      <c r="T79" s="97"/>
    </row>
    <row r="80" spans="1:20" x14ac:dyDescent="0.25">
      <c r="A80"/>
      <c r="B80" s="59"/>
      <c r="C80" s="98"/>
      <c r="D80" s="8"/>
      <c r="E80" s="8"/>
      <c r="F80" s="61"/>
      <c r="G80" s="11"/>
      <c r="H80" s="13"/>
      <c r="I80" s="60"/>
      <c r="J80" s="11"/>
      <c r="K80" s="59">
        <f t="shared" ca="1" si="20"/>
        <v>41730</v>
      </c>
      <c r="L80" s="60">
        <f t="shared" ca="1" si="21"/>
        <v>-1.0999999999999999E-2</v>
      </c>
      <c r="M80" s="60">
        <f t="shared" ca="1" si="22"/>
        <v>7.0973510673968399E-3</v>
      </c>
      <c r="N80" s="44">
        <v>6</v>
      </c>
      <c r="O80" s="44"/>
      <c r="P80" s="94" t="str">
        <f t="shared" ca="1" si="19"/>
        <v/>
      </c>
      <c r="Q80" s="97"/>
      <c r="R80" s="97"/>
      <c r="S80" s="97"/>
      <c r="T80" s="97"/>
    </row>
    <row r="81" spans="1:20" x14ac:dyDescent="0.25">
      <c r="A81"/>
      <c r="B81" s="59"/>
      <c r="C81" s="98"/>
      <c r="D81" s="8"/>
      <c r="E81" s="8"/>
      <c r="F81" s="61"/>
      <c r="G81" s="11"/>
      <c r="H81" s="13"/>
      <c r="I81" s="60"/>
      <c r="J81" s="11"/>
      <c r="K81" s="59">
        <f t="shared" ca="1" si="20"/>
        <v>40299</v>
      </c>
      <c r="L81" s="60">
        <f t="shared" ca="1" si="21"/>
        <v>-9.4000000000000004E-3</v>
      </c>
      <c r="M81" s="60">
        <f t="shared" ca="1" si="22"/>
        <v>-6.8163880318578007E-3</v>
      </c>
      <c r="N81" s="44">
        <v>7</v>
      </c>
      <c r="O81" s="44"/>
      <c r="P81" s="94" t="str">
        <f t="shared" ca="1" si="19"/>
        <v/>
      </c>
      <c r="Q81" s="97"/>
      <c r="R81" s="97"/>
      <c r="S81" s="97"/>
      <c r="T81" s="97"/>
    </row>
    <row r="82" spans="1:20" x14ac:dyDescent="0.25">
      <c r="A82"/>
      <c r="B82" s="59"/>
      <c r="C82" s="98"/>
      <c r="D82" s="8"/>
      <c r="E82" s="8"/>
      <c r="F82" s="61"/>
      <c r="G82" s="11"/>
      <c r="H82" s="13"/>
      <c r="I82" s="60"/>
      <c r="J82" s="11"/>
      <c r="K82" s="59">
        <f t="shared" ca="1" si="20"/>
        <v>40695</v>
      </c>
      <c r="L82" s="60">
        <f t="shared" ca="1" si="21"/>
        <v>-8.3999999999999995E-3</v>
      </c>
      <c r="M82" s="60">
        <f t="shared" ca="1" si="22"/>
        <v>-1.2472920632837781E-3</v>
      </c>
      <c r="N82" s="44">
        <v>8</v>
      </c>
      <c r="O82" s="44"/>
      <c r="P82" s="94" t="str">
        <f t="shared" ca="1" si="19"/>
        <v/>
      </c>
      <c r="Q82" s="97"/>
      <c r="R82" s="97"/>
      <c r="S82" s="97"/>
      <c r="T82" s="97"/>
    </row>
    <row r="83" spans="1:20" x14ac:dyDescent="0.25">
      <c r="A83"/>
      <c r="B83" s="59"/>
      <c r="C83" s="98"/>
      <c r="D83" s="8"/>
      <c r="E83" s="8"/>
      <c r="F83" s="61"/>
      <c r="G83" s="11"/>
      <c r="H83" s="13"/>
      <c r="I83" s="60"/>
      <c r="J83" s="11"/>
      <c r="K83" s="59">
        <f t="shared" ca="1" si="20"/>
        <v>41426</v>
      </c>
      <c r="L83" s="60">
        <f t="shared" ca="1" si="21"/>
        <v>-5.4999999999999997E-3</v>
      </c>
      <c r="M83" s="60">
        <f t="shared" ca="1" si="22"/>
        <v>-3.935619632599674E-2</v>
      </c>
      <c r="N83" s="44">
        <v>9</v>
      </c>
      <c r="O83" s="44"/>
      <c r="P83" s="94" t="str">
        <f t="shared" ca="1" si="19"/>
        <v/>
      </c>
      <c r="Q83" s="97"/>
      <c r="R83" s="97"/>
      <c r="S83" s="97"/>
      <c r="T83" s="97"/>
    </row>
    <row r="84" spans="1:20" x14ac:dyDescent="0.25">
      <c r="A84"/>
      <c r="B84" s="59"/>
      <c r="C84" s="98"/>
      <c r="D84" s="8"/>
      <c r="E84" s="8"/>
      <c r="F84" s="61"/>
      <c r="G84" s="11"/>
      <c r="H84" s="13"/>
      <c r="I84" s="60"/>
      <c r="J84" s="11"/>
      <c r="K84" s="59">
        <f t="shared" ca="1" si="20"/>
        <v>40725</v>
      </c>
      <c r="L84" s="60">
        <f t="shared" ca="1" si="21"/>
        <v>-4.1000000000000003E-3</v>
      </c>
      <c r="M84" s="60">
        <f t="shared" ca="1" si="22"/>
        <v>2.0310240567898097E-2</v>
      </c>
      <c r="N84" s="44">
        <v>10</v>
      </c>
      <c r="O84" s="44"/>
      <c r="P84" s="94" t="str">
        <f t="shared" ca="1" si="19"/>
        <v/>
      </c>
      <c r="Q84" s="97"/>
      <c r="R84" s="97"/>
      <c r="S84" s="97"/>
      <c r="T84" s="97"/>
    </row>
    <row r="85" spans="1:20" x14ac:dyDescent="0.25">
      <c r="A85"/>
      <c r="B85" s="59"/>
      <c r="C85" s="98"/>
      <c r="D85" s="8"/>
      <c r="E85" s="8"/>
      <c r="F85" s="61"/>
      <c r="G85" s="11"/>
      <c r="H85" s="13"/>
      <c r="I85" s="60"/>
      <c r="J85" s="11"/>
      <c r="K85" s="15"/>
      <c r="L85" s="15"/>
      <c r="M85" s="16"/>
      <c r="P85" s="94" t="str">
        <f t="shared" ca="1" si="19"/>
        <v/>
      </c>
      <c r="Q85" s="97"/>
      <c r="R85" s="97"/>
      <c r="S85" s="97"/>
      <c r="T85" s="97"/>
    </row>
    <row r="86" spans="1:20" x14ac:dyDescent="0.25">
      <c r="A86"/>
      <c r="B86" s="59"/>
      <c r="C86" s="98"/>
      <c r="D86" s="8"/>
      <c r="E86" s="8"/>
      <c r="F86" s="61"/>
      <c r="G86" s="11"/>
      <c r="H86" s="13"/>
      <c r="I86" s="60"/>
      <c r="J86" s="11"/>
      <c r="K86" s="109" t="s">
        <v>40</v>
      </c>
      <c r="L86" s="15"/>
      <c r="M86" s="16"/>
      <c r="P86" s="94" t="str">
        <f t="shared" ca="1" si="19"/>
        <v/>
      </c>
      <c r="Q86" s="97"/>
      <c r="R86" s="97"/>
      <c r="S86" s="97"/>
      <c r="T86" s="97"/>
    </row>
    <row r="87" spans="1:20" x14ac:dyDescent="0.25">
      <c r="A87"/>
      <c r="B87" s="59"/>
      <c r="C87" s="98"/>
      <c r="D87" s="8"/>
      <c r="E87" s="8"/>
      <c r="F87" s="61"/>
      <c r="G87" s="11"/>
      <c r="H87" s="13"/>
      <c r="I87" s="60"/>
      <c r="J87" s="11"/>
      <c r="K87" s="43"/>
      <c r="L87" s="33" t="str">
        <f>C3</f>
        <v>Prudence Enhanced Income</v>
      </c>
      <c r="M87" s="33" t="str">
        <f>F3</f>
        <v>JPEIJACC Index</v>
      </c>
      <c r="P87" s="94" t="str">
        <f t="shared" ca="1" si="19"/>
        <v/>
      </c>
      <c r="Q87" s="97"/>
      <c r="R87" s="97"/>
      <c r="S87" s="97"/>
      <c r="T87" s="97"/>
    </row>
    <row r="88" spans="1:20" x14ac:dyDescent="0.25">
      <c r="A88"/>
      <c r="B88" s="59"/>
      <c r="C88" s="98"/>
      <c r="D88" s="8"/>
      <c r="E88" s="8"/>
      <c r="F88" s="61"/>
      <c r="G88" s="11"/>
      <c r="H88" s="13"/>
      <c r="I88" s="60"/>
      <c r="J88" s="11"/>
      <c r="K88" s="38">
        <f t="shared" ref="K88:K97" ca="1" si="23">INDEX(t,MATCH(L88,fr,0))</f>
        <v>39904</v>
      </c>
      <c r="L88" s="18">
        <f t="shared" ref="L88:L97" ca="1" si="24">LARGE(fr,N88)</f>
        <v>0.25790000000000002</v>
      </c>
      <c r="M88" s="39">
        <f t="shared" ref="M88:M97" ca="1" si="25">INDEX(br,MATCH(K88,t,0))</f>
        <v>4.7153271200516711E-2</v>
      </c>
      <c r="N88" s="44">
        <v>1</v>
      </c>
      <c r="O88" s="44"/>
      <c r="P88" s="94" t="str">
        <f t="shared" ca="1" si="19"/>
        <v/>
      </c>
      <c r="Q88" s="97"/>
      <c r="R88" s="97"/>
      <c r="S88" s="97"/>
      <c r="T88" s="97"/>
    </row>
    <row r="89" spans="1:20" x14ac:dyDescent="0.25">
      <c r="A89"/>
      <c r="B89" s="59"/>
      <c r="C89" s="98"/>
      <c r="D89" s="8"/>
      <c r="E89" s="8"/>
      <c r="F89" s="61"/>
      <c r="G89" s="11"/>
      <c r="H89" s="13"/>
      <c r="I89" s="60"/>
      <c r="J89" s="11"/>
      <c r="K89" s="59">
        <f t="shared" ca="1" si="23"/>
        <v>39873</v>
      </c>
      <c r="L89" s="60">
        <f t="shared" ca="1" si="24"/>
        <v>0.1363</v>
      </c>
      <c r="M89" s="60">
        <f t="shared" ca="1" si="25"/>
        <v>2.9839399410814371E-2</v>
      </c>
      <c r="N89" s="44">
        <v>2</v>
      </c>
      <c r="O89" s="44"/>
      <c r="P89" s="94" t="str">
        <f t="shared" ca="1" si="19"/>
        <v/>
      </c>
      <c r="Q89" s="97"/>
      <c r="R89" s="97"/>
      <c r="S89" s="97"/>
      <c r="T89" s="97"/>
    </row>
    <row r="90" spans="1:20" x14ac:dyDescent="0.25">
      <c r="A90"/>
      <c r="B90" s="59"/>
      <c r="C90" s="98"/>
      <c r="D90" s="8"/>
      <c r="E90" s="8"/>
      <c r="F90" s="61"/>
      <c r="G90" s="11"/>
      <c r="H90" s="13"/>
      <c r="I90" s="60"/>
      <c r="J90" s="11"/>
      <c r="K90" s="59">
        <f t="shared" ca="1" si="23"/>
        <v>40452</v>
      </c>
      <c r="L90" s="60">
        <f t="shared" ca="1" si="24"/>
        <v>9.01E-2</v>
      </c>
      <c r="M90" s="60">
        <f t="shared" ca="1" si="25"/>
        <v>4.3789808917196194E-3</v>
      </c>
      <c r="N90" s="44">
        <v>3</v>
      </c>
      <c r="O90" s="44"/>
      <c r="P90" s="94" t="str">
        <f t="shared" ca="1" si="19"/>
        <v/>
      </c>
      <c r="Q90" s="97"/>
      <c r="R90" s="97"/>
      <c r="S90" s="97"/>
      <c r="T90" s="97"/>
    </row>
    <row r="91" spans="1:20" x14ac:dyDescent="0.25">
      <c r="A91"/>
      <c r="B91" s="59"/>
      <c r="C91" s="98"/>
      <c r="D91" s="8"/>
      <c r="E91" s="8"/>
      <c r="F91" s="61"/>
      <c r="G91" s="11"/>
      <c r="H91" s="13"/>
      <c r="I91" s="60"/>
      <c r="J91" s="11"/>
      <c r="K91" s="59">
        <f t="shared" ca="1" si="23"/>
        <v>39934</v>
      </c>
      <c r="L91" s="60">
        <f t="shared" ca="1" si="24"/>
        <v>8.6900000000000005E-2</v>
      </c>
      <c r="M91" s="60">
        <f t="shared" ca="1" si="25"/>
        <v>4.0623898484314358E-2</v>
      </c>
      <c r="N91" s="44">
        <v>4</v>
      </c>
      <c r="O91" s="44"/>
      <c r="P91" s="94" t="str">
        <f t="shared" ca="1" si="19"/>
        <v/>
      </c>
      <c r="Q91" s="97"/>
      <c r="R91" s="97"/>
      <c r="S91" s="97"/>
      <c r="T91" s="97"/>
    </row>
    <row r="92" spans="1:20" x14ac:dyDescent="0.25">
      <c r="A92"/>
      <c r="B92" s="59"/>
      <c r="C92" s="98"/>
      <c r="D92" s="8"/>
      <c r="E92" s="8"/>
      <c r="F92" s="61"/>
      <c r="G92" s="11"/>
      <c r="H92" s="13"/>
      <c r="I92" s="60"/>
      <c r="J92" s="11"/>
      <c r="K92" s="59">
        <f t="shared" ca="1" si="23"/>
        <v>39995</v>
      </c>
      <c r="L92" s="60">
        <f t="shared" ca="1" si="24"/>
        <v>8.3599999999999994E-2</v>
      </c>
      <c r="M92" s="60">
        <f t="shared" ca="1" si="25"/>
        <v>3.6770850743774064E-2</v>
      </c>
      <c r="N92" s="44">
        <v>5</v>
      </c>
      <c r="O92" s="44"/>
      <c r="P92" s="94" t="str">
        <f t="shared" ca="1" si="19"/>
        <v/>
      </c>
      <c r="Q92" s="97"/>
      <c r="R92" s="97"/>
      <c r="S92" s="97"/>
      <c r="T92" s="97"/>
    </row>
    <row r="93" spans="1:20" x14ac:dyDescent="0.25">
      <c r="A93"/>
      <c r="B93" s="59"/>
      <c r="C93" s="98"/>
      <c r="D93" s="8"/>
      <c r="E93" s="8"/>
      <c r="F93" s="61"/>
      <c r="G93" s="11"/>
      <c r="H93" s="13"/>
      <c r="I93" s="60"/>
      <c r="J93" s="11"/>
      <c r="K93" s="59">
        <f t="shared" ca="1" si="23"/>
        <v>40179</v>
      </c>
      <c r="L93" s="60">
        <f t="shared" ca="1" si="24"/>
        <v>7.51E-2</v>
      </c>
      <c r="M93" s="60">
        <f t="shared" ca="1" si="25"/>
        <v>9.1018504588535887E-3</v>
      </c>
      <c r="N93" s="44">
        <v>6</v>
      </c>
      <c r="O93" s="44"/>
      <c r="P93" s="94" t="str">
        <f t="shared" ca="1" si="19"/>
        <v/>
      </c>
      <c r="Q93" s="97"/>
      <c r="R93" s="97"/>
      <c r="S93" s="97"/>
      <c r="T93" s="97"/>
    </row>
    <row r="94" spans="1:20" x14ac:dyDescent="0.25">
      <c r="A94"/>
      <c r="B94" s="59"/>
      <c r="C94" s="98"/>
      <c r="D94" s="8"/>
      <c r="E94" s="8"/>
      <c r="F94" s="61"/>
      <c r="G94" s="11"/>
      <c r="H94" s="13"/>
      <c r="I94" s="60"/>
      <c r="J94" s="11"/>
      <c r="K94" s="59">
        <f t="shared" ca="1" si="23"/>
        <v>41640</v>
      </c>
      <c r="L94" s="60">
        <f t="shared" ca="1" si="24"/>
        <v>7.2099999999999997E-2</v>
      </c>
      <c r="M94" s="60">
        <f t="shared" ca="1" si="25"/>
        <v>8.897105552024831E-3</v>
      </c>
      <c r="N94" s="44">
        <v>7</v>
      </c>
      <c r="O94" s="44"/>
      <c r="P94" s="94" t="str">
        <f t="shared" ca="1" si="19"/>
        <v/>
      </c>
      <c r="Q94" s="97"/>
      <c r="R94" s="97"/>
      <c r="S94" s="97"/>
      <c r="T94" s="97"/>
    </row>
    <row r="95" spans="1:20" x14ac:dyDescent="0.25">
      <c r="A95"/>
      <c r="B95" s="59"/>
      <c r="C95" s="98"/>
      <c r="D95" s="8"/>
      <c r="E95" s="8"/>
      <c r="F95" s="61"/>
      <c r="G95" s="11"/>
      <c r="H95" s="13"/>
      <c r="I95" s="60"/>
      <c r="J95" s="11"/>
      <c r="K95" s="59">
        <f t="shared" ca="1" si="23"/>
        <v>39965</v>
      </c>
      <c r="L95" s="60">
        <f t="shared" ca="1" si="24"/>
        <v>7.0599999999999996E-2</v>
      </c>
      <c r="M95" s="60">
        <f t="shared" ca="1" si="25"/>
        <v>1.3294944533830177E-2</v>
      </c>
      <c r="N95" s="44">
        <v>8</v>
      </c>
      <c r="O95" s="44"/>
      <c r="P95" s="94" t="str">
        <f t="shared" ca="1" si="19"/>
        <v/>
      </c>
      <c r="Q95" s="97"/>
      <c r="R95" s="97"/>
      <c r="S95" s="97"/>
      <c r="T95" s="97"/>
    </row>
    <row r="96" spans="1:20" x14ac:dyDescent="0.25">
      <c r="A96"/>
      <c r="B96" s="59"/>
      <c r="C96" s="98"/>
      <c r="D96" s="8"/>
      <c r="E96" s="8"/>
      <c r="F96" s="61"/>
      <c r="G96" s="11"/>
      <c r="H96" s="13"/>
      <c r="I96" s="60"/>
      <c r="J96" s="11"/>
      <c r="K96" s="59">
        <f t="shared" ca="1" si="23"/>
        <v>40422</v>
      </c>
      <c r="L96" s="60">
        <f t="shared" ca="1" si="24"/>
        <v>6.9199999999999998E-2</v>
      </c>
      <c r="M96" s="60">
        <f t="shared" ca="1" si="25"/>
        <v>1.2903225806451424E-2</v>
      </c>
      <c r="N96" s="44">
        <v>9</v>
      </c>
      <c r="O96" s="44"/>
      <c r="P96" s="94" t="str">
        <f t="shared" ca="1" si="19"/>
        <v/>
      </c>
      <c r="Q96" s="97"/>
      <c r="R96" s="97"/>
      <c r="S96" s="97"/>
      <c r="T96" s="97"/>
    </row>
    <row r="97" spans="1:20" x14ac:dyDescent="0.25">
      <c r="A97"/>
      <c r="B97" s="59"/>
      <c r="C97" s="98"/>
      <c r="D97" s="8"/>
      <c r="E97" s="8"/>
      <c r="F97" s="61"/>
      <c r="G97" s="11"/>
      <c r="H97" s="13"/>
      <c r="I97" s="60"/>
      <c r="J97" s="11"/>
      <c r="K97" s="59">
        <f t="shared" ca="1" si="23"/>
        <v>40878</v>
      </c>
      <c r="L97" s="60">
        <f t="shared" ca="1" si="24"/>
        <v>4.8500000000000001E-2</v>
      </c>
      <c r="M97" s="60">
        <f t="shared" ca="1" si="25"/>
        <v>9.4068460935459175E-3</v>
      </c>
      <c r="N97" s="44">
        <v>10</v>
      </c>
      <c r="O97" s="44"/>
      <c r="P97" s="94" t="str">
        <f t="shared" ca="1" si="19"/>
        <v/>
      </c>
      <c r="Q97" s="97"/>
      <c r="R97" s="97"/>
      <c r="S97" s="97"/>
      <c r="T97" s="97"/>
    </row>
    <row r="98" spans="1:20" x14ac:dyDescent="0.25">
      <c r="A98"/>
      <c r="B98" s="59"/>
      <c r="C98" s="98"/>
      <c r="D98" s="8"/>
      <c r="E98" s="8"/>
      <c r="F98" s="61"/>
      <c r="G98" s="11"/>
      <c r="H98" s="13"/>
      <c r="I98" s="60"/>
      <c r="J98" s="11"/>
      <c r="K98" s="20"/>
      <c r="L98" s="15"/>
      <c r="M98" s="15"/>
      <c r="P98" s="94" t="str">
        <f t="shared" ca="1" si="19"/>
        <v/>
      </c>
      <c r="Q98" s="97"/>
      <c r="R98" s="97"/>
      <c r="S98" s="97"/>
      <c r="T98" s="97"/>
    </row>
    <row r="99" spans="1:20" x14ac:dyDescent="0.25">
      <c r="A99"/>
      <c r="B99" s="59"/>
      <c r="C99" s="98"/>
      <c r="D99" s="8"/>
      <c r="E99" s="8"/>
      <c r="F99" s="61"/>
      <c r="G99" s="11"/>
      <c r="H99" s="13"/>
      <c r="I99" s="60"/>
      <c r="J99" s="11"/>
      <c r="K99" s="20"/>
      <c r="L99" s="14"/>
      <c r="M99" s="14"/>
      <c r="P99" s="94" t="str">
        <f t="shared" ca="1" si="19"/>
        <v/>
      </c>
      <c r="Q99" s="97"/>
      <c r="R99" s="97"/>
      <c r="S99" s="97"/>
      <c r="T99" s="97"/>
    </row>
    <row r="100" spans="1:20" x14ac:dyDescent="0.25">
      <c r="A100"/>
      <c r="B100" s="59"/>
      <c r="C100" s="98"/>
      <c r="D100" s="8"/>
      <c r="E100" s="8"/>
      <c r="F100" s="61"/>
      <c r="G100" s="11"/>
      <c r="H100" s="13"/>
      <c r="I100" s="60"/>
      <c r="J100" s="11"/>
      <c r="K100" s="20"/>
      <c r="L100" s="14"/>
      <c r="M100" s="14"/>
      <c r="P100" s="94" t="str">
        <f t="shared" ca="1" si="19"/>
        <v/>
      </c>
      <c r="Q100" s="97"/>
      <c r="R100" s="97"/>
      <c r="S100" s="97"/>
      <c r="T100" s="97"/>
    </row>
    <row r="101" spans="1:20" x14ac:dyDescent="0.25">
      <c r="A101"/>
      <c r="B101" s="59"/>
      <c r="C101" s="98"/>
      <c r="D101" s="8"/>
      <c r="E101" s="8"/>
      <c r="F101" s="61"/>
      <c r="G101" s="11"/>
      <c r="H101" s="13"/>
      <c r="I101" s="60"/>
      <c r="J101" s="11"/>
      <c r="K101" s="20"/>
      <c r="L101" s="14"/>
      <c r="M101" s="14"/>
      <c r="P101" s="94" t="str">
        <f t="shared" ca="1" si="19"/>
        <v/>
      </c>
      <c r="Q101" s="97"/>
      <c r="R101" s="97"/>
      <c r="S101" s="97"/>
      <c r="T101" s="97"/>
    </row>
    <row r="102" spans="1:20" x14ac:dyDescent="0.25">
      <c r="A102"/>
      <c r="B102" s="59"/>
      <c r="C102" s="98"/>
      <c r="D102" s="8"/>
      <c r="E102" s="8"/>
      <c r="F102" s="61"/>
      <c r="G102" s="11"/>
      <c r="H102" s="13"/>
      <c r="I102" s="60"/>
      <c r="J102" s="11"/>
      <c r="K102" s="20"/>
      <c r="L102" s="14"/>
      <c r="M102" s="14"/>
      <c r="P102" s="94" t="str">
        <f t="shared" ca="1" si="19"/>
        <v/>
      </c>
      <c r="Q102" s="97"/>
      <c r="R102" s="97"/>
      <c r="S102" s="97"/>
      <c r="T102" s="97"/>
    </row>
    <row r="103" spans="1:20" x14ac:dyDescent="0.25">
      <c r="A103"/>
      <c r="B103" s="59"/>
      <c r="C103" s="98"/>
      <c r="D103" s="8"/>
      <c r="E103" s="8"/>
      <c r="F103" s="61"/>
      <c r="G103" s="11"/>
      <c r="H103" s="13"/>
      <c r="I103" s="60"/>
      <c r="J103" s="11"/>
      <c r="K103" s="20"/>
      <c r="L103" s="14"/>
      <c r="M103" s="14"/>
      <c r="P103" s="94" t="str">
        <f t="shared" ref="P103" ca="1" si="26">IF(P102&lt;COUNT(br),P102+1,"")</f>
        <v/>
      </c>
      <c r="Q103" s="97"/>
      <c r="R103" s="97"/>
      <c r="S103" s="97"/>
      <c r="T103" s="97"/>
    </row>
    <row r="104" spans="1:20" x14ac:dyDescent="0.25">
      <c r="A104"/>
      <c r="B104" s="59"/>
      <c r="C104" s="98"/>
      <c r="D104" s="8"/>
      <c r="E104" s="8"/>
      <c r="F104" s="61"/>
      <c r="G104" s="11"/>
      <c r="H104" s="13"/>
      <c r="I104" s="60"/>
      <c r="J104" s="11"/>
      <c r="K104" s="20"/>
      <c r="L104" s="14"/>
      <c r="M104" s="14"/>
      <c r="P104" s="94"/>
      <c r="Q104" s="97"/>
      <c r="R104" s="97"/>
      <c r="S104" s="97"/>
      <c r="T104" s="97"/>
    </row>
    <row r="105" spans="1:20" x14ac:dyDescent="0.25">
      <c r="A105"/>
      <c r="B105" s="59"/>
      <c r="C105" s="98"/>
      <c r="D105" s="8"/>
      <c r="E105" s="8"/>
      <c r="F105" s="61"/>
      <c r="G105" s="11"/>
      <c r="H105" s="13"/>
      <c r="I105" s="60"/>
      <c r="J105" s="11"/>
      <c r="K105" s="20"/>
      <c r="L105" s="14"/>
      <c r="M105" s="14"/>
      <c r="P105" s="94"/>
      <c r="Q105" s="97"/>
      <c r="R105" s="97"/>
      <c r="S105" s="97"/>
      <c r="T105" s="97"/>
    </row>
    <row r="106" spans="1:20" x14ac:dyDescent="0.25">
      <c r="A106"/>
      <c r="B106" s="59"/>
      <c r="C106" s="98"/>
      <c r="D106" s="8"/>
      <c r="E106" s="8"/>
      <c r="F106" s="61"/>
      <c r="G106" s="11"/>
      <c r="H106" s="13"/>
      <c r="I106" s="60"/>
      <c r="J106" s="11"/>
      <c r="K106" s="20"/>
      <c r="L106" s="14"/>
      <c r="M106" s="14"/>
      <c r="P106" s="94"/>
      <c r="Q106" s="97"/>
      <c r="R106" s="97"/>
      <c r="S106" s="97"/>
      <c r="T106" s="97"/>
    </row>
    <row r="107" spans="1:20" x14ac:dyDescent="0.25">
      <c r="A107"/>
      <c r="B107" s="59"/>
      <c r="C107" s="98"/>
      <c r="D107" s="8"/>
      <c r="E107" s="8"/>
      <c r="F107" s="61"/>
      <c r="G107" s="11"/>
      <c r="H107" s="13"/>
      <c r="I107" s="60"/>
      <c r="J107" s="11"/>
      <c r="K107" s="20"/>
      <c r="L107" s="14"/>
      <c r="M107" s="14"/>
      <c r="P107" s="94"/>
      <c r="Q107" s="97"/>
      <c r="R107" s="97"/>
      <c r="S107" s="97"/>
      <c r="T107" s="97"/>
    </row>
    <row r="108" spans="1:20" x14ac:dyDescent="0.25">
      <c r="A108"/>
      <c r="B108" s="59"/>
      <c r="C108" s="98"/>
      <c r="D108" s="8"/>
      <c r="E108" s="8"/>
      <c r="F108" s="61"/>
      <c r="G108" s="11"/>
      <c r="H108" s="13"/>
      <c r="I108" s="60"/>
      <c r="J108" s="11"/>
      <c r="K108" s="20"/>
      <c r="L108" s="14"/>
      <c r="M108" s="14"/>
      <c r="P108" s="94"/>
      <c r="Q108" s="97"/>
      <c r="R108" s="97"/>
      <c r="S108" s="97"/>
      <c r="T108" s="97"/>
    </row>
    <row r="109" spans="1:20" x14ac:dyDescent="0.25">
      <c r="A109"/>
      <c r="B109" s="59"/>
      <c r="C109" s="98"/>
      <c r="D109" s="8"/>
      <c r="E109" s="8"/>
      <c r="F109" s="61"/>
      <c r="G109" s="11"/>
      <c r="H109" s="13"/>
      <c r="I109" s="60"/>
      <c r="J109" s="11"/>
      <c r="K109" s="20"/>
      <c r="L109" s="14"/>
      <c r="M109" s="14"/>
      <c r="P109" s="94"/>
      <c r="Q109" s="97"/>
      <c r="R109" s="97"/>
      <c r="S109" s="97"/>
      <c r="T109" s="97"/>
    </row>
    <row r="110" spans="1:20" x14ac:dyDescent="0.25">
      <c r="A110"/>
      <c r="B110" s="59"/>
      <c r="C110" s="4"/>
      <c r="D110" s="60"/>
      <c r="E110" s="60"/>
      <c r="F110" s="61"/>
      <c r="G110" s="60"/>
      <c r="H110" s="60"/>
      <c r="J110" s="11"/>
      <c r="K110" s="20"/>
      <c r="L110" s="14"/>
      <c r="M110" s="14"/>
      <c r="P110" s="94"/>
      <c r="Q110" s="97"/>
      <c r="R110" s="97"/>
      <c r="S110" s="97"/>
      <c r="T110" s="97"/>
    </row>
    <row r="111" spans="1:20" x14ac:dyDescent="0.25">
      <c r="A111"/>
      <c r="B111" s="59"/>
      <c r="C111" s="4"/>
      <c r="D111" s="60"/>
      <c r="E111" s="60"/>
      <c r="F111" s="61"/>
      <c r="G111" s="60"/>
      <c r="H111" s="60"/>
      <c r="J111" s="11"/>
      <c r="K111" s="20"/>
      <c r="L111" s="14"/>
      <c r="M111" s="14"/>
      <c r="P111" s="94"/>
      <c r="Q111" s="97"/>
      <c r="R111" s="97"/>
      <c r="S111" s="97"/>
      <c r="T111" s="97"/>
    </row>
    <row r="112" spans="1:20" x14ac:dyDescent="0.25">
      <c r="A112"/>
      <c r="B112" s="59"/>
      <c r="C112" s="4"/>
      <c r="D112" s="60"/>
      <c r="E112" s="60"/>
      <c r="F112" s="61"/>
      <c r="G112" s="60"/>
      <c r="H112" s="60"/>
      <c r="J112" s="11"/>
      <c r="K112" s="20"/>
      <c r="L112" s="14"/>
      <c r="M112" s="14"/>
      <c r="P112" s="94"/>
      <c r="Q112" s="97"/>
      <c r="R112" s="97"/>
      <c r="S112" s="97"/>
      <c r="T112" s="97"/>
    </row>
    <row r="113" spans="1:20" x14ac:dyDescent="0.25">
      <c r="A113"/>
      <c r="B113" s="59"/>
      <c r="C113" s="4"/>
      <c r="D113" s="60"/>
      <c r="E113" s="60"/>
      <c r="F113" s="61"/>
      <c r="G113" s="60"/>
      <c r="H113" s="60"/>
      <c r="J113" s="11"/>
      <c r="K113" s="20"/>
      <c r="L113" s="14"/>
      <c r="M113" s="14"/>
      <c r="P113" s="94"/>
      <c r="Q113" s="97"/>
      <c r="R113" s="97"/>
      <c r="S113" s="97"/>
      <c r="T113" s="97"/>
    </row>
    <row r="114" spans="1:20" x14ac:dyDescent="0.25">
      <c r="A114"/>
      <c r="B114" s="59"/>
      <c r="C114" s="4"/>
      <c r="D114" s="60"/>
      <c r="E114" s="60"/>
      <c r="F114" s="61"/>
      <c r="G114" s="60"/>
      <c r="H114" s="60"/>
      <c r="J114" s="11"/>
      <c r="K114" s="20"/>
      <c r="L114" s="14"/>
      <c r="M114" s="14"/>
      <c r="P114" s="94"/>
      <c r="Q114" s="97"/>
      <c r="R114" s="97"/>
      <c r="S114" s="97"/>
      <c r="T114" s="97"/>
    </row>
    <row r="115" spans="1:20" x14ac:dyDescent="0.25">
      <c r="A115"/>
      <c r="B115" s="59"/>
      <c r="C115" s="4"/>
      <c r="D115" s="60"/>
      <c r="E115" s="60"/>
      <c r="F115" s="61"/>
      <c r="G115" s="60"/>
      <c r="H115" s="60"/>
      <c r="J115" s="11"/>
      <c r="K115" s="20"/>
      <c r="L115" s="14"/>
      <c r="M115" s="14"/>
      <c r="P115" s="94"/>
      <c r="Q115" s="97"/>
      <c r="R115" s="97"/>
      <c r="S115" s="97"/>
      <c r="T115" s="97"/>
    </row>
    <row r="116" spans="1:20" x14ac:dyDescent="0.25">
      <c r="A116"/>
      <c r="B116" s="59"/>
      <c r="C116" s="4"/>
      <c r="D116" s="60"/>
      <c r="E116" s="60"/>
      <c r="F116" s="61"/>
      <c r="G116" s="60"/>
      <c r="H116" s="60"/>
      <c r="J116" s="11"/>
      <c r="K116" s="20"/>
      <c r="L116" s="14"/>
      <c r="M116" s="14"/>
      <c r="P116" s="94"/>
      <c r="Q116" s="97"/>
      <c r="R116" s="97"/>
      <c r="S116" s="97"/>
      <c r="T116" s="97"/>
    </row>
    <row r="117" spans="1:20" x14ac:dyDescent="0.25">
      <c r="A117"/>
      <c r="B117" s="59"/>
      <c r="C117" s="4"/>
      <c r="D117" s="60"/>
      <c r="E117" s="60"/>
      <c r="F117" s="61"/>
      <c r="G117" s="60"/>
      <c r="H117" s="60"/>
      <c r="J117" s="11"/>
      <c r="K117" s="20"/>
      <c r="L117" s="14"/>
      <c r="M117" s="14"/>
      <c r="P117" s="94"/>
      <c r="Q117" s="97"/>
      <c r="R117" s="97"/>
      <c r="S117" s="97"/>
      <c r="T117" s="97"/>
    </row>
    <row r="118" spans="1:20" x14ac:dyDescent="0.25">
      <c r="A118"/>
      <c r="B118" s="59"/>
      <c r="C118" s="4"/>
      <c r="D118" s="60"/>
      <c r="E118" s="60"/>
      <c r="F118" s="61"/>
      <c r="G118" s="60"/>
      <c r="H118" s="60"/>
      <c r="J118" s="11"/>
      <c r="K118" s="20"/>
      <c r="L118" s="14"/>
      <c r="M118" s="14"/>
      <c r="P118" s="94"/>
      <c r="Q118" s="97"/>
      <c r="R118" s="97"/>
      <c r="S118" s="97"/>
      <c r="T118" s="97"/>
    </row>
    <row r="119" spans="1:20" x14ac:dyDescent="0.25">
      <c r="A119"/>
      <c r="B119" s="59"/>
      <c r="C119" s="4"/>
      <c r="D119" s="60"/>
      <c r="E119" s="60"/>
      <c r="F119" s="61"/>
      <c r="G119" s="60"/>
      <c r="H119" s="60"/>
      <c r="J119" s="11"/>
      <c r="K119" s="20"/>
      <c r="L119" s="14"/>
      <c r="M119" s="14"/>
      <c r="P119" s="94"/>
      <c r="Q119" s="97"/>
      <c r="R119" s="97"/>
      <c r="S119" s="97"/>
      <c r="T119" s="97"/>
    </row>
    <row r="120" spans="1:20" x14ac:dyDescent="0.25">
      <c r="A120"/>
      <c r="B120" s="59"/>
      <c r="C120" s="4"/>
      <c r="D120" s="60"/>
      <c r="E120" s="60"/>
      <c r="F120" s="61"/>
      <c r="G120" s="60"/>
      <c r="H120" s="60"/>
      <c r="J120" s="11"/>
      <c r="K120" s="20"/>
      <c r="L120" s="14"/>
      <c r="M120" s="14"/>
      <c r="P120" s="94"/>
      <c r="Q120" s="97"/>
      <c r="R120" s="97"/>
      <c r="S120" s="97"/>
      <c r="T120" s="97"/>
    </row>
    <row r="121" spans="1:20" x14ac:dyDescent="0.25">
      <c r="A121"/>
      <c r="B121" s="59"/>
      <c r="C121" s="4"/>
      <c r="D121" s="60"/>
      <c r="E121" s="60"/>
      <c r="F121" s="61"/>
      <c r="G121" s="60"/>
      <c r="H121" s="60"/>
      <c r="J121" s="11"/>
      <c r="K121" s="20"/>
      <c r="L121" s="14"/>
      <c r="M121" s="14"/>
      <c r="P121" s="94"/>
      <c r="Q121" s="97"/>
      <c r="R121" s="97"/>
      <c r="S121" s="97"/>
      <c r="T121" s="97"/>
    </row>
    <row r="122" spans="1:20" x14ac:dyDescent="0.25">
      <c r="A122"/>
      <c r="B122" s="59"/>
      <c r="C122" s="4"/>
      <c r="D122" s="60"/>
      <c r="E122" s="60"/>
      <c r="F122" s="61"/>
      <c r="G122" s="60"/>
      <c r="H122" s="60"/>
      <c r="J122" s="11"/>
      <c r="K122" s="15"/>
      <c r="L122" s="14"/>
      <c r="M122" s="14"/>
      <c r="P122" s="94"/>
      <c r="Q122" s="97"/>
      <c r="R122" s="97"/>
      <c r="S122" s="97"/>
      <c r="T122" s="97"/>
    </row>
    <row r="123" spans="1:20" x14ac:dyDescent="0.25">
      <c r="A123"/>
      <c r="B123" s="59"/>
      <c r="C123" s="4"/>
      <c r="D123" s="60"/>
      <c r="E123" s="60"/>
      <c r="F123" s="61"/>
      <c r="G123" s="60"/>
      <c r="H123" s="60"/>
      <c r="J123" s="11"/>
      <c r="K123" s="15"/>
      <c r="L123" s="14"/>
      <c r="M123" s="14"/>
      <c r="P123" s="94"/>
      <c r="Q123" s="97"/>
      <c r="R123" s="97"/>
      <c r="S123" s="97"/>
      <c r="T123" s="97"/>
    </row>
    <row r="124" spans="1:20" x14ac:dyDescent="0.25">
      <c r="A124"/>
      <c r="B124" s="59"/>
      <c r="C124" s="4"/>
      <c r="D124" s="60"/>
      <c r="E124" s="60"/>
      <c r="F124" s="61"/>
      <c r="G124" s="60"/>
      <c r="H124" s="60"/>
      <c r="J124" s="11"/>
      <c r="K124" s="15"/>
      <c r="L124" s="14"/>
      <c r="M124" s="14"/>
      <c r="P124" s="94"/>
      <c r="Q124" s="97"/>
      <c r="R124" s="97"/>
      <c r="S124" s="97"/>
      <c r="T124" s="97"/>
    </row>
    <row r="125" spans="1:20" x14ac:dyDescent="0.25">
      <c r="A125"/>
      <c r="B125" s="59"/>
      <c r="C125" s="4"/>
      <c r="D125" s="60"/>
      <c r="E125" s="60"/>
      <c r="F125" s="61"/>
      <c r="G125" s="60"/>
      <c r="H125" s="60"/>
      <c r="J125" s="11"/>
      <c r="K125" s="15"/>
      <c r="L125" s="14"/>
      <c r="M125" s="14"/>
      <c r="P125" s="94"/>
      <c r="Q125" s="97"/>
      <c r="R125" s="97"/>
      <c r="S125" s="97"/>
      <c r="T125" s="97"/>
    </row>
    <row r="126" spans="1:20" x14ac:dyDescent="0.25">
      <c r="A126"/>
      <c r="B126" s="59"/>
      <c r="C126" s="4"/>
      <c r="D126" s="60"/>
      <c r="E126" s="60"/>
      <c r="F126" s="61"/>
      <c r="G126" s="60"/>
      <c r="H126" s="60"/>
      <c r="J126" s="11"/>
      <c r="K126" s="15"/>
      <c r="L126" s="14"/>
      <c r="M126" s="14"/>
      <c r="P126" s="94"/>
      <c r="Q126" s="97"/>
      <c r="R126" s="97"/>
      <c r="S126" s="97"/>
      <c r="T126" s="97"/>
    </row>
    <row r="127" spans="1:20" x14ac:dyDescent="0.25">
      <c r="A127"/>
      <c r="B127" s="59"/>
      <c r="C127" s="4"/>
      <c r="D127" s="60"/>
      <c r="E127" s="60"/>
      <c r="F127" s="61"/>
      <c r="G127" s="60"/>
      <c r="H127" s="60"/>
      <c r="J127" s="11"/>
      <c r="K127" s="15"/>
      <c r="L127" s="14"/>
      <c r="M127" s="14"/>
      <c r="P127" s="94"/>
      <c r="Q127" s="97"/>
      <c r="R127" s="97"/>
      <c r="S127" s="97"/>
      <c r="T127" s="97"/>
    </row>
    <row r="128" spans="1:20" x14ac:dyDescent="0.25">
      <c r="A128"/>
      <c r="B128" s="59"/>
      <c r="C128" s="4"/>
      <c r="D128" s="60"/>
      <c r="E128" s="60"/>
      <c r="F128" s="61"/>
      <c r="G128" s="60"/>
      <c r="H128" s="60"/>
      <c r="J128" s="11"/>
      <c r="K128" s="15"/>
      <c r="L128" s="14"/>
      <c r="M128" s="14"/>
      <c r="P128" s="94"/>
      <c r="Q128" s="97"/>
      <c r="R128" s="97"/>
      <c r="S128" s="97"/>
      <c r="T128" s="97"/>
    </row>
    <row r="129" spans="1:20" x14ac:dyDescent="0.25">
      <c r="A129"/>
      <c r="B129" s="59"/>
      <c r="C129" s="4"/>
      <c r="D129" s="60"/>
      <c r="E129" s="60"/>
      <c r="F129" s="61"/>
      <c r="G129" s="60"/>
      <c r="H129" s="60"/>
      <c r="J129" s="11"/>
      <c r="K129" s="15"/>
      <c r="L129" s="14"/>
      <c r="M129" s="14"/>
      <c r="P129" s="94"/>
      <c r="Q129" s="97"/>
      <c r="R129" s="97"/>
      <c r="S129" s="97"/>
      <c r="T129" s="97"/>
    </row>
    <row r="130" spans="1:20" x14ac:dyDescent="0.25">
      <c r="A130"/>
      <c r="B130" s="59"/>
      <c r="C130" s="4"/>
      <c r="D130" s="60"/>
      <c r="E130" s="60"/>
      <c r="F130" s="61"/>
      <c r="G130" s="60"/>
      <c r="H130" s="60"/>
      <c r="J130" s="11"/>
      <c r="K130" s="15"/>
      <c r="L130" s="14"/>
      <c r="M130" s="14"/>
      <c r="P130" s="94"/>
      <c r="Q130" s="97"/>
      <c r="R130" s="97"/>
      <c r="S130" s="97"/>
      <c r="T130" s="97"/>
    </row>
    <row r="131" spans="1:20" x14ac:dyDescent="0.25">
      <c r="A131"/>
      <c r="B131" s="59"/>
      <c r="C131" s="4"/>
      <c r="D131" s="60"/>
      <c r="E131" s="60"/>
      <c r="F131" s="61"/>
      <c r="G131" s="60"/>
      <c r="H131" s="60"/>
      <c r="J131" s="11"/>
      <c r="K131" s="14"/>
      <c r="L131" s="14"/>
      <c r="M131" s="14"/>
      <c r="P131" s="94"/>
      <c r="Q131" s="97"/>
      <c r="R131" s="97"/>
      <c r="S131" s="97"/>
      <c r="T131" s="97"/>
    </row>
    <row r="132" spans="1:20" x14ac:dyDescent="0.25">
      <c r="A132"/>
      <c r="B132" s="59"/>
      <c r="C132" s="4"/>
      <c r="D132" s="60"/>
      <c r="E132" s="60"/>
      <c r="F132" s="61"/>
      <c r="G132" s="60"/>
      <c r="H132" s="60"/>
      <c r="J132" s="11"/>
      <c r="K132" s="14"/>
      <c r="L132" s="14"/>
      <c r="M132" s="14"/>
      <c r="P132" s="94"/>
      <c r="Q132" s="97"/>
      <c r="R132" s="97"/>
      <c r="S132" s="97"/>
      <c r="T132" s="97"/>
    </row>
    <row r="133" spans="1:20" x14ac:dyDescent="0.25">
      <c r="A133"/>
      <c r="B133" s="59"/>
      <c r="C133" s="4"/>
      <c r="D133" s="60"/>
      <c r="E133" s="60"/>
      <c r="F133" s="61"/>
      <c r="G133" s="60"/>
      <c r="H133" s="60"/>
      <c r="J133" s="11"/>
      <c r="K133" s="14"/>
      <c r="L133" s="14"/>
      <c r="M133" s="14"/>
      <c r="P133" s="94"/>
      <c r="Q133" s="97"/>
      <c r="R133" s="97"/>
      <c r="S133" s="97"/>
      <c r="T133" s="97"/>
    </row>
    <row r="134" spans="1:20" x14ac:dyDescent="0.25">
      <c r="A134"/>
      <c r="B134" s="59"/>
      <c r="C134" s="4"/>
      <c r="D134" s="60"/>
      <c r="E134" s="60"/>
      <c r="F134" s="61"/>
      <c r="G134" s="60"/>
      <c r="H134" s="60"/>
      <c r="J134" s="11"/>
      <c r="K134" s="14"/>
      <c r="L134" s="14"/>
      <c r="M134" s="14"/>
      <c r="P134" s="94"/>
    </row>
    <row r="135" spans="1:20" x14ac:dyDescent="0.25">
      <c r="A135"/>
      <c r="B135" s="59"/>
      <c r="C135" s="4"/>
      <c r="D135" s="60"/>
      <c r="E135" s="60"/>
      <c r="F135" s="61"/>
      <c r="G135" s="60"/>
      <c r="H135" s="60"/>
      <c r="J135" s="11"/>
      <c r="K135" s="14"/>
      <c r="L135" s="14"/>
      <c r="M135" s="14"/>
      <c r="P135" s="94"/>
    </row>
    <row r="136" spans="1:20" x14ac:dyDescent="0.25">
      <c r="A136"/>
      <c r="B136" s="59"/>
      <c r="C136" s="4"/>
      <c r="D136" s="60"/>
      <c r="E136" s="60"/>
      <c r="F136" s="61"/>
      <c r="G136" s="60"/>
      <c r="H136" s="60"/>
      <c r="J136" s="11"/>
      <c r="P136" s="94"/>
    </row>
    <row r="137" spans="1:20" x14ac:dyDescent="0.25">
      <c r="A137"/>
      <c r="B137" s="59"/>
      <c r="C137" s="4"/>
      <c r="D137" s="60"/>
      <c r="E137" s="60"/>
      <c r="F137" s="61"/>
      <c r="G137" s="60"/>
      <c r="H137" s="60"/>
      <c r="J137" s="11"/>
      <c r="L137" s="57"/>
      <c r="P137" s="94"/>
    </row>
    <row r="138" spans="1:20" x14ac:dyDescent="0.25">
      <c r="A138"/>
      <c r="B138" s="59"/>
      <c r="C138" s="4"/>
      <c r="D138" s="60"/>
      <c r="E138" s="60"/>
      <c r="F138" s="61"/>
      <c r="G138" s="60"/>
      <c r="H138" s="60"/>
      <c r="J138" s="11"/>
      <c r="L138" s="57"/>
      <c r="P138"/>
    </row>
    <row r="139" spans="1:20" x14ac:dyDescent="0.25">
      <c r="A139"/>
      <c r="B139" s="59"/>
      <c r="C139" s="4"/>
      <c r="D139" s="60"/>
      <c r="E139" s="60"/>
      <c r="F139" s="61"/>
      <c r="G139" s="60"/>
      <c r="H139" s="60"/>
      <c r="J139" s="11"/>
      <c r="L139" s="57"/>
      <c r="P139"/>
    </row>
    <row r="140" spans="1:20" x14ac:dyDescent="0.25">
      <c r="A140"/>
      <c r="B140" s="59"/>
      <c r="C140" s="4"/>
      <c r="D140" s="60"/>
      <c r="E140" s="60"/>
      <c r="F140" s="61"/>
      <c r="G140" s="60"/>
      <c r="H140" s="60"/>
      <c r="J140" s="11"/>
      <c r="P140"/>
    </row>
    <row r="141" spans="1:20" x14ac:dyDescent="0.25">
      <c r="A141"/>
      <c r="B141" s="59"/>
      <c r="C141" s="4"/>
      <c r="D141" s="60"/>
      <c r="E141" s="60"/>
      <c r="F141" s="61"/>
      <c r="G141" s="60"/>
      <c r="H141" s="60"/>
      <c r="J141" s="11"/>
      <c r="P141"/>
    </row>
    <row r="142" spans="1:20" x14ac:dyDescent="0.25">
      <c r="A142"/>
      <c r="B142" s="59"/>
      <c r="C142" s="4"/>
      <c r="D142" s="60"/>
      <c r="E142" s="60"/>
      <c r="F142" s="61"/>
      <c r="G142" s="60"/>
      <c r="H142" s="60"/>
      <c r="J142" s="11"/>
      <c r="P142"/>
    </row>
    <row r="143" spans="1:20" x14ac:dyDescent="0.25">
      <c r="A143"/>
      <c r="B143" s="59"/>
      <c r="C143" s="4"/>
      <c r="D143" s="60"/>
      <c r="E143" s="60"/>
      <c r="F143" s="61"/>
      <c r="G143" s="60"/>
      <c r="H143" s="60"/>
      <c r="J143" s="11"/>
      <c r="P143"/>
    </row>
    <row r="144" spans="1:20" x14ac:dyDescent="0.25">
      <c r="A144"/>
      <c r="B144" s="59"/>
      <c r="C144" s="4"/>
      <c r="D144" s="60"/>
      <c r="E144" s="60"/>
      <c r="F144" s="61"/>
      <c r="G144" s="60"/>
      <c r="H144" s="60"/>
      <c r="J144" s="11"/>
      <c r="P144"/>
    </row>
    <row r="145" spans="1:16" x14ac:dyDescent="0.25">
      <c r="A145"/>
      <c r="B145" s="59"/>
      <c r="C145" s="4"/>
      <c r="D145" s="60"/>
      <c r="E145" s="60"/>
      <c r="F145" s="61"/>
      <c r="G145" s="60"/>
      <c r="H145" s="60"/>
      <c r="J145" s="11"/>
      <c r="P145"/>
    </row>
    <row r="146" spans="1:16" x14ac:dyDescent="0.25">
      <c r="A146"/>
      <c r="B146" s="59"/>
      <c r="C146" s="4"/>
      <c r="D146" s="60"/>
      <c r="E146" s="60"/>
      <c r="F146" s="61"/>
      <c r="G146" s="60"/>
      <c r="H146" s="60"/>
      <c r="J146" s="11"/>
      <c r="P146"/>
    </row>
    <row r="147" spans="1:16" x14ac:dyDescent="0.25">
      <c r="A147"/>
      <c r="B147" s="59"/>
      <c r="C147" s="4"/>
      <c r="D147" s="60"/>
      <c r="E147" s="60"/>
      <c r="F147" s="61"/>
      <c r="G147" s="60"/>
      <c r="H147" s="60"/>
      <c r="J147" s="11"/>
      <c r="P147"/>
    </row>
    <row r="148" spans="1:16" x14ac:dyDescent="0.25">
      <c r="A148"/>
      <c r="B148" s="59"/>
      <c r="C148" s="4"/>
      <c r="D148" s="60"/>
      <c r="E148" s="60"/>
      <c r="F148" s="61"/>
      <c r="G148" s="60"/>
      <c r="H148" s="60"/>
      <c r="J148" s="11"/>
      <c r="P148"/>
    </row>
    <row r="149" spans="1:16" x14ac:dyDescent="0.25">
      <c r="B149" s="59"/>
      <c r="C149" s="4"/>
      <c r="D149" s="60"/>
      <c r="E149" s="60"/>
      <c r="F149" s="61"/>
      <c r="G149" s="60"/>
      <c r="H149" s="60"/>
    </row>
    <row r="150" spans="1:16" x14ac:dyDescent="0.25">
      <c r="B150" s="59"/>
      <c r="C150" s="4"/>
      <c r="D150" s="60"/>
      <c r="E150" s="60"/>
      <c r="F150" s="61"/>
      <c r="G150" s="60"/>
      <c r="H150" s="60"/>
    </row>
    <row r="151" spans="1:16" x14ac:dyDescent="0.25">
      <c r="B151" s="59"/>
      <c r="C151" s="4"/>
      <c r="D151" s="60"/>
      <c r="E151" s="60"/>
      <c r="F151" s="61"/>
      <c r="G151" s="60"/>
      <c r="H151" s="60"/>
    </row>
    <row r="152" spans="1:16" x14ac:dyDescent="0.25">
      <c r="B152" s="59"/>
      <c r="C152" s="4"/>
      <c r="D152" s="60"/>
      <c r="E152" s="60"/>
      <c r="F152" s="61"/>
      <c r="G152" s="60"/>
      <c r="H152" s="60"/>
    </row>
    <row r="153" spans="1:16" x14ac:dyDescent="0.25">
      <c r="B153" s="59"/>
      <c r="C153" s="4"/>
      <c r="D153" s="60"/>
      <c r="E153" s="60"/>
      <c r="F153" s="61"/>
      <c r="G153" s="60"/>
      <c r="H153" s="60"/>
    </row>
    <row r="154" spans="1:16" x14ac:dyDescent="0.25">
      <c r="B154" s="59"/>
      <c r="C154" s="4"/>
      <c r="D154" s="60"/>
      <c r="E154" s="60"/>
      <c r="F154" s="61"/>
      <c r="G154" s="60"/>
      <c r="H154" s="60"/>
    </row>
    <row r="155" spans="1:16" x14ac:dyDescent="0.25">
      <c r="B155" s="59"/>
      <c r="C155" s="4"/>
      <c r="D155" s="60"/>
      <c r="E155" s="60"/>
      <c r="F155" s="61"/>
      <c r="G155" s="60"/>
      <c r="H155" s="60"/>
    </row>
    <row r="156" spans="1:16" x14ac:dyDescent="0.25">
      <c r="B156" s="59"/>
      <c r="C156" s="4"/>
      <c r="D156" s="60"/>
      <c r="E156" s="60"/>
      <c r="F156" s="61"/>
      <c r="G156" s="60"/>
      <c r="H156" s="60"/>
    </row>
    <row r="157" spans="1:16" x14ac:dyDescent="0.25">
      <c r="B157" s="59"/>
      <c r="C157" s="4"/>
      <c r="D157" s="60"/>
      <c r="E157" s="60"/>
      <c r="F157" s="61"/>
      <c r="G157" s="60"/>
      <c r="H157" s="60"/>
    </row>
    <row r="158" spans="1:16" x14ac:dyDescent="0.25">
      <c r="B158" s="59"/>
      <c r="C158" s="4"/>
      <c r="D158" s="60"/>
      <c r="E158" s="60"/>
      <c r="F158" s="61"/>
      <c r="G158" s="60"/>
      <c r="H158" s="60"/>
    </row>
    <row r="159" spans="1:16" x14ac:dyDescent="0.25">
      <c r="B159" s="59"/>
      <c r="C159" s="4"/>
      <c r="D159" s="60"/>
      <c r="E159" s="60"/>
      <c r="F159" s="61"/>
      <c r="G159" s="60"/>
      <c r="H159" s="60"/>
    </row>
    <row r="160" spans="1:16" x14ac:dyDescent="0.25">
      <c r="B160" s="59"/>
      <c r="C160" s="4"/>
      <c r="D160" s="60"/>
      <c r="E160" s="60"/>
      <c r="F160" s="61"/>
      <c r="G160" s="60"/>
      <c r="H160" s="60"/>
    </row>
    <row r="161" spans="2:8" x14ac:dyDescent="0.25">
      <c r="B161" s="59"/>
      <c r="C161" s="4"/>
      <c r="D161" s="60"/>
      <c r="E161" s="60"/>
      <c r="F161" s="61"/>
      <c r="G161" s="60"/>
      <c r="H161" s="60"/>
    </row>
    <row r="162" spans="2:8" x14ac:dyDescent="0.25">
      <c r="B162" s="59"/>
      <c r="C162" s="4"/>
      <c r="D162" s="60"/>
      <c r="E162" s="60"/>
      <c r="F162" s="61"/>
      <c r="G162" s="60"/>
      <c r="H162" s="60"/>
    </row>
    <row r="163" spans="2:8" x14ac:dyDescent="0.25">
      <c r="B163" s="59"/>
      <c r="C163" s="4"/>
      <c r="D163" s="60"/>
      <c r="E163" s="60"/>
      <c r="F163" s="61"/>
      <c r="G163" s="60"/>
      <c r="H163" s="60"/>
    </row>
    <row r="164" spans="2:8" x14ac:dyDescent="0.25">
      <c r="B164" s="59"/>
      <c r="C164" s="4"/>
      <c r="D164" s="60"/>
      <c r="E164" s="60"/>
      <c r="F164" s="61"/>
      <c r="G164" s="60"/>
      <c r="H164" s="60"/>
    </row>
    <row r="165" spans="2:8" x14ac:dyDescent="0.25">
      <c r="B165" s="59"/>
      <c r="C165" s="4"/>
      <c r="D165" s="60"/>
      <c r="E165" s="60"/>
      <c r="F165" s="61"/>
      <c r="G165" s="60"/>
      <c r="H165" s="60"/>
    </row>
    <row r="166" spans="2:8" x14ac:dyDescent="0.25">
      <c r="B166" s="59"/>
      <c r="C166" s="4"/>
      <c r="D166" s="60"/>
      <c r="E166" s="60"/>
      <c r="F166" s="61"/>
      <c r="G166" s="60"/>
      <c r="H166" s="60"/>
    </row>
    <row r="167" spans="2:8" x14ac:dyDescent="0.25">
      <c r="B167" s="59"/>
      <c r="C167" s="4"/>
      <c r="D167" s="60"/>
      <c r="E167" s="60"/>
      <c r="F167" s="61"/>
      <c r="G167" s="60"/>
      <c r="H167" s="60"/>
    </row>
    <row r="168" spans="2:8" x14ac:dyDescent="0.25">
      <c r="B168" s="59"/>
      <c r="C168" s="4"/>
      <c r="D168" s="60"/>
      <c r="E168" s="60"/>
      <c r="F168" s="61"/>
      <c r="G168" s="60"/>
      <c r="H168" s="60"/>
    </row>
    <row r="169" spans="2:8" x14ac:dyDescent="0.25">
      <c r="B169" s="59"/>
      <c r="C169" s="4"/>
      <c r="D169" s="60"/>
      <c r="E169" s="60"/>
      <c r="F169" s="61"/>
      <c r="G169" s="60"/>
      <c r="H169" s="60"/>
    </row>
    <row r="170" spans="2:8" x14ac:dyDescent="0.25">
      <c r="B170" s="59"/>
      <c r="C170" s="4"/>
      <c r="D170" s="60"/>
      <c r="E170" s="60"/>
      <c r="F170" s="61"/>
      <c r="G170" s="60"/>
      <c r="H170" s="60"/>
    </row>
    <row r="171" spans="2:8" x14ac:dyDescent="0.25">
      <c r="B171" s="59"/>
      <c r="C171" s="4"/>
      <c r="D171" s="60"/>
      <c r="E171" s="60"/>
      <c r="F171" s="61"/>
      <c r="G171" s="60"/>
      <c r="H171" s="60"/>
    </row>
    <row r="172" spans="2:8" x14ac:dyDescent="0.25">
      <c r="B172" s="59"/>
      <c r="C172" s="4"/>
      <c r="D172" s="60"/>
      <c r="E172" s="60"/>
      <c r="F172" s="61"/>
      <c r="G172" s="60"/>
      <c r="H172" s="60"/>
    </row>
    <row r="173" spans="2:8" x14ac:dyDescent="0.25">
      <c r="B173" s="59"/>
      <c r="C173" s="4"/>
      <c r="D173" s="60"/>
      <c r="E173" s="60"/>
      <c r="F173" s="61"/>
      <c r="G173" s="60"/>
      <c r="H173" s="60"/>
    </row>
    <row r="174" spans="2:8" x14ac:dyDescent="0.25">
      <c r="B174" s="59"/>
      <c r="C174" s="4"/>
      <c r="D174" s="60"/>
      <c r="E174" s="60"/>
      <c r="F174" s="61"/>
      <c r="G174" s="60"/>
      <c r="H174" s="60"/>
    </row>
    <row r="175" spans="2:8" x14ac:dyDescent="0.25">
      <c r="B175" s="59"/>
      <c r="C175" s="4"/>
      <c r="D175" s="60"/>
      <c r="E175" s="60"/>
      <c r="F175" s="61"/>
      <c r="G175" s="60"/>
      <c r="H175" s="60"/>
    </row>
    <row r="176" spans="2:8" x14ac:dyDescent="0.25">
      <c r="B176" s="59"/>
      <c r="C176" s="4"/>
      <c r="D176" s="60"/>
      <c r="E176" s="60"/>
      <c r="F176" s="61"/>
      <c r="G176" s="60"/>
      <c r="H176" s="60"/>
    </row>
    <row r="177" spans="2:8" x14ac:dyDescent="0.25">
      <c r="B177" s="59"/>
      <c r="C177" s="4"/>
      <c r="D177" s="60"/>
      <c r="E177" s="60"/>
      <c r="F177" s="61"/>
      <c r="G177" s="60"/>
      <c r="H177" s="60"/>
    </row>
    <row r="178" spans="2:8" x14ac:dyDescent="0.25">
      <c r="B178" s="59"/>
      <c r="C178" s="4"/>
      <c r="D178" s="60"/>
      <c r="E178" s="60"/>
      <c r="F178" s="61"/>
      <c r="G178" s="60"/>
      <c r="H178" s="60"/>
    </row>
    <row r="179" spans="2:8" x14ac:dyDescent="0.25">
      <c r="B179" s="59"/>
      <c r="C179" s="4"/>
      <c r="D179" s="60"/>
      <c r="E179" s="60"/>
      <c r="F179" s="61"/>
      <c r="G179" s="60"/>
      <c r="H179" s="60"/>
    </row>
    <row r="180" spans="2:8" x14ac:dyDescent="0.25">
      <c r="B180" s="59"/>
      <c r="C180" s="4"/>
      <c r="D180" s="60"/>
      <c r="E180" s="60"/>
      <c r="F180" s="61"/>
      <c r="G180" s="60"/>
      <c r="H180" s="60"/>
    </row>
    <row r="181" spans="2:8" x14ac:dyDescent="0.25">
      <c r="B181" s="59"/>
      <c r="C181" s="4"/>
      <c r="D181" s="60"/>
      <c r="E181" s="60"/>
      <c r="F181" s="61"/>
      <c r="G181" s="60"/>
      <c r="H181" s="60"/>
    </row>
    <row r="182" spans="2:8" x14ac:dyDescent="0.25">
      <c r="B182" s="59"/>
      <c r="C182" s="4"/>
      <c r="D182" s="60"/>
      <c r="E182" s="60"/>
      <c r="F182" s="61"/>
      <c r="G182" s="60"/>
      <c r="H182" s="60"/>
    </row>
    <row r="183" spans="2:8" x14ac:dyDescent="0.25">
      <c r="B183" s="59"/>
      <c r="C183" s="4"/>
      <c r="D183" s="60"/>
      <c r="E183" s="60"/>
      <c r="F183" s="61"/>
      <c r="G183" s="60"/>
      <c r="H183" s="60"/>
    </row>
    <row r="184" spans="2:8" x14ac:dyDescent="0.25">
      <c r="B184" s="59"/>
      <c r="C184" s="4"/>
      <c r="D184" s="60"/>
      <c r="E184" s="60"/>
      <c r="F184" s="61"/>
      <c r="G184" s="60"/>
      <c r="H184" s="60"/>
    </row>
    <row r="185" spans="2:8" x14ac:dyDescent="0.25">
      <c r="B185" s="59"/>
      <c r="C185" s="4"/>
      <c r="D185" s="60"/>
      <c r="E185" s="60"/>
      <c r="F185" s="61"/>
      <c r="G185" s="60"/>
      <c r="H185" s="60"/>
    </row>
    <row r="186" spans="2:8" x14ac:dyDescent="0.25">
      <c r="B186" s="59"/>
      <c r="C186" s="4"/>
      <c r="D186" s="60"/>
      <c r="E186" s="60"/>
      <c r="F186" s="61"/>
      <c r="G186" s="60"/>
      <c r="H186" s="60"/>
    </row>
    <row r="187" spans="2:8" x14ac:dyDescent="0.25">
      <c r="B187" s="59"/>
      <c r="C187" s="4"/>
      <c r="D187" s="60"/>
      <c r="E187" s="60"/>
      <c r="F187" s="61"/>
      <c r="G187" s="60"/>
      <c r="H187" s="60"/>
    </row>
    <row r="188" spans="2:8" x14ac:dyDescent="0.25">
      <c r="B188" s="59"/>
      <c r="C188" s="4"/>
      <c r="D188" s="60"/>
      <c r="E188" s="60"/>
      <c r="F188" s="61"/>
      <c r="G188" s="60"/>
      <c r="H188" s="60"/>
    </row>
    <row r="189" spans="2:8" x14ac:dyDescent="0.25">
      <c r="B189" s="59"/>
      <c r="C189" s="4"/>
      <c r="D189" s="60"/>
      <c r="E189" s="60"/>
      <c r="F189" s="61"/>
      <c r="G189" s="60"/>
      <c r="H189" s="60"/>
    </row>
    <row r="190" spans="2:8" x14ac:dyDescent="0.25">
      <c r="B190" s="59"/>
      <c r="C190" s="4"/>
      <c r="D190" s="60"/>
      <c r="E190" s="60"/>
      <c r="F190" s="61"/>
      <c r="G190" s="60"/>
      <c r="H190" s="60"/>
    </row>
    <row r="191" spans="2:8" x14ac:dyDescent="0.25">
      <c r="B191" s="59"/>
      <c r="C191" s="4"/>
      <c r="D191" s="60"/>
      <c r="E191" s="60"/>
      <c r="F191" s="61"/>
      <c r="G191" s="60"/>
      <c r="H191" s="60"/>
    </row>
    <row r="192" spans="2:8" x14ac:dyDescent="0.25">
      <c r="B192" s="59"/>
      <c r="C192" s="4"/>
      <c r="D192" s="60"/>
      <c r="E192" s="60"/>
      <c r="F192" s="61"/>
      <c r="G192" s="60"/>
      <c r="H192" s="60"/>
    </row>
    <row r="193" spans="2:8" x14ac:dyDescent="0.25">
      <c r="B193" s="59"/>
      <c r="C193" s="4"/>
      <c r="D193" s="60"/>
      <c r="E193" s="60"/>
      <c r="F193" s="61"/>
      <c r="G193" s="60"/>
      <c r="H193" s="60"/>
    </row>
    <row r="194" spans="2:8" x14ac:dyDescent="0.25">
      <c r="B194" s="59"/>
      <c r="C194" s="4"/>
      <c r="D194" s="60"/>
      <c r="E194" s="60"/>
      <c r="F194" s="61"/>
      <c r="G194" s="60"/>
      <c r="H194" s="60"/>
    </row>
    <row r="195" spans="2:8" x14ac:dyDescent="0.25">
      <c r="B195" s="59"/>
      <c r="C195" s="4"/>
      <c r="D195" s="60"/>
      <c r="E195" s="60"/>
      <c r="F195" s="61"/>
      <c r="G195" s="60"/>
      <c r="H195" s="60"/>
    </row>
    <row r="196" spans="2:8" x14ac:dyDescent="0.25">
      <c r="B196" s="59"/>
      <c r="C196" s="4"/>
      <c r="D196" s="60"/>
      <c r="E196" s="60"/>
      <c r="F196" s="61"/>
      <c r="G196" s="60"/>
      <c r="H196" s="60"/>
    </row>
    <row r="197" spans="2:8" x14ac:dyDescent="0.25">
      <c r="B197" s="59"/>
      <c r="C197" s="4"/>
      <c r="D197" s="60"/>
      <c r="E197" s="60"/>
      <c r="F197" s="61"/>
      <c r="G197" s="60"/>
      <c r="H197" s="60"/>
    </row>
    <row r="198" spans="2:8" x14ac:dyDescent="0.25">
      <c r="B198" s="59"/>
      <c r="C198" s="4"/>
      <c r="D198" s="60"/>
      <c r="E198" s="60"/>
      <c r="F198" s="61"/>
      <c r="G198" s="60"/>
      <c r="H198" s="60"/>
    </row>
    <row r="199" spans="2:8" x14ac:dyDescent="0.25">
      <c r="B199" s="59"/>
      <c r="C199" s="4"/>
      <c r="D199" s="60"/>
      <c r="E199" s="60"/>
      <c r="F199" s="61"/>
      <c r="G199" s="60"/>
      <c r="H199" s="60"/>
    </row>
    <row r="200" spans="2:8" x14ac:dyDescent="0.25">
      <c r="B200" s="59"/>
      <c r="C200" s="4"/>
      <c r="D200" s="60"/>
      <c r="E200" s="60"/>
      <c r="F200" s="61"/>
      <c r="G200" s="60"/>
      <c r="H200" s="60"/>
    </row>
    <row r="201" spans="2:8" x14ac:dyDescent="0.25">
      <c r="B201" s="59"/>
      <c r="C201" s="4"/>
      <c r="D201" s="60"/>
      <c r="E201" s="60"/>
      <c r="F201" s="61"/>
      <c r="G201" s="60"/>
      <c r="H201" s="60"/>
    </row>
    <row r="202" spans="2:8" x14ac:dyDescent="0.25">
      <c r="B202" s="59"/>
      <c r="C202" s="4"/>
      <c r="D202" s="60"/>
      <c r="E202" s="60"/>
      <c r="F202" s="61"/>
      <c r="G202" s="60"/>
      <c r="H202" s="60"/>
    </row>
    <row r="203" spans="2:8" x14ac:dyDescent="0.25">
      <c r="B203" s="59"/>
      <c r="C203" s="4"/>
      <c r="D203" s="60"/>
      <c r="E203" s="60"/>
      <c r="F203" s="61"/>
      <c r="G203" s="60"/>
      <c r="H203" s="60"/>
    </row>
    <row r="204" spans="2:8" x14ac:dyDescent="0.25">
      <c r="B204" s="59"/>
      <c r="C204" s="4"/>
      <c r="D204" s="60"/>
      <c r="E204" s="60"/>
      <c r="F204" s="61"/>
      <c r="G204" s="60"/>
      <c r="H204" s="60"/>
    </row>
    <row r="205" spans="2:8" x14ac:dyDescent="0.25">
      <c r="B205" s="59"/>
      <c r="C205" s="4"/>
      <c r="D205" s="60"/>
      <c r="E205" s="60"/>
      <c r="F205" s="61"/>
      <c r="G205" s="60"/>
      <c r="H205" s="60"/>
    </row>
    <row r="206" spans="2:8" x14ac:dyDescent="0.25">
      <c r="B206" s="59"/>
      <c r="C206" s="4"/>
      <c r="D206" s="60"/>
      <c r="E206" s="60"/>
      <c r="F206" s="61"/>
      <c r="G206" s="60"/>
      <c r="H206" s="60"/>
    </row>
    <row r="207" spans="2:8" x14ac:dyDescent="0.25">
      <c r="B207" s="59"/>
      <c r="C207" s="4"/>
      <c r="D207" s="60"/>
      <c r="E207" s="60"/>
      <c r="F207" s="61"/>
      <c r="G207" s="60"/>
      <c r="H207" s="60"/>
    </row>
    <row r="208" spans="2:8" x14ac:dyDescent="0.25">
      <c r="B208" s="59"/>
      <c r="C208" s="4"/>
      <c r="D208" s="60"/>
      <c r="E208" s="60"/>
      <c r="F208" s="61"/>
      <c r="G208" s="60"/>
      <c r="H208" s="60"/>
    </row>
    <row r="209" spans="2:8" x14ac:dyDescent="0.25">
      <c r="B209" s="59"/>
      <c r="C209" s="4"/>
      <c r="D209" s="60"/>
      <c r="E209" s="60"/>
      <c r="F209" s="61"/>
      <c r="G209" s="60"/>
      <c r="H209" s="60"/>
    </row>
    <row r="210" spans="2:8" x14ac:dyDescent="0.25">
      <c r="B210" s="59"/>
      <c r="C210" s="4"/>
      <c r="D210" s="60"/>
      <c r="E210" s="60"/>
      <c r="F210" s="61"/>
      <c r="G210" s="60"/>
      <c r="H210" s="60"/>
    </row>
    <row r="211" spans="2:8" x14ac:dyDescent="0.25">
      <c r="B211" s="59"/>
      <c r="C211" s="4"/>
      <c r="D211" s="60"/>
      <c r="E211" s="60"/>
      <c r="F211" s="61"/>
      <c r="G211" s="60"/>
      <c r="H211" s="60"/>
    </row>
    <row r="212" spans="2:8" x14ac:dyDescent="0.25">
      <c r="B212" s="59"/>
      <c r="C212" s="4"/>
      <c r="D212" s="60"/>
      <c r="E212" s="60"/>
      <c r="F212" s="61"/>
      <c r="G212" s="60"/>
      <c r="H212" s="60"/>
    </row>
    <row r="213" spans="2:8" x14ac:dyDescent="0.25">
      <c r="B213" s="59"/>
      <c r="C213" s="4"/>
      <c r="D213" s="60"/>
      <c r="E213" s="60"/>
      <c r="F213" s="61"/>
      <c r="G213" s="60"/>
      <c r="H213" s="60"/>
    </row>
    <row r="214" spans="2:8" x14ac:dyDescent="0.25">
      <c r="B214" s="59"/>
      <c r="C214" s="4"/>
      <c r="D214" s="60"/>
      <c r="E214" s="60"/>
      <c r="F214" s="61"/>
      <c r="G214" s="60"/>
      <c r="H214" s="60"/>
    </row>
    <row r="215" spans="2:8" x14ac:dyDescent="0.25">
      <c r="B215" s="59"/>
      <c r="C215" s="4"/>
      <c r="D215" s="60"/>
      <c r="E215" s="60"/>
      <c r="F215" s="61"/>
      <c r="G215" s="60"/>
      <c r="H215" s="60"/>
    </row>
    <row r="216" spans="2:8" x14ac:dyDescent="0.25">
      <c r="B216" s="59"/>
      <c r="C216" s="4"/>
      <c r="D216" s="60"/>
      <c r="E216" s="60"/>
      <c r="F216" s="61"/>
      <c r="G216" s="60"/>
      <c r="H216" s="60"/>
    </row>
    <row r="217" spans="2:8" x14ac:dyDescent="0.25">
      <c r="B217" s="59"/>
      <c r="C217" s="4"/>
      <c r="D217" s="60"/>
      <c r="E217" s="60"/>
      <c r="F217" s="61"/>
      <c r="G217" s="60"/>
      <c r="H217" s="60"/>
    </row>
    <row r="218" spans="2:8" x14ac:dyDescent="0.25">
      <c r="B218" s="59"/>
      <c r="C218" s="4"/>
      <c r="D218" s="60"/>
      <c r="E218" s="60"/>
      <c r="F218" s="61"/>
      <c r="G218" s="60"/>
      <c r="H218" s="60"/>
    </row>
    <row r="219" spans="2:8" x14ac:dyDescent="0.25">
      <c r="B219" s="59"/>
      <c r="C219" s="4"/>
      <c r="D219" s="60"/>
      <c r="E219" s="60"/>
      <c r="F219" s="61"/>
      <c r="G219" s="60"/>
      <c r="H219" s="60"/>
    </row>
    <row r="220" spans="2:8" x14ac:dyDescent="0.25">
      <c r="B220" s="59"/>
      <c r="C220" s="4"/>
      <c r="D220" s="60"/>
      <c r="E220" s="60"/>
      <c r="F220" s="61"/>
      <c r="G220" s="60"/>
      <c r="H220" s="60"/>
    </row>
    <row r="221" spans="2:8" x14ac:dyDescent="0.25">
      <c r="B221" s="59"/>
      <c r="C221" s="4"/>
      <c r="D221" s="60"/>
      <c r="E221" s="60"/>
      <c r="F221" s="61"/>
      <c r="G221" s="60"/>
      <c r="H221" s="60"/>
    </row>
    <row r="222" spans="2:8" x14ac:dyDescent="0.25">
      <c r="B222" s="59"/>
      <c r="C222" s="4"/>
      <c r="D222" s="60"/>
      <c r="E222" s="60"/>
      <c r="F222" s="61"/>
      <c r="G222" s="60"/>
      <c r="H222" s="60"/>
    </row>
    <row r="223" spans="2:8" x14ac:dyDescent="0.25">
      <c r="B223" s="59"/>
      <c r="C223" s="4"/>
      <c r="D223" s="60"/>
      <c r="E223" s="60"/>
      <c r="F223" s="61"/>
      <c r="G223" s="60"/>
      <c r="H223" s="60"/>
    </row>
    <row r="224" spans="2:8" x14ac:dyDescent="0.25">
      <c r="B224" s="59"/>
      <c r="C224" s="4"/>
      <c r="D224" s="60"/>
      <c r="E224" s="60"/>
      <c r="F224" s="61"/>
      <c r="G224" s="60"/>
      <c r="H224" s="60"/>
    </row>
    <row r="225" spans="2:8" x14ac:dyDescent="0.25">
      <c r="B225" s="59"/>
      <c r="C225" s="4"/>
      <c r="D225" s="60"/>
      <c r="E225" s="60"/>
      <c r="F225" s="61"/>
      <c r="G225" s="60"/>
      <c r="H225" s="60"/>
    </row>
    <row r="226" spans="2:8" x14ac:dyDescent="0.25">
      <c r="B226" s="59"/>
      <c r="C226" s="4"/>
      <c r="D226" s="60"/>
      <c r="E226" s="60"/>
      <c r="F226" s="61"/>
      <c r="G226" s="60"/>
      <c r="H226" s="60"/>
    </row>
    <row r="227" spans="2:8" x14ac:dyDescent="0.25">
      <c r="B227" s="59"/>
      <c r="C227" s="4"/>
      <c r="D227" s="60"/>
      <c r="E227" s="60"/>
      <c r="F227" s="61"/>
      <c r="G227" s="60"/>
      <c r="H227" s="60"/>
    </row>
    <row r="228" spans="2:8" x14ac:dyDescent="0.25">
      <c r="B228" s="59"/>
      <c r="C228" s="4"/>
      <c r="D228" s="60"/>
      <c r="E228" s="60"/>
      <c r="F228" s="61"/>
      <c r="G228" s="60"/>
      <c r="H228" s="60"/>
    </row>
    <row r="229" spans="2:8" x14ac:dyDescent="0.25">
      <c r="B229" s="59"/>
      <c r="C229" s="4"/>
      <c r="D229" s="60"/>
      <c r="E229" s="60"/>
      <c r="F229" s="61"/>
      <c r="G229" s="60"/>
      <c r="H229" s="60"/>
    </row>
    <row r="230" spans="2:8" x14ac:dyDescent="0.25">
      <c r="B230" s="59"/>
      <c r="C230" s="4"/>
      <c r="D230" s="60"/>
      <c r="E230" s="60"/>
      <c r="F230" s="61"/>
      <c r="G230" s="60"/>
      <c r="H230" s="60"/>
    </row>
    <row r="231" spans="2:8" x14ac:dyDescent="0.25">
      <c r="B231" s="59"/>
      <c r="C231" s="4"/>
      <c r="D231" s="60"/>
      <c r="E231" s="60"/>
      <c r="F231" s="61"/>
      <c r="G231" s="60"/>
      <c r="H231" s="60"/>
    </row>
    <row r="232" spans="2:8" x14ac:dyDescent="0.25">
      <c r="B232" s="59"/>
      <c r="C232" s="4"/>
      <c r="D232" s="60"/>
      <c r="E232" s="60"/>
      <c r="F232" s="61"/>
      <c r="G232" s="60"/>
      <c r="H232" s="60"/>
    </row>
    <row r="233" spans="2:8" x14ac:dyDescent="0.25">
      <c r="B233" s="59"/>
      <c r="C233" s="4"/>
      <c r="D233" s="60"/>
      <c r="E233" s="60"/>
      <c r="F233" s="61"/>
      <c r="G233" s="60"/>
      <c r="H233" s="60"/>
    </row>
    <row r="234" spans="2:8" x14ac:dyDescent="0.25">
      <c r="B234" s="59"/>
      <c r="C234" s="4"/>
      <c r="D234" s="60"/>
      <c r="E234" s="60"/>
      <c r="F234" s="61"/>
      <c r="G234" s="60"/>
      <c r="H234" s="60"/>
    </row>
    <row r="235" spans="2:8" x14ac:dyDescent="0.25">
      <c r="B235" s="59"/>
      <c r="C235" s="4"/>
      <c r="D235" s="60"/>
      <c r="E235" s="60"/>
      <c r="F235" s="61"/>
      <c r="G235" s="60"/>
      <c r="H235" s="60"/>
    </row>
    <row r="236" spans="2:8" x14ac:dyDescent="0.25">
      <c r="B236" s="59"/>
      <c r="C236" s="4"/>
      <c r="D236" s="60"/>
      <c r="E236" s="60"/>
      <c r="F236" s="61"/>
      <c r="G236" s="60"/>
      <c r="H236" s="60"/>
    </row>
    <row r="237" spans="2:8" x14ac:dyDescent="0.25">
      <c r="B237" s="59"/>
      <c r="C237" s="4"/>
      <c r="D237" s="60"/>
      <c r="E237" s="60"/>
      <c r="F237" s="61"/>
      <c r="G237" s="60"/>
      <c r="H237" s="60"/>
    </row>
    <row r="238" spans="2:8" x14ac:dyDescent="0.25">
      <c r="B238" s="59"/>
      <c r="C238" s="4"/>
      <c r="D238" s="60"/>
      <c r="E238" s="60"/>
      <c r="F238" s="61"/>
      <c r="G238" s="60"/>
      <c r="H238" s="60"/>
    </row>
    <row r="239" spans="2:8" x14ac:dyDescent="0.25">
      <c r="B239" s="59"/>
      <c r="C239" s="4"/>
      <c r="D239" s="60"/>
      <c r="E239" s="60"/>
      <c r="F239" s="61"/>
      <c r="G239" s="60"/>
      <c r="H239" s="60"/>
    </row>
    <row r="240" spans="2:8" x14ac:dyDescent="0.25">
      <c r="B240" s="59"/>
      <c r="C240" s="4"/>
      <c r="D240" s="60"/>
      <c r="E240" s="60"/>
      <c r="F240" s="61"/>
      <c r="G240" s="60"/>
      <c r="H240" s="60"/>
    </row>
    <row r="241" spans="2:8" x14ac:dyDescent="0.25">
      <c r="B241" s="59"/>
      <c r="C241" s="4"/>
      <c r="D241" s="60"/>
      <c r="E241" s="60"/>
      <c r="F241" s="61"/>
      <c r="G241" s="60"/>
      <c r="H241" s="60"/>
    </row>
    <row r="242" spans="2:8" x14ac:dyDescent="0.25">
      <c r="B242" s="59"/>
      <c r="C242" s="4"/>
      <c r="D242" s="60"/>
      <c r="E242" s="60"/>
      <c r="F242" s="61"/>
      <c r="G242" s="60"/>
      <c r="H242" s="60"/>
    </row>
    <row r="243" spans="2:8" x14ac:dyDescent="0.25">
      <c r="B243" s="59"/>
      <c r="C243" s="4"/>
      <c r="D243" s="60"/>
      <c r="E243" s="60"/>
      <c r="F243" s="61"/>
      <c r="G243" s="60"/>
      <c r="H243" s="60"/>
    </row>
    <row r="244" spans="2:8" x14ac:dyDescent="0.25">
      <c r="B244" s="59"/>
      <c r="C244" s="4"/>
      <c r="D244" s="60"/>
      <c r="E244" s="60"/>
      <c r="F244" s="61"/>
      <c r="G244" s="60"/>
      <c r="H244" s="60"/>
    </row>
    <row r="245" spans="2:8" x14ac:dyDescent="0.25">
      <c r="B245" s="59"/>
      <c r="C245" s="4"/>
      <c r="D245" s="60"/>
      <c r="E245" s="60"/>
      <c r="F245" s="61"/>
      <c r="G245" s="60"/>
      <c r="H245" s="60"/>
    </row>
    <row r="246" spans="2:8" x14ac:dyDescent="0.25">
      <c r="B246" s="59"/>
      <c r="C246" s="4"/>
      <c r="D246" s="60"/>
      <c r="E246" s="60"/>
      <c r="F246" s="61"/>
      <c r="G246" s="60"/>
      <c r="H246" s="60"/>
    </row>
    <row r="247" spans="2:8" x14ac:dyDescent="0.25">
      <c r="B247" s="59"/>
      <c r="C247" s="4"/>
      <c r="D247" s="60"/>
      <c r="E247" s="60"/>
      <c r="F247" s="61"/>
      <c r="G247" s="60"/>
      <c r="H247" s="60"/>
    </row>
    <row r="248" spans="2:8" x14ac:dyDescent="0.25">
      <c r="B248" s="59"/>
      <c r="C248" s="4"/>
      <c r="D248" s="60"/>
      <c r="E248" s="60"/>
      <c r="F248" s="61"/>
      <c r="G248" s="60"/>
      <c r="H248" s="60"/>
    </row>
    <row r="249" spans="2:8" x14ac:dyDescent="0.25">
      <c r="B249" s="59"/>
      <c r="C249" s="4"/>
      <c r="D249" s="60"/>
      <c r="E249" s="60"/>
      <c r="F249" s="61"/>
      <c r="G249" s="60"/>
      <c r="H249" s="60"/>
    </row>
    <row r="250" spans="2:8" x14ac:dyDescent="0.25">
      <c r="B250" s="59"/>
      <c r="C250" s="4"/>
      <c r="D250" s="60"/>
      <c r="E250" s="60"/>
      <c r="F250" s="61"/>
      <c r="G250" s="60"/>
      <c r="H250" s="60"/>
    </row>
    <row r="251" spans="2:8" x14ac:dyDescent="0.25">
      <c r="B251" s="59"/>
      <c r="C251" s="4"/>
      <c r="D251" s="60"/>
      <c r="E251" s="60"/>
      <c r="F251" s="61"/>
      <c r="G251" s="60"/>
      <c r="H251" s="60"/>
    </row>
    <row r="252" spans="2:8" x14ac:dyDescent="0.25">
      <c r="B252" s="59"/>
      <c r="C252" s="4"/>
      <c r="D252" s="60"/>
      <c r="E252" s="60"/>
      <c r="F252" s="61"/>
      <c r="G252" s="60"/>
      <c r="H252" s="60"/>
    </row>
    <row r="253" spans="2:8" x14ac:dyDescent="0.25">
      <c r="B253" s="59"/>
      <c r="C253" s="4"/>
      <c r="D253" s="60"/>
      <c r="E253" s="60"/>
      <c r="F253" s="61"/>
      <c r="G253" s="60"/>
      <c r="H253" s="60"/>
    </row>
    <row r="254" spans="2:8" x14ac:dyDescent="0.25">
      <c r="B254" s="59"/>
      <c r="C254" s="4"/>
      <c r="D254" s="60"/>
      <c r="E254" s="60"/>
      <c r="F254" s="61"/>
      <c r="G254" s="60"/>
      <c r="H254" s="60"/>
    </row>
    <row r="255" spans="2:8" x14ac:dyDescent="0.25">
      <c r="B255" s="59"/>
      <c r="C255" s="4"/>
      <c r="D255" s="60"/>
      <c r="E255" s="60"/>
      <c r="F255" s="61"/>
      <c r="G255" s="60"/>
      <c r="H255" s="60"/>
    </row>
    <row r="256" spans="2:8" x14ac:dyDescent="0.25">
      <c r="B256" s="59"/>
      <c r="C256" s="4"/>
      <c r="D256" s="60"/>
      <c r="E256" s="60"/>
      <c r="F256" s="61"/>
      <c r="G256" s="60"/>
      <c r="H256" s="60"/>
    </row>
    <row r="257" spans="2:8" x14ac:dyDescent="0.25">
      <c r="B257" s="59"/>
      <c r="C257" s="4"/>
      <c r="D257" s="60"/>
      <c r="E257" s="60"/>
      <c r="F257" s="61"/>
      <c r="G257" s="60"/>
      <c r="H257" s="60"/>
    </row>
    <row r="258" spans="2:8" x14ac:dyDescent="0.25">
      <c r="B258" s="59"/>
      <c r="C258" s="4"/>
      <c r="D258" s="60"/>
      <c r="E258" s="60"/>
      <c r="F258" s="61"/>
      <c r="G258" s="60"/>
      <c r="H258" s="60"/>
    </row>
    <row r="259" spans="2:8" x14ac:dyDescent="0.25">
      <c r="B259" s="59"/>
      <c r="C259" s="4"/>
      <c r="D259" s="60"/>
      <c r="E259" s="60"/>
      <c r="F259" s="61"/>
      <c r="G259" s="60"/>
      <c r="H259" s="60"/>
    </row>
    <row r="260" spans="2:8" x14ac:dyDescent="0.25">
      <c r="B260" s="59"/>
      <c r="C260" s="4"/>
      <c r="D260" s="60"/>
      <c r="E260" s="60"/>
      <c r="F260" s="61"/>
      <c r="G260" s="60"/>
      <c r="H260" s="60"/>
    </row>
    <row r="261" spans="2:8" x14ac:dyDescent="0.25">
      <c r="B261" s="59"/>
      <c r="C261" s="4"/>
      <c r="D261" s="60"/>
      <c r="E261" s="60"/>
      <c r="F261" s="61"/>
      <c r="G261" s="60"/>
      <c r="H261" s="60"/>
    </row>
    <row r="262" spans="2:8" x14ac:dyDescent="0.25">
      <c r="B262" s="59"/>
      <c r="C262" s="4"/>
      <c r="D262" s="60"/>
      <c r="E262" s="60"/>
      <c r="F262" s="61"/>
      <c r="G262" s="60"/>
      <c r="H262" s="60"/>
    </row>
    <row r="263" spans="2:8" x14ac:dyDescent="0.25">
      <c r="B263" s="59"/>
      <c r="C263" s="4"/>
      <c r="D263" s="60"/>
      <c r="E263" s="60"/>
      <c r="F263" s="61"/>
      <c r="G263" s="60"/>
      <c r="H263" s="60"/>
    </row>
    <row r="264" spans="2:8" x14ac:dyDescent="0.25">
      <c r="B264" s="59"/>
      <c r="C264" s="4"/>
      <c r="D264" s="60"/>
      <c r="E264" s="60"/>
      <c r="F264" s="61"/>
      <c r="G264" s="60"/>
      <c r="H264" s="60"/>
    </row>
    <row r="265" spans="2:8" x14ac:dyDescent="0.25">
      <c r="B265" s="59"/>
      <c r="C265" s="4"/>
      <c r="D265" s="60"/>
      <c r="E265" s="60"/>
      <c r="F265" s="61"/>
      <c r="G265" s="60"/>
      <c r="H265" s="60"/>
    </row>
    <row r="266" spans="2:8" x14ac:dyDescent="0.25">
      <c r="B266" s="59"/>
      <c r="C266" s="4"/>
      <c r="D266" s="60"/>
      <c r="E266" s="60"/>
      <c r="F266" s="61"/>
      <c r="G266" s="60"/>
      <c r="H266" s="60"/>
    </row>
    <row r="267" spans="2:8" x14ac:dyDescent="0.25">
      <c r="B267" s="59"/>
      <c r="C267" s="4"/>
      <c r="D267" s="60"/>
      <c r="E267" s="60"/>
      <c r="F267" s="61"/>
      <c r="G267" s="60"/>
      <c r="H267" s="60"/>
    </row>
    <row r="268" spans="2:8" x14ac:dyDescent="0.25">
      <c r="B268" s="59"/>
      <c r="C268" s="4"/>
      <c r="D268" s="60"/>
      <c r="E268" s="60"/>
      <c r="F268" s="61"/>
      <c r="G268" s="60"/>
      <c r="H268" s="60"/>
    </row>
    <row r="269" spans="2:8" x14ac:dyDescent="0.25">
      <c r="B269" s="59"/>
      <c r="C269" s="4"/>
      <c r="D269" s="60"/>
      <c r="E269" s="60"/>
      <c r="F269" s="61"/>
      <c r="G269" s="60"/>
      <c r="H269" s="60"/>
    </row>
  </sheetData>
  <mergeCells count="3">
    <mergeCell ref="C3:E3"/>
    <mergeCell ref="F3:H3"/>
    <mergeCell ref="Q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8"/>
  <sheetViews>
    <sheetView workbookViewId="0">
      <selection activeCell="F8" sqref="F8"/>
    </sheetView>
  </sheetViews>
  <sheetFormatPr defaultRowHeight="15" x14ac:dyDescent="0.25"/>
  <cols>
    <col min="2" max="2" width="7.42578125" bestFit="1" customWidth="1"/>
    <col min="3" max="3" width="26" bestFit="1" customWidth="1"/>
    <col min="4" max="4" width="8" bestFit="1" customWidth="1"/>
    <col min="5" max="5" width="10.85546875" bestFit="1" customWidth="1"/>
    <col min="6" max="6" width="18.28515625" bestFit="1" customWidth="1"/>
    <col min="7" max="7" width="8" bestFit="1" customWidth="1"/>
    <col min="8" max="8" width="10.85546875" bestFit="1" customWidth="1"/>
    <col min="9" max="9" width="8.140625" bestFit="1" customWidth="1"/>
    <col min="10" max="10" width="8" bestFit="1" customWidth="1"/>
    <col min="11" max="11" width="5" bestFit="1" customWidth="1"/>
    <col min="12" max="12" width="11" bestFit="1" customWidth="1"/>
    <col min="13" max="14" width="7.140625" bestFit="1" customWidth="1"/>
    <col min="15" max="15" width="7.5703125" bestFit="1" customWidth="1"/>
    <col min="16" max="16" width="7.85546875" bestFit="1" customWidth="1"/>
    <col min="18" max="18" width="13.140625" bestFit="1" customWidth="1"/>
  </cols>
  <sheetData>
    <row r="2" spans="2:16" x14ac:dyDescent="0.25">
      <c r="B2" s="49"/>
      <c r="C2" s="54" t="str">
        <f>Stats!C3</f>
        <v>Prudence Enhanced Income</v>
      </c>
      <c r="D2" s="54"/>
      <c r="E2" s="54"/>
      <c r="F2" s="111" t="str">
        <f>Stats!F3</f>
        <v>JPEIJACC Index</v>
      </c>
      <c r="G2" s="55"/>
      <c r="H2" s="55"/>
      <c r="I2" s="50" t="s">
        <v>41</v>
      </c>
      <c r="J2" s="50"/>
      <c r="K2" s="50" t="s">
        <v>29</v>
      </c>
      <c r="L2" s="50" t="s">
        <v>42</v>
      </c>
      <c r="M2" s="138" t="s">
        <v>43</v>
      </c>
      <c r="N2" s="138"/>
      <c r="O2" s="138"/>
      <c r="P2" s="138"/>
    </row>
    <row r="3" spans="2:16" x14ac:dyDescent="0.25">
      <c r="B3" s="49"/>
      <c r="C3" s="49" t="s">
        <v>44</v>
      </c>
      <c r="D3" s="49" t="s">
        <v>45</v>
      </c>
      <c r="E3" s="49" t="s">
        <v>46</v>
      </c>
      <c r="F3" s="49" t="s">
        <v>44</v>
      </c>
      <c r="G3" s="49" t="s">
        <v>45</v>
      </c>
      <c r="H3" s="49" t="s">
        <v>46</v>
      </c>
      <c r="I3" s="49" t="s">
        <v>44</v>
      </c>
      <c r="J3" s="49" t="s">
        <v>45</v>
      </c>
      <c r="K3" s="49"/>
      <c r="L3" s="49"/>
      <c r="M3" s="49" t="s">
        <v>47</v>
      </c>
      <c r="N3" s="49" t="s">
        <v>48</v>
      </c>
      <c r="O3" s="49" t="s">
        <v>49</v>
      </c>
      <c r="P3" s="49" t="s">
        <v>50</v>
      </c>
    </row>
    <row r="4" spans="2:16" x14ac:dyDescent="0.25">
      <c r="B4" s="51">
        <f ca="1">OFFSET(Stats!B5,12,0)</f>
        <v>40148</v>
      </c>
      <c r="C4" s="52">
        <f t="array" ref="C4">PRODUCT(1+Stats!C6:C17)-1</f>
        <v>0.97802942553966221</v>
      </c>
      <c r="D4" s="52">
        <f>STDEV(Stats!C6:C17)*SQRT(12)</f>
        <v>0.26056710704294062</v>
      </c>
      <c r="E4" s="56">
        <f>C4/D4</f>
        <v>3.7534646511560115</v>
      </c>
      <c r="F4" s="52">
        <f t="array" ref="F4">PRODUCT(1+Stats!F6:F17)-1</f>
        <v>0.27949951876804602</v>
      </c>
      <c r="G4" s="52">
        <f>STDEV(Stats!F6:F17)*SQRT(12)</f>
        <v>5.3225450139267917E-2</v>
      </c>
      <c r="H4" s="56">
        <f>F4/G4</f>
        <v>5.2512382335277019</v>
      </c>
      <c r="I4" s="53">
        <f>C4-F4</f>
        <v>0.69852990677161619</v>
      </c>
      <c r="J4" s="53">
        <f>D4-G4</f>
        <v>0.20734165690367271</v>
      </c>
      <c r="K4" s="104">
        <f>LINEST(Stats!C6:C17,Stats!F6:F17)</f>
        <v>3.73513955671871</v>
      </c>
      <c r="L4" s="85">
        <f>CORREL(Stats!C6:C17,Stats!F6:F17)</f>
        <v>0.76296845943251279</v>
      </c>
      <c r="M4" s="98">
        <f ca="1">'Monthly Returns'!$G$23+'Rolling 12M'!D4</f>
        <v>0.57315623559069484</v>
      </c>
      <c r="N4" s="98">
        <f ca="1">'Monthly Returns'!$G$23-'Rolling 12M'!D4</f>
        <v>5.2022021504813609E-2</v>
      </c>
      <c r="O4" s="98">
        <f ca="1">'Monthly Returns'!$G$23+2*'Rolling 12M'!D4</f>
        <v>0.83372334263363546</v>
      </c>
      <c r="P4" s="98">
        <f ca="1">'Monthly Returns'!$G$23-2*'Rolling 12M'!D4</f>
        <v>-0.20854508553812701</v>
      </c>
    </row>
    <row r="5" spans="2:16" x14ac:dyDescent="0.25">
      <c r="B5" s="59">
        <f ca="1">IF(B4&lt;Stats!$E$1, OFFSET(Stats!B6,12,0),"")</f>
        <v>40179</v>
      </c>
      <c r="C5" s="52">
        <f t="array" ref="C5">PRODUCT(1+Stats!C7:C18)-1</f>
        <v>1.1225465968636499</v>
      </c>
      <c r="D5" s="52">
        <f>STDEV(Stats!C7:C18)*SQRT(12)</f>
        <v>0.25268673203287612</v>
      </c>
      <c r="E5" s="56">
        <f t="shared" ref="E5:E59" si="0">C5/D5</f>
        <v>4.4424437635989511</v>
      </c>
      <c r="F5" s="52">
        <f t="array" ref="F5">PRODUCT(1+Stats!F7:F18)-1</f>
        <v>0.27749738120179024</v>
      </c>
      <c r="G5" s="52">
        <f>STDEV(Stats!F7:F18)*SQRT(12)</f>
        <v>5.3577557933150645E-2</v>
      </c>
      <c r="H5" s="56">
        <f t="shared" ref="H5:H59" si="1">F5/G5</f>
        <v>5.1793585207453283</v>
      </c>
      <c r="I5" s="53">
        <f t="shared" ref="I5:I59" si="2">C5-F5</f>
        <v>0.84504921566185964</v>
      </c>
      <c r="J5" s="53">
        <f t="shared" ref="J5:J59" si="3">D5-G5</f>
        <v>0.19910917409972548</v>
      </c>
      <c r="K5" s="104">
        <f>LINEST(Stats!C7:C18,Stats!F7:F18)</f>
        <v>3.3982442332700855</v>
      </c>
      <c r="L5" s="85">
        <f>CORREL(Stats!C7:C18,Stats!F7:F18)</f>
        <v>0.72053497156049595</v>
      </c>
      <c r="M5" s="98">
        <f ca="1">'Monthly Returns'!$G$23+'Rolling 12M'!D5</f>
        <v>0.56527586058063028</v>
      </c>
      <c r="N5" s="98">
        <f ca="1">'Monthly Returns'!$G$23-'Rolling 12M'!D5</f>
        <v>5.9902396514878109E-2</v>
      </c>
      <c r="O5" s="98">
        <f ca="1">'Monthly Returns'!$G$23+2*'Rolling 12M'!D5</f>
        <v>0.81796259261350646</v>
      </c>
      <c r="P5" s="98">
        <f ca="1">'Monthly Returns'!$G$23-2*'Rolling 12M'!D5</f>
        <v>-0.19278433551799801</v>
      </c>
    </row>
    <row r="6" spans="2:16" x14ac:dyDescent="0.25">
      <c r="B6" s="59">
        <f ca="1">IF(B5&lt;Stats!$E$1, OFFSET(Stats!B7,12,0),"")</f>
        <v>40210</v>
      </c>
      <c r="C6" s="52">
        <f t="array" ref="C6">PRODUCT(1+Stats!C8:C19)-1</f>
        <v>1.0792755760558284</v>
      </c>
      <c r="D6" s="52">
        <f>STDEV(Stats!C8:C19)*SQRT(12)</f>
        <v>0.25685900447875709</v>
      </c>
      <c r="E6" s="56">
        <f t="shared" si="0"/>
        <v>4.2018210661759658</v>
      </c>
      <c r="F6" s="52">
        <f t="array" ref="F6">PRODUCT(1+Stats!F8:F19)-1</f>
        <v>0.28527986315689424</v>
      </c>
      <c r="G6" s="52">
        <f>STDEV(Stats!F8:F19)*SQRT(12)</f>
        <v>5.1572063553801777E-2</v>
      </c>
      <c r="H6" s="56">
        <f t="shared" si="1"/>
        <v>5.5316743891638218</v>
      </c>
      <c r="I6" s="53">
        <f t="shared" si="2"/>
        <v>0.79399571289893411</v>
      </c>
      <c r="J6" s="53">
        <f t="shared" si="3"/>
        <v>0.20528694092495531</v>
      </c>
      <c r="K6" s="104">
        <f>LINEST(Stats!C8:C19,Stats!F8:F19)</f>
        <v>3.68786728558785</v>
      </c>
      <c r="L6" s="85">
        <f>CORREL(Stats!C8:C19,Stats!F8:F19)</f>
        <v>0.7404487392461736</v>
      </c>
      <c r="M6" s="98">
        <f ca="1">'Monthly Returns'!$G$23+'Rolling 12M'!D6</f>
        <v>0.56944813302651132</v>
      </c>
      <c r="N6" s="98">
        <f ca="1">'Monthly Returns'!$G$23-'Rolling 12M'!D6</f>
        <v>5.5730124068997133E-2</v>
      </c>
      <c r="O6" s="98">
        <f ca="1">'Monthly Returns'!$G$23+2*'Rolling 12M'!D6</f>
        <v>0.82630713750526841</v>
      </c>
      <c r="P6" s="98">
        <f ca="1">'Monthly Returns'!$G$23-2*'Rolling 12M'!D6</f>
        <v>-0.20112888040975996</v>
      </c>
    </row>
    <row r="7" spans="2:16" x14ac:dyDescent="0.25">
      <c r="B7" s="59">
        <f ca="1">IF(B6&lt;Stats!$E$1, OFFSET(Stats!B8,12,0),"")</f>
        <v>40238</v>
      </c>
      <c r="C7" s="52">
        <f t="array" ref="C7">PRODUCT(1+Stats!C9:C20)-1</f>
        <v>0.90617034900761806</v>
      </c>
      <c r="D7" s="52">
        <f>STDEV(Stats!C9:C20)*SQRT(12)</f>
        <v>0.24542858061321671</v>
      </c>
      <c r="E7" s="56">
        <f t="shared" si="0"/>
        <v>3.6921956959678535</v>
      </c>
      <c r="F7" s="52">
        <f t="array" ref="F7">PRODUCT(1+Stats!F9:F20)-1</f>
        <v>0.26907815816185288</v>
      </c>
      <c r="G7" s="52">
        <f>STDEV(Stats!F9:F20)*SQRT(12)</f>
        <v>5.0837655744543402E-2</v>
      </c>
      <c r="H7" s="56">
        <f t="shared" si="1"/>
        <v>5.2928907562920831</v>
      </c>
      <c r="I7" s="53">
        <f t="shared" si="2"/>
        <v>0.63709219084576518</v>
      </c>
      <c r="J7" s="53">
        <f t="shared" si="3"/>
        <v>0.1945909248686733</v>
      </c>
      <c r="K7" s="104">
        <f>LINEST(Stats!C9:C20,Stats!F9:F20)</f>
        <v>3.5367313874462942</v>
      </c>
      <c r="L7" s="85">
        <f>CORREL(Stats!C9:C20,Stats!F9:F20)</f>
        <v>0.73259248082141859</v>
      </c>
      <c r="M7" s="98">
        <f ca="1">'Monthly Returns'!$G$23+'Rolling 12M'!D7</f>
        <v>0.55801770916097093</v>
      </c>
      <c r="N7" s="98">
        <f ca="1">'Monthly Returns'!$G$23-'Rolling 12M'!D7</f>
        <v>6.7160547934537518E-2</v>
      </c>
      <c r="O7" s="98">
        <f ca="1">'Monthly Returns'!$G$23+2*'Rolling 12M'!D7</f>
        <v>0.80344628977418764</v>
      </c>
      <c r="P7" s="98">
        <f ca="1">'Monthly Returns'!$G$23-2*'Rolling 12M'!D7</f>
        <v>-0.17826803267867919</v>
      </c>
    </row>
    <row r="8" spans="2:16" x14ac:dyDescent="0.25">
      <c r="B8" s="59">
        <f ca="1">IF(B7&lt;Stats!$E$1, OFFSET(Stats!B9,12,0),"")</f>
        <v>40269</v>
      </c>
      <c r="C8" s="52">
        <f t="array" ref="C8">PRODUCT(1+Stats!C10:C21)-1</f>
        <v>0.53930188450746397</v>
      </c>
      <c r="D8" s="52">
        <f>STDEV(Stats!C10:C21)*SQRT(12)</f>
        <v>0.11338526439453313</v>
      </c>
      <c r="E8" s="56">
        <f t="shared" si="0"/>
        <v>4.7563666000805869</v>
      </c>
      <c r="F8" s="52">
        <f t="array" ref="F8">PRODUCT(1+Stats!F10:F21)-1</f>
        <v>0.22814592879802542</v>
      </c>
      <c r="G8" s="52">
        <f>STDEV(Stats!F10:F21)*SQRT(12)</f>
        <v>4.1659120420196351E-2</v>
      </c>
      <c r="H8" s="56">
        <f t="shared" si="1"/>
        <v>5.4764941385421144</v>
      </c>
      <c r="I8" s="53">
        <f t="shared" si="2"/>
        <v>0.31115595570943855</v>
      </c>
      <c r="J8" s="53">
        <f t="shared" si="3"/>
        <v>7.172614397433677E-2</v>
      </c>
      <c r="K8" s="104">
        <f>LINEST(Stats!C10:C21,Stats!F10:F21)</f>
        <v>1.6093021969012182</v>
      </c>
      <c r="L8" s="85">
        <f>CORREL(Stats!C10:C21,Stats!F10:F21)</f>
        <v>0.59127713262559389</v>
      </c>
      <c r="M8" s="98">
        <f ca="1">'Monthly Returns'!$G$23+'Rolling 12M'!D8</f>
        <v>0.42597439294228734</v>
      </c>
      <c r="N8" s="98">
        <f ca="1">'Monthly Returns'!$G$23-'Rolling 12M'!D8</f>
        <v>0.19920386415322111</v>
      </c>
      <c r="O8" s="98">
        <f ca="1">'Monthly Returns'!$G$23+2*'Rolling 12M'!D8</f>
        <v>0.53935965733682045</v>
      </c>
      <c r="P8" s="98">
        <f ca="1">'Monthly Returns'!$G$23-2*'Rolling 12M'!D8</f>
        <v>8.5818599758687969E-2</v>
      </c>
    </row>
    <row r="9" spans="2:16" x14ac:dyDescent="0.25">
      <c r="B9" s="59">
        <f ca="1">IF(B8&lt;Stats!$E$1, OFFSET(Stats!B10,12,0),"")</f>
        <v>40299</v>
      </c>
      <c r="C9" s="52">
        <f t="array" ref="C9">PRODUCT(1+Stats!C11:C22)-1</f>
        <v>0.40291880282739312</v>
      </c>
      <c r="D9" s="52">
        <f>STDEV(Stats!C11:C22)*SQRT(12)</f>
        <v>0.10797903416025638</v>
      </c>
      <c r="E9" s="56">
        <f t="shared" si="0"/>
        <v>3.7314540360622583</v>
      </c>
      <c r="F9" s="52">
        <f t="array" ref="F9">PRODUCT(1+Stats!F11:F22)-1</f>
        <v>0.1721568295367939</v>
      </c>
      <c r="G9" s="52">
        <f>STDEV(Stats!F11:F22)*SQRT(12)</f>
        <v>3.9696366164751001E-2</v>
      </c>
      <c r="H9" s="56">
        <f t="shared" si="1"/>
        <v>4.3368410302921685</v>
      </c>
      <c r="I9" s="53">
        <f t="shared" si="2"/>
        <v>0.23076197329059922</v>
      </c>
      <c r="J9" s="53">
        <f t="shared" si="3"/>
        <v>6.8282667995505378E-2</v>
      </c>
      <c r="K9" s="104">
        <f>LINEST(Stats!C11:C22,Stats!F11:F22)</f>
        <v>1.4824641020341929</v>
      </c>
      <c r="L9" s="85">
        <f>CORREL(Stats!C11:C22,Stats!F11:F22)</f>
        <v>0.54499874237723411</v>
      </c>
      <c r="M9" s="98">
        <f ca="1">'Monthly Returns'!$G$23+'Rolling 12M'!D9</f>
        <v>0.42056816270801062</v>
      </c>
      <c r="N9" s="98">
        <f ca="1">'Monthly Returns'!$G$23-'Rolling 12M'!D9</f>
        <v>0.20461009438749783</v>
      </c>
      <c r="O9" s="98">
        <f ca="1">'Monthly Returns'!$G$23+2*'Rolling 12M'!D9</f>
        <v>0.52854719686826701</v>
      </c>
      <c r="P9" s="98">
        <f ca="1">'Monthly Returns'!$G$23-2*'Rolling 12M'!D9</f>
        <v>9.6631060227241466E-2</v>
      </c>
    </row>
    <row r="10" spans="2:16" x14ac:dyDescent="0.25">
      <c r="B10" s="59">
        <f ca="1">IF(B9&lt;Stats!$E$1, OFFSET(Stats!B11,12,0),"")</f>
        <v>40330</v>
      </c>
      <c r="C10" s="52">
        <f t="array" ref="C10">PRODUCT(1+Stats!C12:C23)-1</f>
        <v>0.34421269189271442</v>
      </c>
      <c r="D10" s="52">
        <f>STDEV(Stats!C12:C23)*SQRT(12)</f>
        <v>9.800190628943721E-2</v>
      </c>
      <c r="E10" s="56">
        <f t="shared" si="0"/>
        <v>3.5123060859257405</v>
      </c>
      <c r="F10" s="52">
        <f t="array" ref="F10">PRODUCT(1+Stats!F12:F23)-1</f>
        <v>0.17499582149423332</v>
      </c>
      <c r="G10" s="52">
        <f>STDEV(Stats!F12:F23)*SQRT(12)</f>
        <v>3.9766140487390376E-2</v>
      </c>
      <c r="H10" s="56">
        <f t="shared" si="1"/>
        <v>4.4006237303749289</v>
      </c>
      <c r="I10" s="53">
        <f t="shared" si="2"/>
        <v>0.1692168703984811</v>
      </c>
      <c r="J10" s="53">
        <f t="shared" si="3"/>
        <v>5.8235765802046834E-2</v>
      </c>
      <c r="K10" s="104">
        <f>LINEST(Stats!C12:C23,Stats!F12:F23)</f>
        <v>1.4808621541396485</v>
      </c>
      <c r="L10" s="85">
        <f>CORREL(Stats!C12:C23,Stats!F12:F23)</f>
        <v>0.60088803058644014</v>
      </c>
      <c r="M10" s="98">
        <f ca="1">'Monthly Returns'!$G$23+'Rolling 12M'!D10</f>
        <v>0.41059103483719145</v>
      </c>
      <c r="N10" s="98">
        <f ca="1">'Monthly Returns'!$G$23-'Rolling 12M'!D10</f>
        <v>0.214587222258317</v>
      </c>
      <c r="O10" s="98">
        <f ca="1">'Monthly Returns'!$G$23+2*'Rolling 12M'!D10</f>
        <v>0.50859294112662867</v>
      </c>
      <c r="P10" s="98">
        <f ca="1">'Monthly Returns'!$G$23-2*'Rolling 12M'!D10</f>
        <v>0.1165853159688798</v>
      </c>
    </row>
    <row r="11" spans="2:16" x14ac:dyDescent="0.25">
      <c r="B11" s="59">
        <f ca="1">IF(B10&lt;Stats!$E$1, OFFSET(Stats!B12,12,0),"")</f>
        <v>40360</v>
      </c>
      <c r="C11" s="52">
        <f t="array" ref="C11">PRODUCT(1+Stats!C13:C24)-1</f>
        <v>0.26742534819747754</v>
      </c>
      <c r="D11" s="52">
        <f>STDEV(Stats!C13:C24)*SQRT(12)</f>
        <v>7.4588397830420594E-2</v>
      </c>
      <c r="E11" s="56">
        <f t="shared" si="0"/>
        <v>3.5853478017516704</v>
      </c>
      <c r="F11" s="52">
        <f t="array" ref="F11">PRODUCT(1+Stats!F13:F24)-1</f>
        <v>0.16766080928582916</v>
      </c>
      <c r="G11" s="52">
        <f>STDEV(Stats!F13:F24)*SQRT(12)</f>
        <v>3.599835331932124E-2</v>
      </c>
      <c r="H11" s="56">
        <f t="shared" si="1"/>
        <v>4.6574577397639274</v>
      </c>
      <c r="I11" s="53">
        <f t="shared" si="2"/>
        <v>9.9764538911648382E-2</v>
      </c>
      <c r="J11" s="53">
        <f t="shared" si="3"/>
        <v>3.8590044511099354E-2</v>
      </c>
      <c r="K11" s="104">
        <f>LINEST(Stats!C13:C24,Stats!F13:F24)</f>
        <v>0.59063738478279093</v>
      </c>
      <c r="L11" s="85">
        <f>CORREL(Stats!C13:C24,Stats!F13:F24)</f>
        <v>0.28505737996076363</v>
      </c>
      <c r="M11" s="98">
        <f ca="1">'Monthly Returns'!$G$23+'Rolling 12M'!D11</f>
        <v>0.38717752637817482</v>
      </c>
      <c r="N11" s="98">
        <f ca="1">'Monthly Returns'!$G$23-'Rolling 12M'!D11</f>
        <v>0.23800073071733363</v>
      </c>
      <c r="O11" s="98">
        <f ca="1">'Monthly Returns'!$G$23+2*'Rolling 12M'!D11</f>
        <v>0.46176592420859541</v>
      </c>
      <c r="P11" s="98">
        <f ca="1">'Monthly Returns'!$G$23-2*'Rolling 12M'!D11</f>
        <v>0.16341233288691304</v>
      </c>
    </row>
    <row r="12" spans="2:16" x14ac:dyDescent="0.25">
      <c r="B12" s="59">
        <f ca="1">IF(B11&lt;Stats!$E$1, OFFSET(Stats!B13,12,0),"")</f>
        <v>40391</v>
      </c>
      <c r="C12" s="52">
        <f t="array" ref="C12">PRODUCT(1+Stats!C14:C25)-1</f>
        <v>0.27091310345541619</v>
      </c>
      <c r="D12" s="52">
        <f>STDEV(Stats!C14:C25)*SQRT(12)</f>
        <v>7.4532409058073526E-2</v>
      </c>
      <c r="E12" s="56">
        <f t="shared" si="0"/>
        <v>3.6348362662520199</v>
      </c>
      <c r="F12" s="52">
        <f t="array" ref="F12">PRODUCT(1+Stats!F14:F25)-1</f>
        <v>0.17693585383215948</v>
      </c>
      <c r="G12" s="52">
        <f>STDEV(Stats!F14:F25)*SQRT(12)</f>
        <v>3.8318896288487073E-2</v>
      </c>
      <c r="H12" s="56">
        <f t="shared" si="1"/>
        <v>4.6174569460477892</v>
      </c>
      <c r="I12" s="53">
        <f t="shared" si="2"/>
        <v>9.3977249623256709E-2</v>
      </c>
      <c r="J12" s="53">
        <f t="shared" si="3"/>
        <v>3.6213512769586453E-2</v>
      </c>
      <c r="K12" s="104">
        <f>LINEST(Stats!C14:C25,Stats!F14:F25)</f>
        <v>0.53336004616083799</v>
      </c>
      <c r="L12" s="85">
        <f>CORREL(Stats!C14:C25,Stats!F14:F25)</f>
        <v>0.27421317184763644</v>
      </c>
      <c r="M12" s="98">
        <f ca="1">'Monthly Returns'!$G$23+'Rolling 12M'!D12</f>
        <v>0.38712153760582774</v>
      </c>
      <c r="N12" s="98">
        <f ca="1">'Monthly Returns'!$G$23-'Rolling 12M'!D12</f>
        <v>0.23805671948968071</v>
      </c>
      <c r="O12" s="98">
        <f ca="1">'Monthly Returns'!$G$23+2*'Rolling 12M'!D12</f>
        <v>0.46165394666390125</v>
      </c>
      <c r="P12" s="98">
        <f ca="1">'Monthly Returns'!$G$23-2*'Rolling 12M'!D12</f>
        <v>0.16352431043160717</v>
      </c>
    </row>
    <row r="13" spans="2:16" x14ac:dyDescent="0.25">
      <c r="B13" s="59">
        <f ca="1">IF(B12&lt;Stats!$E$1, OFFSET(Stats!B14,12,0),"")</f>
        <v>40422</v>
      </c>
      <c r="C13" s="52">
        <f t="array" ref="C13">PRODUCT(1+Stats!C15:C26)-1</f>
        <v>0.32986914289932567</v>
      </c>
      <c r="D13" s="52">
        <f>STDEV(Stats!C15:C26)*SQRT(12)</f>
        <v>8.9153514181489757E-2</v>
      </c>
      <c r="E13" s="56">
        <f t="shared" si="0"/>
        <v>3.7000127917314765</v>
      </c>
      <c r="F13" s="52">
        <f t="array" ref="F13">PRODUCT(1+Stats!F15:F26)-1</f>
        <v>0.15938461538461479</v>
      </c>
      <c r="G13" s="52">
        <f>STDEV(Stats!F15:F26)*SQRT(12)</f>
        <v>3.4898819819939135E-2</v>
      </c>
      <c r="H13" s="56">
        <f t="shared" si="1"/>
        <v>4.5670488631696307</v>
      </c>
      <c r="I13" s="53">
        <f t="shared" si="2"/>
        <v>0.17048452751471088</v>
      </c>
      <c r="J13" s="53">
        <f t="shared" si="3"/>
        <v>5.4254694361550622E-2</v>
      </c>
      <c r="K13" s="104">
        <f>LINEST(Stats!C15:C26,Stats!F15:F26)</f>
        <v>0.64296276147619502</v>
      </c>
      <c r="L13" s="85">
        <f>CORREL(Stats!C15:C26,Stats!F15:F26)</f>
        <v>0.25168544133896853</v>
      </c>
      <c r="M13" s="98">
        <f ca="1">'Monthly Returns'!$G$23+'Rolling 12M'!D13</f>
        <v>0.40174264272924398</v>
      </c>
      <c r="N13" s="98">
        <f ca="1">'Monthly Returns'!$G$23-'Rolling 12M'!D13</f>
        <v>0.22343561436626447</v>
      </c>
      <c r="O13" s="98">
        <f ca="1">'Monthly Returns'!$G$23+2*'Rolling 12M'!D13</f>
        <v>0.49089615691073374</v>
      </c>
      <c r="P13" s="98">
        <f ca="1">'Monthly Returns'!$G$23-2*'Rolling 12M'!D13</f>
        <v>0.13428210018477471</v>
      </c>
    </row>
    <row r="14" spans="2:16" x14ac:dyDescent="0.25">
      <c r="B14" s="59">
        <f ca="1">IF(B13&lt;Stats!$E$1, OFFSET(Stats!B15,12,0),"")</f>
        <v>40452</v>
      </c>
      <c r="C14" s="52">
        <f t="array" ref="C14">PRODUCT(1+Stats!C16:C27)-1</f>
        <v>0.42925204838268294</v>
      </c>
      <c r="D14" s="52">
        <f>STDEV(Stats!C16:C27)*SQRT(12)</f>
        <v>0.10970258967689951</v>
      </c>
      <c r="E14" s="56">
        <f t="shared" si="0"/>
        <v>3.9128706956411272</v>
      </c>
      <c r="F14" s="52">
        <f t="array" ref="F14">PRODUCT(1+Stats!F16:F27)-1</f>
        <v>0.15973339462192482</v>
      </c>
      <c r="G14" s="52">
        <f>STDEV(Stats!F16:F27)*SQRT(12)</f>
        <v>3.4821015874878757E-2</v>
      </c>
      <c r="H14" s="56">
        <f t="shared" si="1"/>
        <v>4.5872698026929974</v>
      </c>
      <c r="I14" s="53">
        <f t="shared" si="2"/>
        <v>0.26951865376075812</v>
      </c>
      <c r="J14" s="53">
        <f t="shared" si="3"/>
        <v>7.4881573802020762E-2</v>
      </c>
      <c r="K14" s="104">
        <f>LINEST(Stats!C16:C27,Stats!F16:F27)</f>
        <v>9.1216404869778819E-2</v>
      </c>
      <c r="L14" s="85">
        <f>CORREL(Stats!C16:C27,Stats!F16:F27)</f>
        <v>2.8953262556287461E-2</v>
      </c>
      <c r="M14" s="98">
        <f ca="1">'Monthly Returns'!$G$23+'Rolling 12M'!D14</f>
        <v>0.42229171822465372</v>
      </c>
      <c r="N14" s="98">
        <f ca="1">'Monthly Returns'!$G$23-'Rolling 12M'!D14</f>
        <v>0.20288653887085473</v>
      </c>
      <c r="O14" s="98">
        <f ca="1">'Monthly Returns'!$G$23+2*'Rolling 12M'!D14</f>
        <v>0.53199430790155322</v>
      </c>
      <c r="P14" s="98">
        <f ca="1">'Monthly Returns'!$G$23-2*'Rolling 12M'!D14</f>
        <v>9.3183949193955201E-2</v>
      </c>
    </row>
    <row r="15" spans="2:16" x14ac:dyDescent="0.25">
      <c r="B15" s="59">
        <f ca="1">IF(B14&lt;Stats!$E$1, OFFSET(Stats!B16,12,0),"")</f>
        <v>40483</v>
      </c>
      <c r="C15" s="52">
        <f t="array" ref="C15">PRODUCT(1+Stats!C17:C28)-1</f>
        <v>0.45736614259450348</v>
      </c>
      <c r="D15" s="52">
        <f>STDEV(Stats!C17:C28)*SQRT(12)</f>
        <v>0.10568740786781637</v>
      </c>
      <c r="E15" s="56">
        <f t="shared" si="0"/>
        <v>4.3275367597863026</v>
      </c>
      <c r="F15" s="52">
        <f t="array" ref="F15">PRODUCT(1+Stats!F17:F28)-1</f>
        <v>0.12640640338291842</v>
      </c>
      <c r="G15" s="52">
        <f>STDEV(Stats!F17:F28)*SQRT(12)</f>
        <v>4.3930849058051308E-2</v>
      </c>
      <c r="H15" s="56">
        <f t="shared" si="1"/>
        <v>2.8773949535070873</v>
      </c>
      <c r="I15" s="53">
        <f t="shared" si="2"/>
        <v>0.33095973921158506</v>
      </c>
      <c r="J15" s="53">
        <f t="shared" si="3"/>
        <v>6.1756558809765064E-2</v>
      </c>
      <c r="K15" s="104">
        <f>LINEST(Stats!C17:C28,Stats!F17:F28)</f>
        <v>0.26331442055851068</v>
      </c>
      <c r="L15" s="85">
        <f>CORREL(Stats!C17:C28,Stats!F17:F28)</f>
        <v>0.10945131778453532</v>
      </c>
      <c r="M15" s="98">
        <f ca="1">'Monthly Returns'!$G$23+'Rolling 12M'!D15</f>
        <v>0.41827653641557061</v>
      </c>
      <c r="N15" s="98">
        <f ca="1">'Monthly Returns'!$G$23-'Rolling 12M'!D15</f>
        <v>0.20690172067993784</v>
      </c>
      <c r="O15" s="98">
        <f ca="1">'Monthly Returns'!$G$23+2*'Rolling 12M'!D15</f>
        <v>0.523963944283387</v>
      </c>
      <c r="P15" s="98">
        <f ca="1">'Monthly Returns'!$G$23-2*'Rolling 12M'!D15</f>
        <v>0.10121431281212148</v>
      </c>
    </row>
    <row r="16" spans="2:16" x14ac:dyDescent="0.25">
      <c r="B16" s="59">
        <f ca="1">IF(B15&lt;Stats!$E$1, OFFSET(Stats!B17,12,0),"")</f>
        <v>40513</v>
      </c>
      <c r="C16" s="52">
        <f t="array" ref="C16">PRODUCT(1+Stats!C18:C29)-1</f>
        <v>0.47328731407979507</v>
      </c>
      <c r="D16" s="52">
        <f>STDEV(Stats!C18:C29)*SQRT(12)</f>
        <v>0.10335099506931794</v>
      </c>
      <c r="E16" s="56">
        <f t="shared" si="0"/>
        <v>4.5794170995872783</v>
      </c>
      <c r="F16" s="52">
        <f t="array" ref="F16">PRODUCT(1+Stats!F18:F29)-1</f>
        <v>0.11185497216789475</v>
      </c>
      <c r="G16" s="52">
        <f>STDEV(Stats!F18:F29)*SQRT(12)</f>
        <v>4.7678694444569444E-2</v>
      </c>
      <c r="H16" s="56">
        <f t="shared" si="1"/>
        <v>2.3460158351847431</v>
      </c>
      <c r="I16" s="53">
        <f t="shared" si="2"/>
        <v>0.36143234191190032</v>
      </c>
      <c r="J16" s="53">
        <f t="shared" si="3"/>
        <v>5.5672300624748497E-2</v>
      </c>
      <c r="K16" s="104">
        <f>LINEST(Stats!C18:C29,Stats!F18:F29)</f>
        <v>0.28613344609082064</v>
      </c>
      <c r="L16" s="85">
        <f>CORREL(Stats!C18:C29,Stats!F18:F29)</f>
        <v>0.132001333295203</v>
      </c>
      <c r="M16" s="98">
        <f ca="1">'Monthly Returns'!$G$23+'Rolling 12M'!D16</f>
        <v>0.41594012361707217</v>
      </c>
      <c r="N16" s="98">
        <f ca="1">'Monthly Returns'!$G$23-'Rolling 12M'!D16</f>
        <v>0.20923813347843628</v>
      </c>
      <c r="O16" s="98">
        <f ca="1">'Monthly Returns'!$G$23+2*'Rolling 12M'!D16</f>
        <v>0.51929111868639011</v>
      </c>
      <c r="P16" s="98">
        <f ca="1">'Monthly Returns'!$G$23-2*'Rolling 12M'!D16</f>
        <v>0.10588713840911834</v>
      </c>
    </row>
    <row r="17" spans="2:16" x14ac:dyDescent="0.25">
      <c r="B17" s="59">
        <f ca="1">IF(B16&lt;Stats!$E$1, OFFSET(Stats!B18,12,0),"")</f>
        <v>40544</v>
      </c>
      <c r="C17" s="52">
        <f t="array" ref="C17">PRODUCT(1+Stats!C19:C30)-1</f>
        <v>0.38489829746910997</v>
      </c>
      <c r="D17" s="52">
        <f>STDEV(Stats!C19:C30)*SQRT(12)</f>
        <v>9.458529580129342E-2</v>
      </c>
      <c r="E17" s="56">
        <f t="shared" si="0"/>
        <v>4.0693248798175947</v>
      </c>
      <c r="F17" s="52">
        <f t="array" ref="F17">PRODUCT(1+Stats!F19:F30)-1</f>
        <v>0.10234811777860564</v>
      </c>
      <c r="G17" s="52">
        <f>STDEV(Stats!F19:F30)*SQRT(12)</f>
        <v>4.8425790809884267E-2</v>
      </c>
      <c r="H17" s="56">
        <f t="shared" si="1"/>
        <v>2.1135043138565575</v>
      </c>
      <c r="I17" s="53">
        <f t="shared" si="2"/>
        <v>0.28255017969050433</v>
      </c>
      <c r="J17" s="53">
        <f t="shared" si="3"/>
        <v>4.6159504991409153E-2</v>
      </c>
      <c r="K17" s="104">
        <f>LINEST(Stats!C19:C30,Stats!F19:F30)</f>
        <v>0.3423243359493176</v>
      </c>
      <c r="L17" s="85">
        <f>CORREL(Stats!C19:C30,Stats!F19:F30)</f>
        <v>0.17526325356787126</v>
      </c>
      <c r="M17" s="98">
        <f ca="1">'Monthly Returns'!$G$23+'Rolling 12M'!D17</f>
        <v>0.40717442434904766</v>
      </c>
      <c r="N17" s="98">
        <f ca="1">'Monthly Returns'!$G$23-'Rolling 12M'!D17</f>
        <v>0.21800383274646079</v>
      </c>
      <c r="O17" s="98">
        <f ca="1">'Monthly Returns'!$G$23+2*'Rolling 12M'!D17</f>
        <v>0.50175972015034109</v>
      </c>
      <c r="P17" s="98">
        <f ca="1">'Monthly Returns'!$G$23-2*'Rolling 12M'!D17</f>
        <v>0.12341853694516738</v>
      </c>
    </row>
    <row r="18" spans="2:16" x14ac:dyDescent="0.25">
      <c r="B18" s="59">
        <f ca="1">IF(B17&lt;Stats!$E$1, OFFSET(Stats!B19,12,0),"")</f>
        <v>40575</v>
      </c>
      <c r="C18" s="52">
        <f t="array" ref="C18">PRODUCT(1+Stats!C20:C31)-1</f>
        <v>0.38599622496685648</v>
      </c>
      <c r="D18" s="52">
        <f>STDEV(Stats!C20:C31)*SQRT(12)</f>
        <v>9.4415676664418344E-2</v>
      </c>
      <c r="E18" s="56">
        <f t="shared" si="0"/>
        <v>4.0882641379439875</v>
      </c>
      <c r="F18" s="52">
        <f t="array" ref="F18">PRODUCT(1+Stats!F20:F31)-1</f>
        <v>9.6044362292051488E-2</v>
      </c>
      <c r="G18" s="52">
        <f>STDEV(Stats!F20:F31)*SQRT(12)</f>
        <v>4.8773252054203305E-2</v>
      </c>
      <c r="H18" s="56">
        <f t="shared" si="1"/>
        <v>1.9692015243378533</v>
      </c>
      <c r="I18" s="53">
        <f t="shared" si="2"/>
        <v>0.28995186267480499</v>
      </c>
      <c r="J18" s="53">
        <f t="shared" si="3"/>
        <v>4.5642424610215039E-2</v>
      </c>
      <c r="K18" s="104">
        <f>LINEST(Stats!C20:C31,Stats!F20:F31)</f>
        <v>0.38503970665663323</v>
      </c>
      <c r="L18" s="85">
        <f>CORREL(Stats!C20:C31,Stats!F20:F31)</f>
        <v>0.19890381901714208</v>
      </c>
      <c r="M18" s="98">
        <f ca="1">'Monthly Returns'!$G$23+'Rolling 12M'!D18</f>
        <v>0.40700480521217258</v>
      </c>
      <c r="N18" s="98">
        <f ca="1">'Monthly Returns'!$G$23-'Rolling 12M'!D18</f>
        <v>0.21817345188333587</v>
      </c>
      <c r="O18" s="98">
        <f ca="1">'Monthly Returns'!$G$23+2*'Rolling 12M'!D18</f>
        <v>0.50142048187659094</v>
      </c>
      <c r="P18" s="98">
        <f ca="1">'Monthly Returns'!$G$23-2*'Rolling 12M'!D18</f>
        <v>0.12375777521891754</v>
      </c>
    </row>
    <row r="19" spans="2:16" x14ac:dyDescent="0.25">
      <c r="B19" s="59">
        <f ca="1">IF(B18&lt;Stats!$E$1, OFFSET(Stats!B20,12,0),"")</f>
        <v>40603</v>
      </c>
      <c r="C19" s="52">
        <f t="array" ref="C19">PRODUCT(1+Stats!C21:C32)-1</f>
        <v>0.34355283476195786</v>
      </c>
      <c r="D19" s="52">
        <f>STDEV(Stats!C21:C32)*SQRT(12)</f>
        <v>9.4717738570977303E-2</v>
      </c>
      <c r="E19" s="56">
        <f t="shared" si="0"/>
        <v>3.627122437097825</v>
      </c>
      <c r="F19" s="52">
        <f t="array" ref="F19">PRODUCT(1+Stats!F21:F32)-1</f>
        <v>8.2382025739838438E-2</v>
      </c>
      <c r="G19" s="52">
        <f>STDEV(Stats!F21:F32)*SQRT(12)</f>
        <v>4.7832449020613108E-2</v>
      </c>
      <c r="H19" s="56">
        <f t="shared" si="1"/>
        <v>1.7223041559995473</v>
      </c>
      <c r="I19" s="53">
        <f t="shared" si="2"/>
        <v>0.26117080902211942</v>
      </c>
      <c r="J19" s="53">
        <f t="shared" si="3"/>
        <v>4.6885289550364195E-2</v>
      </c>
      <c r="K19" s="104">
        <f>LINEST(Stats!C21:C32,Stats!F21:F32)</f>
        <v>0.35530865426591224</v>
      </c>
      <c r="L19" s="85">
        <f>CORREL(Stats!C21:C32,Stats!F21:F32)</f>
        <v>0.17943083680171887</v>
      </c>
      <c r="M19" s="98">
        <f ca="1">'Monthly Returns'!$G$23+'Rolling 12M'!D19</f>
        <v>0.40730686711873154</v>
      </c>
      <c r="N19" s="98">
        <f ca="1">'Monthly Returns'!$G$23-'Rolling 12M'!D19</f>
        <v>0.21787138997677691</v>
      </c>
      <c r="O19" s="98">
        <f ca="1">'Monthly Returns'!$G$23+2*'Rolling 12M'!D19</f>
        <v>0.50202460568970886</v>
      </c>
      <c r="P19" s="98">
        <f ca="1">'Monthly Returns'!$G$23-2*'Rolling 12M'!D19</f>
        <v>0.12315365140579962</v>
      </c>
    </row>
    <row r="20" spans="2:16" x14ac:dyDescent="0.25">
      <c r="B20" s="59">
        <f ca="1">IF(B19&lt;Stats!$E$1, OFFSET(Stats!B21,12,0),"")</f>
        <v>40634</v>
      </c>
      <c r="C20" s="52">
        <f t="array" ref="C20">PRODUCT(1+Stats!C22:C33)-1</f>
        <v>0.35823430401363909</v>
      </c>
      <c r="D20" s="52">
        <f>STDEV(Stats!C22:C33)*SQRT(12)</f>
        <v>9.4159439250666735E-2</v>
      </c>
      <c r="E20" s="56">
        <f t="shared" si="0"/>
        <v>3.8045500999635835</v>
      </c>
      <c r="F20" s="52">
        <f t="array" ref="F20">PRODUCT(1+Stats!F22:F33)-1</f>
        <v>8.237066800602677E-2</v>
      </c>
      <c r="G20" s="52">
        <f>STDEV(Stats!F22:F33)*SQRT(12)</f>
        <v>4.783083172811986E-2</v>
      </c>
      <c r="H20" s="56">
        <f t="shared" si="1"/>
        <v>1.7221249355277437</v>
      </c>
      <c r="I20" s="53">
        <f t="shared" si="2"/>
        <v>0.27586363600761232</v>
      </c>
      <c r="J20" s="53">
        <f t="shared" si="3"/>
        <v>4.6328607522546875E-2</v>
      </c>
      <c r="K20" s="104">
        <f>LINEST(Stats!C22:C33,Stats!F22:F33)</f>
        <v>0.39065096357667028</v>
      </c>
      <c r="L20" s="85">
        <f>CORREL(Stats!C22:C33,Stats!F22:F33)</f>
        <v>0.1984417138840523</v>
      </c>
      <c r="M20" s="98">
        <f ca="1">'Monthly Returns'!$G$23+'Rolling 12M'!D20</f>
        <v>0.40674856779842095</v>
      </c>
      <c r="N20" s="98">
        <f ca="1">'Monthly Returns'!$G$23-'Rolling 12M'!D20</f>
        <v>0.2184296892970875</v>
      </c>
      <c r="O20" s="98">
        <f ca="1">'Monthly Returns'!$G$23+2*'Rolling 12M'!D20</f>
        <v>0.50090800704908767</v>
      </c>
      <c r="P20" s="98">
        <f ca="1">'Monthly Returns'!$G$23-2*'Rolling 12M'!D20</f>
        <v>0.12427025004642075</v>
      </c>
    </row>
    <row r="21" spans="2:16" x14ac:dyDescent="0.25">
      <c r="B21" s="59">
        <f ca="1">IF(B20&lt;Stats!$E$1, OFFSET(Stats!B22,12,0),"")</f>
        <v>40664</v>
      </c>
      <c r="C21" s="52">
        <f t="array" ref="C21">PRODUCT(1+Stats!C23:C34)-1</f>
        <v>0.35535494600997608</v>
      </c>
      <c r="D21" s="52">
        <f>STDEV(Stats!C23:C34)*SQRT(12)</f>
        <v>9.5044042422447517E-2</v>
      </c>
      <c r="E21" s="56">
        <f t="shared" si="0"/>
        <v>3.7388450338687225</v>
      </c>
      <c r="F21" s="52">
        <f t="array" ref="F21">PRODUCT(1+Stats!F23:F34)-1</f>
        <v>0.10049125848865814</v>
      </c>
      <c r="G21" s="52">
        <f>STDEV(Stats!F23:F34)*SQRT(12)</f>
        <v>4.5538402420184941E-2</v>
      </c>
      <c r="H21" s="56">
        <f t="shared" si="1"/>
        <v>2.2067365816090927</v>
      </c>
      <c r="I21" s="53">
        <f t="shared" si="2"/>
        <v>0.25486368752131794</v>
      </c>
      <c r="J21" s="53">
        <f t="shared" si="3"/>
        <v>4.9505640002262576E-2</v>
      </c>
      <c r="K21" s="104">
        <f>LINEST(Stats!C23:C34,Stats!F23:F34)</f>
        <v>0.11796960507391709</v>
      </c>
      <c r="L21" s="85">
        <f>CORREL(Stats!C23:C34,Stats!F23:F34)</f>
        <v>5.6522715283178392E-2</v>
      </c>
      <c r="M21" s="98">
        <f ca="1">'Monthly Returns'!$G$23+'Rolling 12M'!D21</f>
        <v>0.40763317097020174</v>
      </c>
      <c r="N21" s="98">
        <f ca="1">'Monthly Returns'!$G$23-'Rolling 12M'!D21</f>
        <v>0.21754508612530671</v>
      </c>
      <c r="O21" s="98">
        <f ca="1">'Monthly Returns'!$G$23+2*'Rolling 12M'!D21</f>
        <v>0.50267721339264926</v>
      </c>
      <c r="P21" s="98">
        <f ca="1">'Monthly Returns'!$G$23-2*'Rolling 12M'!D21</f>
        <v>0.12250104370285919</v>
      </c>
    </row>
    <row r="22" spans="2:16" x14ac:dyDescent="0.25">
      <c r="B22" s="59">
        <f ca="1">IF(B21&lt;Stats!$E$1, OFFSET(Stats!B23,12,0),"")</f>
        <v>40695</v>
      </c>
      <c r="C22" s="52">
        <f t="array" ref="C22">PRODUCT(1+Stats!C24:C35)-1</f>
        <v>0.31016763936780301</v>
      </c>
      <c r="D22" s="52">
        <f>STDEV(Stats!C24:C35)*SQRT(12)</f>
        <v>0.10108071931966958</v>
      </c>
      <c r="E22" s="56">
        <f t="shared" si="0"/>
        <v>3.0685143660967853</v>
      </c>
      <c r="F22" s="52">
        <f t="array" ref="F22">PRODUCT(1+Stats!F24:F35)-1</f>
        <v>8.2076813655761027E-2</v>
      </c>
      <c r="G22" s="52">
        <f>STDEV(Stats!F24:F35)*SQRT(12)</f>
        <v>4.5591739177303886E-2</v>
      </c>
      <c r="H22" s="56">
        <f t="shared" si="1"/>
        <v>1.8002562555591177</v>
      </c>
      <c r="I22" s="53">
        <f t="shared" si="2"/>
        <v>0.22809082571204198</v>
      </c>
      <c r="J22" s="53">
        <f t="shared" si="3"/>
        <v>5.5488980142365696E-2</v>
      </c>
      <c r="K22" s="104">
        <f>LINEST(Stats!C24:C35,Stats!F24:F35)</f>
        <v>0.26158026993807204</v>
      </c>
      <c r="L22" s="85">
        <f>CORREL(Stats!C24:C35,Stats!F24:F35)</f>
        <v>0.11798391939841132</v>
      </c>
      <c r="M22" s="98">
        <f ca="1">'Monthly Returns'!$G$23+'Rolling 12M'!D22</f>
        <v>0.41366984786742378</v>
      </c>
      <c r="N22" s="98">
        <f ca="1">'Monthly Returns'!$G$23-'Rolling 12M'!D22</f>
        <v>0.21150840922808464</v>
      </c>
      <c r="O22" s="98">
        <f ca="1">'Monthly Returns'!$G$23+2*'Rolling 12M'!D22</f>
        <v>0.51475056718709333</v>
      </c>
      <c r="P22" s="98">
        <f ca="1">'Monthly Returns'!$G$23-2*'Rolling 12M'!D22</f>
        <v>0.11042768990841506</v>
      </c>
    </row>
    <row r="23" spans="2:16" x14ac:dyDescent="0.25">
      <c r="B23" s="59">
        <f ca="1">IF(B22&lt;Stats!$E$1, OFFSET(Stats!B24,12,0),"")</f>
        <v>40725</v>
      </c>
      <c r="C23" s="52">
        <f t="array" ref="C23">PRODUCT(1+Stats!C25:C36)-1</f>
        <v>0.27708324561651643</v>
      </c>
      <c r="D23" s="52">
        <f>STDEV(Stats!C25:C36)*SQRT(12)</f>
        <v>0.10470962011894872</v>
      </c>
      <c r="E23" s="56">
        <f t="shared" si="0"/>
        <v>2.6462061967348713</v>
      </c>
      <c r="F23" s="52">
        <f t="array" ref="F23">PRODUCT(1+Stats!F25:F36)-1</f>
        <v>7.1586359243407394E-2</v>
      </c>
      <c r="G23" s="52">
        <f>STDEV(Stats!F25:F36)*SQRT(12)</f>
        <v>4.0786247613602965E-2</v>
      </c>
      <c r="H23" s="56">
        <f t="shared" si="1"/>
        <v>1.7551592370446951</v>
      </c>
      <c r="I23" s="53">
        <f t="shared" si="2"/>
        <v>0.20549688637310903</v>
      </c>
      <c r="J23" s="53">
        <f t="shared" si="3"/>
        <v>6.3923372505345744E-2</v>
      </c>
      <c r="K23" s="104">
        <f>LINEST(Stats!C25:C36,Stats!F25:F36)</f>
        <v>9.1493459980342529E-2</v>
      </c>
      <c r="L23" s="85">
        <f>CORREL(Stats!C25:C36,Stats!F25:F36)</f>
        <v>3.5638319664844542E-2</v>
      </c>
      <c r="M23" s="98">
        <f ca="1">'Monthly Returns'!$G$23+'Rolling 12M'!D23</f>
        <v>0.41729874866670291</v>
      </c>
      <c r="N23" s="98">
        <f ca="1">'Monthly Returns'!$G$23-'Rolling 12M'!D23</f>
        <v>0.20787950842880551</v>
      </c>
      <c r="O23" s="98">
        <f ca="1">'Monthly Returns'!$G$23+2*'Rolling 12M'!D23</f>
        <v>0.5220083687856516</v>
      </c>
      <c r="P23" s="98">
        <f ca="1">'Monthly Returns'!$G$23-2*'Rolling 12M'!D23</f>
        <v>0.10316988830985679</v>
      </c>
    </row>
    <row r="24" spans="2:16" x14ac:dyDescent="0.25">
      <c r="B24" s="59">
        <f ca="1">IF(B23&lt;Stats!$E$1, OFFSET(Stats!B25,12,0),"")</f>
        <v>40756</v>
      </c>
      <c r="C24" s="52">
        <f t="array" ref="C24">PRODUCT(1+Stats!C26:C37)-1</f>
        <v>0.22739177756694717</v>
      </c>
      <c r="D24" s="52">
        <f>STDEV(Stats!C26:C37)*SQRT(12)</f>
        <v>0.11225019133411512</v>
      </c>
      <c r="E24" s="56">
        <f t="shared" si="0"/>
        <v>2.0257584852582622</v>
      </c>
      <c r="F24" s="52">
        <f t="array" ref="F24">PRODUCT(1+Stats!F26:F37)-1</f>
        <v>4.2674731182796188E-2</v>
      </c>
      <c r="G24" s="52">
        <f>STDEV(Stats!F26:F37)*SQRT(12)</f>
        <v>3.3766535093610134E-2</v>
      </c>
      <c r="H24" s="56">
        <f t="shared" si="1"/>
        <v>1.2638172991244165</v>
      </c>
      <c r="I24" s="53">
        <f t="shared" si="2"/>
        <v>0.18471704638415098</v>
      </c>
      <c r="J24" s="53">
        <f t="shared" si="3"/>
        <v>7.848365624050499E-2</v>
      </c>
      <c r="K24" s="104">
        <f>LINEST(Stats!C26:C37,Stats!F26:F37)</f>
        <v>0.30556429955499598</v>
      </c>
      <c r="L24" s="85">
        <f>CORREL(Stats!C26:C37,Stats!F26:F37)</f>
        <v>9.19183078589762E-2</v>
      </c>
      <c r="M24" s="98">
        <f ca="1">'Monthly Returns'!$G$23+'Rolling 12M'!D24</f>
        <v>0.42483931988186935</v>
      </c>
      <c r="N24" s="98">
        <f ca="1">'Monthly Returns'!$G$23-'Rolling 12M'!D24</f>
        <v>0.2003389372136391</v>
      </c>
      <c r="O24" s="98">
        <f ca="1">'Monthly Returns'!$G$23+2*'Rolling 12M'!D24</f>
        <v>0.53708951121598447</v>
      </c>
      <c r="P24" s="98">
        <f ca="1">'Monthly Returns'!$G$23-2*'Rolling 12M'!D24</f>
        <v>8.8088745879523978E-2</v>
      </c>
    </row>
    <row r="25" spans="2:16" x14ac:dyDescent="0.25">
      <c r="B25" s="59">
        <f ca="1">IF(B24&lt;Stats!$E$1, OFFSET(Stats!B26,12,0),"")</f>
        <v>40787</v>
      </c>
      <c r="C25" s="52">
        <f t="array" ref="C25">PRODUCT(1+Stats!C27:C38)-1</f>
        <v>8.9637369310275217E-2</v>
      </c>
      <c r="D25" s="52">
        <f>STDEV(Stats!C27:C38)*SQRT(12)</f>
        <v>0.116241582295431</v>
      </c>
      <c r="E25" s="56">
        <f t="shared" si="0"/>
        <v>0.77112998240560349</v>
      </c>
      <c r="F25" s="52">
        <f t="array" ref="F25">PRODUCT(1+Stats!F27:F38)-1</f>
        <v>-2.3221868365180143E-2</v>
      </c>
      <c r="G25" s="52">
        <f>STDEV(Stats!F27:F38)*SQRT(12)</f>
        <v>6.2683547036079756E-2</v>
      </c>
      <c r="H25" s="56">
        <f t="shared" si="1"/>
        <v>-0.37046193878935996</v>
      </c>
      <c r="I25" s="53">
        <f t="shared" si="2"/>
        <v>0.11285923767545536</v>
      </c>
      <c r="J25" s="53">
        <f t="shared" si="3"/>
        <v>5.3558035259351239E-2</v>
      </c>
      <c r="K25" s="104">
        <f>LINEST(Stats!C27:C38,Stats!F27:F38)</f>
        <v>0.81587877822164079</v>
      </c>
      <c r="L25" s="85">
        <f>CORREL(Stats!C27:C38,Stats!F27:F38)</f>
        <v>0.43996455279158475</v>
      </c>
      <c r="M25" s="98">
        <f ca="1">'Monthly Returns'!$G$23+'Rolling 12M'!D25</f>
        <v>0.42883071084318525</v>
      </c>
      <c r="N25" s="98">
        <f ca="1">'Monthly Returns'!$G$23-'Rolling 12M'!D25</f>
        <v>0.19634754625232323</v>
      </c>
      <c r="O25" s="98">
        <f ca="1">'Monthly Returns'!$G$23+2*'Rolling 12M'!D25</f>
        <v>0.54507229313861627</v>
      </c>
      <c r="P25" s="98">
        <f ca="1">'Monthly Returns'!$G$23-2*'Rolling 12M'!D25</f>
        <v>8.0105963956892234E-2</v>
      </c>
    </row>
    <row r="26" spans="2:16" x14ac:dyDescent="0.25">
      <c r="B26" s="59">
        <f ca="1">IF(B25&lt;Stats!$E$1, OFFSET(Stats!B27,12,0),"")</f>
        <v>40817</v>
      </c>
      <c r="C26" s="52">
        <f t="array" ref="C26">PRODUCT(1+Stats!C28:C39)-1</f>
        <v>2.9762790444404441E-2</v>
      </c>
      <c r="D26" s="52">
        <f>STDEV(Stats!C28:C39)*SQRT(12)</f>
        <v>7.9555052407979499E-2</v>
      </c>
      <c r="E26" s="56">
        <f t="shared" si="0"/>
        <v>0.37411565379622813</v>
      </c>
      <c r="F26" s="52">
        <f t="array" ref="F26">PRODUCT(1+Stats!F28:F39)-1</f>
        <v>2.0412207689259443E-2</v>
      </c>
      <c r="G26" s="52">
        <f>STDEV(Stats!F28:F39)*SQRT(12)</f>
        <v>8.0916057401341765E-2</v>
      </c>
      <c r="H26" s="56">
        <f t="shared" si="1"/>
        <v>0.2522639923991275</v>
      </c>
      <c r="I26" s="53">
        <f t="shared" si="2"/>
        <v>9.3505827551449983E-3</v>
      </c>
      <c r="J26" s="53">
        <f t="shared" si="3"/>
        <v>-1.3610049933622664E-3</v>
      </c>
      <c r="K26" s="104">
        <f>LINEST(Stats!C28:C39,Stats!F28:F39)</f>
        <v>0.6335715203267821</v>
      </c>
      <c r="L26" s="85">
        <f>CORREL(Stats!C28:C39,Stats!F28:F39)</f>
        <v>0.64441047997443346</v>
      </c>
      <c r="M26" s="98">
        <f ca="1">'Monthly Returns'!$G$23+'Rolling 12M'!D26</f>
        <v>0.39214418095573372</v>
      </c>
      <c r="N26" s="98">
        <f ca="1">'Monthly Returns'!$G$23-'Rolling 12M'!D26</f>
        <v>0.23303407613977473</v>
      </c>
      <c r="O26" s="98">
        <f ca="1">'Monthly Returns'!$G$23+2*'Rolling 12M'!D26</f>
        <v>0.47169923336371322</v>
      </c>
      <c r="P26" s="98">
        <f ca="1">'Monthly Returns'!$G$23-2*'Rolling 12M'!D26</f>
        <v>0.15347902373179523</v>
      </c>
    </row>
    <row r="27" spans="2:16" x14ac:dyDescent="0.25">
      <c r="B27" s="59">
        <f ca="1">IF(B26&lt;Stats!$E$1, OFFSET(Stats!B28,12,0),"")</f>
        <v>40848</v>
      </c>
      <c r="C27" s="52">
        <f t="array" ref="C27">PRODUCT(1+Stats!C29:C40)-1</f>
        <v>-1.8841367898154049E-2</v>
      </c>
      <c r="D27" s="52">
        <f>STDEV(Stats!C29:C40)*SQRT(12)</f>
        <v>8.1889210078451277E-2</v>
      </c>
      <c r="E27" s="56">
        <f t="shared" si="0"/>
        <v>-0.2300836444765274</v>
      </c>
      <c r="F27" s="52">
        <f t="array" ref="F27">PRODUCT(1+Stats!F29:F40)-1</f>
        <v>2.6211704766374799E-2</v>
      </c>
      <c r="G27" s="52">
        <f>STDEV(Stats!F29:F40)*SQRT(12)</f>
        <v>7.9854394238604604E-2</v>
      </c>
      <c r="H27" s="56">
        <f t="shared" si="1"/>
        <v>0.32824373681997177</v>
      </c>
      <c r="I27" s="53">
        <f t="shared" si="2"/>
        <v>-4.5053072664528848E-2</v>
      </c>
      <c r="J27" s="53">
        <f t="shared" si="3"/>
        <v>2.0348158398466737E-3</v>
      </c>
      <c r="K27" s="104">
        <f>LINEST(Stats!C29:C40,Stats!F29:F40)</f>
        <v>0.76227893032482508</v>
      </c>
      <c r="L27" s="85">
        <f>CORREL(Stats!C29:C40,Stats!F29:F40)</f>
        <v>0.74333751862577035</v>
      </c>
      <c r="M27" s="98">
        <f ca="1">'Monthly Returns'!$G$23+'Rolling 12M'!D27</f>
        <v>0.39447833862620552</v>
      </c>
      <c r="N27" s="98">
        <f ca="1">'Monthly Returns'!$G$23-'Rolling 12M'!D27</f>
        <v>0.23069991846930293</v>
      </c>
      <c r="O27" s="98">
        <f ca="1">'Monthly Returns'!$G$23+2*'Rolling 12M'!D27</f>
        <v>0.47636754870465681</v>
      </c>
      <c r="P27" s="98">
        <f ca="1">'Monthly Returns'!$G$23-2*'Rolling 12M'!D27</f>
        <v>0.14881070839085167</v>
      </c>
    </row>
    <row r="28" spans="2:16" x14ac:dyDescent="0.25">
      <c r="B28" s="59">
        <f ca="1">IF(B27&lt;Stats!$E$1, OFFSET(Stats!B29,12,0),"")</f>
        <v>40878</v>
      </c>
      <c r="C28" s="52">
        <f t="array" ref="C28">PRODUCT(1+Stats!C30:C41)-1</f>
        <v>1.065411706335162E-2</v>
      </c>
      <c r="D28" s="52">
        <f>STDEV(Stats!C30:C41)*SQRT(12)</f>
        <v>9.4476100874049798E-2</v>
      </c>
      <c r="E28" s="56">
        <f t="shared" si="0"/>
        <v>0.11277049925626256</v>
      </c>
      <c r="F28" s="52">
        <f t="array" ref="F28">PRODUCT(1+Stats!F30:F41)-1</f>
        <v>4.539611663622245E-2</v>
      </c>
      <c r="G28" s="52">
        <f>STDEV(Stats!F30:F41)*SQRT(12)</f>
        <v>7.9083916255853343E-2</v>
      </c>
      <c r="H28" s="56">
        <f t="shared" si="1"/>
        <v>0.57402464098207184</v>
      </c>
      <c r="I28" s="53">
        <f t="shared" si="2"/>
        <v>-3.474199957287083E-2</v>
      </c>
      <c r="J28" s="53">
        <f t="shared" si="3"/>
        <v>1.5392184618196456E-2</v>
      </c>
      <c r="K28" s="104">
        <f>LINEST(Stats!C30:C41,Stats!F30:F41)</f>
        <v>0.86846511534878801</v>
      </c>
      <c r="L28" s="85">
        <f>CORREL(Stats!C30:C41,Stats!F30:F41)</f>
        <v>0.72697350777564373</v>
      </c>
      <c r="M28" s="98">
        <f ca="1">'Monthly Returns'!$G$23+'Rolling 12M'!D28</f>
        <v>0.40706522942180401</v>
      </c>
      <c r="N28" s="98">
        <f ca="1">'Monthly Returns'!$G$23-'Rolling 12M'!D28</f>
        <v>0.21811302767370444</v>
      </c>
      <c r="O28" s="98">
        <f ca="1">'Monthly Returns'!$G$23+2*'Rolling 12M'!D28</f>
        <v>0.50154133029585379</v>
      </c>
      <c r="P28" s="98">
        <f ca="1">'Monthly Returns'!$G$23-2*'Rolling 12M'!D28</f>
        <v>0.12363692679965463</v>
      </c>
    </row>
    <row r="29" spans="2:16" x14ac:dyDescent="0.25">
      <c r="B29" s="59">
        <f ca="1">IF(B28&lt;Stats!$E$1, OFFSET(Stats!B30,12,0),"")</f>
        <v>40909</v>
      </c>
      <c r="C29" s="52">
        <f t="array" ref="C29">PRODUCT(1+Stats!C31:C42)-1</f>
        <v>2.8955097018090736E-2</v>
      </c>
      <c r="D29" s="52">
        <f>STDEV(Stats!C31:C42)*SQRT(12)</f>
        <v>9.8157739471637251E-2</v>
      </c>
      <c r="E29" s="56">
        <f t="shared" si="0"/>
        <v>0.29498536920216395</v>
      </c>
      <c r="F29" s="52">
        <f t="array" ref="F29">PRODUCT(1+Stats!F31:F42)-1</f>
        <v>6.4985123072762496E-2</v>
      </c>
      <c r="G29" s="52">
        <f>STDEV(Stats!F31:F42)*SQRT(12)</f>
        <v>8.0396922991298178E-2</v>
      </c>
      <c r="H29" s="56">
        <f t="shared" si="1"/>
        <v>0.80830360982591598</v>
      </c>
      <c r="I29" s="53">
        <f t="shared" si="2"/>
        <v>-3.603002605467176E-2</v>
      </c>
      <c r="J29" s="53">
        <f t="shared" si="3"/>
        <v>1.7760816480339073E-2</v>
      </c>
      <c r="K29" s="104">
        <f>LINEST(Stats!C31:C42,Stats!F31:F42)</f>
        <v>0.91234364720837069</v>
      </c>
      <c r="L29" s="85">
        <f>CORREL(Stats!C31:C42,Stats!F31:F42)</f>
        <v>0.74726274607623699</v>
      </c>
      <c r="M29" s="98">
        <f ca="1">'Monthly Returns'!$G$23+'Rolling 12M'!D29</f>
        <v>0.41074686801939148</v>
      </c>
      <c r="N29" s="98">
        <f ca="1">'Monthly Returns'!$G$23-'Rolling 12M'!D29</f>
        <v>0.21443138907611697</v>
      </c>
      <c r="O29" s="98">
        <f ca="1">'Monthly Returns'!$G$23+2*'Rolling 12M'!D29</f>
        <v>0.50890460749102873</v>
      </c>
      <c r="P29" s="98">
        <f ca="1">'Monthly Returns'!$G$23-2*'Rolling 12M'!D29</f>
        <v>0.11627364960447972</v>
      </c>
    </row>
    <row r="30" spans="2:16" x14ac:dyDescent="0.25">
      <c r="B30" s="59">
        <f ca="1">IF(B29&lt;Stats!$E$1, OFFSET(Stats!B31,12,0),"")</f>
        <v>40940</v>
      </c>
      <c r="C30" s="52">
        <f t="array" ref="C30">PRODUCT(1+Stats!C32:C43)-1</f>
        <v>4.3932461040435689E-2</v>
      </c>
      <c r="D30" s="52">
        <f>STDEV(Stats!C32:C43)*SQRT(12)</f>
        <v>0.10040095526528529</v>
      </c>
      <c r="E30" s="56">
        <f t="shared" si="0"/>
        <v>0.43757014984921971</v>
      </c>
      <c r="F30" s="52">
        <f t="array" ref="F30">PRODUCT(1+Stats!F32:F43)-1</f>
        <v>8.7021046950890746E-2</v>
      </c>
      <c r="G30" s="52">
        <f>STDEV(Stats!F32:F43)*SQRT(12)</f>
        <v>8.2187262693386998E-2</v>
      </c>
      <c r="H30" s="56">
        <f t="shared" si="1"/>
        <v>1.0588142748534766</v>
      </c>
      <c r="I30" s="53">
        <f t="shared" si="2"/>
        <v>-4.3088585910455057E-2</v>
      </c>
      <c r="J30" s="53">
        <f t="shared" si="3"/>
        <v>1.8213692571898296E-2</v>
      </c>
      <c r="K30" s="104">
        <f>LINEST(Stats!C32:C43,Stats!F32:F43)</f>
        <v>0.93481934516565246</v>
      </c>
      <c r="L30" s="85">
        <f>CORREL(Stats!C32:C43,Stats!F32:F43)</f>
        <v>0.76523418416671574</v>
      </c>
      <c r="M30" s="98">
        <f ca="1">'Monthly Returns'!$G$23+'Rolling 12M'!D30</f>
        <v>0.41299008381303953</v>
      </c>
      <c r="N30" s="98">
        <f ca="1">'Monthly Returns'!$G$23-'Rolling 12M'!D30</f>
        <v>0.21218817328246892</v>
      </c>
      <c r="O30" s="98">
        <f ca="1">'Monthly Returns'!$G$23+2*'Rolling 12M'!D30</f>
        <v>0.51339103907832484</v>
      </c>
      <c r="P30" s="98">
        <f ca="1">'Monthly Returns'!$G$23-2*'Rolling 12M'!D30</f>
        <v>0.11178721801718364</v>
      </c>
    </row>
    <row r="31" spans="2:16" x14ac:dyDescent="0.25">
      <c r="B31" s="59">
        <f ca="1">IF(B30&lt;Stats!$E$1, OFFSET(Stats!B32,12,0),"")</f>
        <v>40969</v>
      </c>
      <c r="C31" s="52">
        <f t="array" ref="C31">PRODUCT(1+Stats!C33:C44)-1</f>
        <v>3.3904589311288591E-2</v>
      </c>
      <c r="D31" s="52">
        <f>STDEV(Stats!C33:C44)*SQRT(12)</f>
        <v>0.10025549180151497</v>
      </c>
      <c r="E31" s="56">
        <f t="shared" si="0"/>
        <v>0.33818186617060969</v>
      </c>
      <c r="F31" s="52">
        <f t="array" ref="F31">PRODUCT(1+Stats!F33:F44)-1</f>
        <v>8.0343947333064492E-2</v>
      </c>
      <c r="G31" s="52">
        <f>STDEV(Stats!F33:F44)*SQRT(12)</f>
        <v>8.2667452140977066E-2</v>
      </c>
      <c r="H31" s="56">
        <f t="shared" si="1"/>
        <v>0.97189335406212618</v>
      </c>
      <c r="I31" s="53">
        <f t="shared" si="2"/>
        <v>-4.6439358021775901E-2</v>
      </c>
      <c r="J31" s="53">
        <f t="shared" si="3"/>
        <v>1.7588039660537902E-2</v>
      </c>
      <c r="K31" s="104">
        <f>LINEST(Stats!C33:C44,Stats!F33:F44)</f>
        <v>0.93174076475142942</v>
      </c>
      <c r="L31" s="85">
        <f>CORREL(Stats!C33:C44,Stats!F33:F44)</f>
        <v>0.76828344955285777</v>
      </c>
      <c r="M31" s="98">
        <f ca="1">'Monthly Returns'!$G$23+'Rolling 12M'!D31</f>
        <v>0.41284462034926916</v>
      </c>
      <c r="N31" s="98">
        <f ca="1">'Monthly Returns'!$G$23-'Rolling 12M'!D31</f>
        <v>0.21233363674623926</v>
      </c>
      <c r="O31" s="98">
        <f ca="1">'Monthly Returns'!$G$23+2*'Rolling 12M'!D31</f>
        <v>0.5131001121507841</v>
      </c>
      <c r="P31" s="98">
        <f ca="1">'Monthly Returns'!$G$23-2*'Rolling 12M'!D31</f>
        <v>0.11207814494472429</v>
      </c>
    </row>
    <row r="32" spans="2:16" x14ac:dyDescent="0.25">
      <c r="B32" s="59">
        <f ca="1">IF(B31&lt;Stats!$E$1, OFFSET(Stats!B33,12,0),"")</f>
        <v>41000</v>
      </c>
      <c r="C32" s="52">
        <f t="array" ref="C32">PRODUCT(1+Stats!C34:C45)-1</f>
        <v>7.1231480067019959E-3</v>
      </c>
      <c r="D32" s="52">
        <f>STDEV(Stats!C34:C45)*SQRT(12)</f>
        <v>9.6857252039933853E-2</v>
      </c>
      <c r="E32" s="56">
        <f t="shared" si="0"/>
        <v>7.3542743126401633E-2</v>
      </c>
      <c r="F32" s="52">
        <f t="array" ref="F32">PRODUCT(1+Stats!F34:F45)-1</f>
        <v>7.6566125290023601E-2</v>
      </c>
      <c r="G32" s="52">
        <f>STDEV(Stats!F34:F45)*SQRT(12)</f>
        <v>8.243233409162061E-2</v>
      </c>
      <c r="H32" s="56">
        <f t="shared" si="1"/>
        <v>0.92883607062397477</v>
      </c>
      <c r="I32" s="53">
        <f t="shared" si="2"/>
        <v>-6.9442977283321605E-2</v>
      </c>
      <c r="J32" s="53">
        <f t="shared" si="3"/>
        <v>1.4424917948313243E-2</v>
      </c>
      <c r="K32" s="104">
        <f>LINEST(Stats!C34:C45,Stats!F34:F45)</f>
        <v>0.90905649344445982</v>
      </c>
      <c r="L32" s="85">
        <f>CORREL(Stats!C34:C45,Stats!F34:F45)</f>
        <v>0.77367101582517728</v>
      </c>
      <c r="M32" s="98">
        <f ca="1">'Monthly Returns'!$G$23+'Rolling 12M'!D32</f>
        <v>0.40944638058768806</v>
      </c>
      <c r="N32" s="98">
        <f ca="1">'Monthly Returns'!$G$23-'Rolling 12M'!D32</f>
        <v>0.21573187650782039</v>
      </c>
      <c r="O32" s="98">
        <f ca="1">'Monthly Returns'!$G$23+2*'Rolling 12M'!D32</f>
        <v>0.5063036326276219</v>
      </c>
      <c r="P32" s="98">
        <f ca="1">'Monthly Returns'!$G$23-2*'Rolling 12M'!D32</f>
        <v>0.11887462446788652</v>
      </c>
    </row>
    <row r="33" spans="2:16" x14ac:dyDescent="0.25">
      <c r="B33" s="59">
        <f ca="1">IF(B32&lt;Stats!$E$1, OFFSET(Stats!B34,12,0),"")</f>
        <v>41030</v>
      </c>
      <c r="C33" s="52">
        <f t="array" ref="C33">PRODUCT(1+Stats!C35:C46)-1</f>
        <v>1.5783286355773196E-2</v>
      </c>
      <c r="D33" s="52">
        <f>STDEV(Stats!C35:C46)*SQRT(12)</f>
        <v>9.6034818496399332E-2</v>
      </c>
      <c r="E33" s="56">
        <f t="shared" si="0"/>
        <v>0.16434962446838972</v>
      </c>
      <c r="F33" s="52">
        <f t="array" ref="F33">PRODUCT(1+Stats!F35:F46)-1</f>
        <v>5.8819667826429445E-2</v>
      </c>
      <c r="G33" s="52">
        <f>STDEV(Stats!F35:F46)*SQRT(12)</f>
        <v>8.3362549467580677E-2</v>
      </c>
      <c r="H33" s="56">
        <f t="shared" si="1"/>
        <v>0.70558863904833136</v>
      </c>
      <c r="I33" s="53">
        <f t="shared" si="2"/>
        <v>-4.3036381470656249E-2</v>
      </c>
      <c r="J33" s="53">
        <f t="shared" si="3"/>
        <v>1.2672269028818656E-2</v>
      </c>
      <c r="K33" s="104">
        <f>LINEST(Stats!C35:C46,Stats!F35:F46)</f>
        <v>0.9055687541579146</v>
      </c>
      <c r="L33" s="85">
        <f>CORREL(Stats!C35:C46,Stats!F35:F46)</f>
        <v>0.78607448055535167</v>
      </c>
      <c r="M33" s="98">
        <f ca="1">'Monthly Returns'!$G$23+'Rolling 12M'!D33</f>
        <v>0.40862394704415356</v>
      </c>
      <c r="N33" s="98">
        <f ca="1">'Monthly Returns'!$G$23-'Rolling 12M'!D33</f>
        <v>0.21655431005135489</v>
      </c>
      <c r="O33" s="98">
        <f ca="1">'Monthly Returns'!$G$23+2*'Rolling 12M'!D33</f>
        <v>0.50465876554055289</v>
      </c>
      <c r="P33" s="98">
        <f ca="1">'Monthly Returns'!$G$23-2*'Rolling 12M'!D33</f>
        <v>0.12051949155495556</v>
      </c>
    </row>
    <row r="34" spans="2:16" x14ac:dyDescent="0.25">
      <c r="B34" s="59">
        <f ca="1">IF(B33&lt;Stats!$E$1, OFFSET(Stats!B35,12,0),"")</f>
        <v>41061</v>
      </c>
      <c r="C34" s="52">
        <f t="array" ref="C34">PRODUCT(1+Stats!C36:C47)-1</f>
        <v>4.0471040693383475E-2</v>
      </c>
      <c r="D34" s="52">
        <f>STDEV(Stats!C36:C47)*SQRT(12)</f>
        <v>9.6304781340756443E-2</v>
      </c>
      <c r="E34" s="56">
        <f t="shared" si="0"/>
        <v>0.42023916289456359</v>
      </c>
      <c r="F34" s="52">
        <f t="array" ref="F34">PRODUCT(1+Stats!F36:F47)-1</f>
        <v>8.5118969370317377E-2</v>
      </c>
      <c r="G34" s="52">
        <f>STDEV(Stats!F36:F47)*SQRT(12)</f>
        <v>8.4996291424088766E-2</v>
      </c>
      <c r="H34" s="56">
        <f t="shared" si="1"/>
        <v>1.0014433329286865</v>
      </c>
      <c r="I34" s="53">
        <f t="shared" si="2"/>
        <v>-4.4647928676933901E-2</v>
      </c>
      <c r="J34" s="53">
        <f t="shared" si="3"/>
        <v>1.1308489916667677E-2</v>
      </c>
      <c r="K34" s="104">
        <f>LINEST(Stats!C36:C47,Stats!F36:F47)</f>
        <v>0.89328383915472032</v>
      </c>
      <c r="L34" s="85">
        <f>CORREL(Stats!C36:C47,Stats!F36:F47)</f>
        <v>0.78839090292489389</v>
      </c>
      <c r="M34" s="98">
        <f ca="1">'Monthly Returns'!$G$23+'Rolling 12M'!D34</f>
        <v>0.40889390988851065</v>
      </c>
      <c r="N34" s="98">
        <f ca="1">'Monthly Returns'!$G$23-'Rolling 12M'!D34</f>
        <v>0.2162843472069978</v>
      </c>
      <c r="O34" s="98">
        <f ca="1">'Monthly Returns'!$G$23+2*'Rolling 12M'!D34</f>
        <v>0.50519869122926708</v>
      </c>
      <c r="P34" s="98">
        <f ca="1">'Monthly Returns'!$G$23-2*'Rolling 12M'!D34</f>
        <v>0.11997956586624134</v>
      </c>
    </row>
    <row r="35" spans="2:16" x14ac:dyDescent="0.25">
      <c r="B35" s="59">
        <f ca="1">IF(B34&lt;Stats!$E$1, OFFSET(Stats!B36,12,0),"")</f>
        <v>41091</v>
      </c>
      <c r="C35" s="52">
        <f t="array" ref="C35">PRODUCT(1+Stats!C37:C48)-1</f>
        <v>5.2590193291077281E-2</v>
      </c>
      <c r="D35" s="52">
        <f>STDEV(Stats!C37:C48)*SQRT(12)</f>
        <v>9.5982308975996383E-2</v>
      </c>
      <c r="E35" s="56">
        <f t="shared" si="0"/>
        <v>0.54791548413603208</v>
      </c>
      <c r="F35" s="52">
        <f t="array" ref="F35">PRODUCT(1+Stats!F37:F48)-1</f>
        <v>9.2701153127617175E-2</v>
      </c>
      <c r="G35" s="52">
        <f>STDEV(Stats!F37:F48)*SQRT(12)</f>
        <v>8.6490195895464972E-2</v>
      </c>
      <c r="H35" s="56">
        <f t="shared" si="1"/>
        <v>1.0718111130151557</v>
      </c>
      <c r="I35" s="53">
        <f t="shared" si="2"/>
        <v>-4.0110959836539894E-2</v>
      </c>
      <c r="J35" s="53">
        <f t="shared" si="3"/>
        <v>9.4921130805314113E-3</v>
      </c>
      <c r="K35" s="104">
        <f>LINEST(Stats!C37:C48,Stats!F37:F48)</f>
        <v>0.88800562580277798</v>
      </c>
      <c r="L35" s="85">
        <f>CORREL(Stats!C37:C48,Stats!F37:F48)</f>
        <v>0.80018684017243868</v>
      </c>
      <c r="M35" s="98">
        <f ca="1">'Monthly Returns'!$G$23+'Rolling 12M'!D35</f>
        <v>0.40857143752375058</v>
      </c>
      <c r="N35" s="98">
        <f ca="1">'Monthly Returns'!$G$23-'Rolling 12M'!D35</f>
        <v>0.21660681957175784</v>
      </c>
      <c r="O35" s="98">
        <f ca="1">'Monthly Returns'!$G$23+2*'Rolling 12M'!D35</f>
        <v>0.50455374649974694</v>
      </c>
      <c r="P35" s="98">
        <f ca="1">'Monthly Returns'!$G$23-2*'Rolling 12M'!D35</f>
        <v>0.12062451059576146</v>
      </c>
    </row>
    <row r="36" spans="2:16" x14ac:dyDescent="0.25">
      <c r="B36" s="59">
        <f ca="1">IF(B35&lt;Stats!$E$1, OFFSET(Stats!B37,12,0),"")</f>
        <v>41122</v>
      </c>
      <c r="C36" s="52">
        <f t="array" ref="C36">PRODUCT(1+Stats!C38:C49)-1</f>
        <v>8.4148577630010379E-2</v>
      </c>
      <c r="D36" s="52">
        <f>STDEV(Stats!C38:C49)*SQRT(12)</f>
        <v>9.2386874313695369E-2</v>
      </c>
      <c r="E36" s="56">
        <f t="shared" si="0"/>
        <v>0.91082827788163678</v>
      </c>
      <c r="F36" s="52">
        <f t="array" ref="F36">PRODUCT(1+Stats!F38:F49)-1</f>
        <v>9.8163067998711107E-2</v>
      </c>
      <c r="G36" s="52">
        <f>STDEV(Stats!F38:F49)*SQRT(12)</f>
        <v>8.6115845306680316E-2</v>
      </c>
      <c r="H36" s="56">
        <f t="shared" si="1"/>
        <v>1.1398955401195632</v>
      </c>
      <c r="I36" s="53">
        <f t="shared" si="2"/>
        <v>-1.4014490368700727E-2</v>
      </c>
      <c r="J36" s="53">
        <f t="shared" si="3"/>
        <v>6.2710290070150526E-3</v>
      </c>
      <c r="K36" s="104">
        <f>LINEST(Stats!C38:C49,Stats!F38:F49)</f>
        <v>0.86234633185722509</v>
      </c>
      <c r="L36" s="85">
        <f>CORREL(Stats!C38:C49,Stats!F38:F49)</f>
        <v>0.80381205519355359</v>
      </c>
      <c r="M36" s="98">
        <f ca="1">'Monthly Returns'!$G$23+'Rolling 12M'!D36</f>
        <v>0.40497600286144958</v>
      </c>
      <c r="N36" s="98">
        <f ca="1">'Monthly Returns'!$G$23-'Rolling 12M'!D36</f>
        <v>0.22020225423405887</v>
      </c>
      <c r="O36" s="98">
        <f ca="1">'Monthly Returns'!$G$23+2*'Rolling 12M'!D36</f>
        <v>0.49736287717514494</v>
      </c>
      <c r="P36" s="98">
        <f ca="1">'Monthly Returns'!$G$23-2*'Rolling 12M'!D36</f>
        <v>0.12781537992036349</v>
      </c>
    </row>
    <row r="37" spans="2:16" x14ac:dyDescent="0.25">
      <c r="B37" s="59">
        <f ca="1">IF(B36&lt;Stats!$E$1, OFFSET(Stats!B38,12,0),"")</f>
        <v>41153</v>
      </c>
      <c r="C37" s="52">
        <f t="array" ref="C37">PRODUCT(1+Stats!C39:C50)-1</f>
        <v>0.15165087528902133</v>
      </c>
      <c r="D37" s="52">
        <f>STDEV(Stats!C39:C50)*SQRT(12)</f>
        <v>6.7559986813067241E-2</v>
      </c>
      <c r="E37" s="56">
        <f t="shared" si="0"/>
        <v>2.2446847970622974</v>
      </c>
      <c r="F37" s="52">
        <f t="array" ref="F37">PRODUCT(1+Stats!F39:F50)-1</f>
        <v>0.17871213150387177</v>
      </c>
      <c r="G37" s="52">
        <f>STDEV(Stats!F39:F50)*SQRT(12)</f>
        <v>5.7146171121980831E-2</v>
      </c>
      <c r="H37" s="56">
        <f t="shared" si="1"/>
        <v>3.127280935802391</v>
      </c>
      <c r="I37" s="53">
        <f t="shared" si="2"/>
        <v>-2.7061256214850449E-2</v>
      </c>
      <c r="J37" s="53">
        <f t="shared" si="3"/>
        <v>1.041381569108641E-2</v>
      </c>
      <c r="K37" s="104">
        <f>LINEST(Stats!C39:C50,Stats!F39:F50)</f>
        <v>0.70269967429178093</v>
      </c>
      <c r="L37" s="85">
        <f>CORREL(Stats!C39:C50,Stats!F39:F50)</f>
        <v>0.59438430539585785</v>
      </c>
      <c r="M37" s="98">
        <f ca="1">'Monthly Returns'!$G$23+'Rolling 12M'!D37</f>
        <v>0.38014911536082147</v>
      </c>
      <c r="N37" s="98">
        <f ca="1">'Monthly Returns'!$G$23-'Rolling 12M'!D37</f>
        <v>0.24502914173468698</v>
      </c>
      <c r="O37" s="98">
        <f ca="1">'Monthly Returns'!$G$23+2*'Rolling 12M'!D37</f>
        <v>0.44770910217388871</v>
      </c>
      <c r="P37" s="98">
        <f ca="1">'Monthly Returns'!$G$23-2*'Rolling 12M'!D37</f>
        <v>0.17746915492161974</v>
      </c>
    </row>
    <row r="38" spans="2:16" x14ac:dyDescent="0.25">
      <c r="B38" s="59">
        <f ca="1">IF(B37&lt;Stats!$E$1, OFFSET(Stats!B39,12,0),"")</f>
        <v>41183</v>
      </c>
      <c r="C38" s="52">
        <f t="array" ref="C38">PRODUCT(1+Stats!C40:C51)-1</f>
        <v>0.13901871173751146</v>
      </c>
      <c r="D38" s="52">
        <f>STDEV(Stats!C40:C51)*SQRT(12)</f>
        <v>6.5142417405670075E-2</v>
      </c>
      <c r="E38" s="56">
        <f t="shared" si="0"/>
        <v>2.1340735771560588</v>
      </c>
      <c r="F38" s="52">
        <f t="array" ref="F38">PRODUCT(1+Stats!F40:F51)-1</f>
        <v>0.13562504046093071</v>
      </c>
      <c r="G38" s="52">
        <f>STDEV(Stats!F40:F51)*SQRT(12)</f>
        <v>4.21955550532115E-2</v>
      </c>
      <c r="H38" s="56">
        <f t="shared" si="1"/>
        <v>3.214202071519102</v>
      </c>
      <c r="I38" s="53">
        <f t="shared" si="2"/>
        <v>3.3936712765807453E-3</v>
      </c>
      <c r="J38" s="53">
        <f t="shared" si="3"/>
        <v>2.2946862352458575E-2</v>
      </c>
      <c r="K38" s="104">
        <f>LINEST(Stats!C40:C51,Stats!F40:F51)</f>
        <v>0.86019563665046805</v>
      </c>
      <c r="L38" s="85">
        <f>CORREL(Stats!C40:C51,Stats!F40:F51)</f>
        <v>0.55718583663826204</v>
      </c>
      <c r="M38" s="98">
        <f ca="1">'Monthly Returns'!$G$23+'Rolling 12M'!D38</f>
        <v>0.37773154595342429</v>
      </c>
      <c r="N38" s="98">
        <f ca="1">'Monthly Returns'!$G$23-'Rolling 12M'!D38</f>
        <v>0.24744671114208416</v>
      </c>
      <c r="O38" s="98">
        <f ca="1">'Monthly Returns'!$G$23+2*'Rolling 12M'!D38</f>
        <v>0.44287396335909435</v>
      </c>
      <c r="P38" s="98">
        <f ca="1">'Monthly Returns'!$G$23-2*'Rolling 12M'!D38</f>
        <v>0.18230429373641407</v>
      </c>
    </row>
    <row r="39" spans="2:16" x14ac:dyDescent="0.25">
      <c r="B39" s="59">
        <f ca="1">IF(B38&lt;Stats!$E$1, OFFSET(Stats!B40,12,0),"")</f>
        <v>41214</v>
      </c>
      <c r="C39" s="52">
        <f t="array" ref="C39">PRODUCT(1+Stats!C41:C52)-1</f>
        <v>0.19532580324272608</v>
      </c>
      <c r="D39" s="52">
        <f>STDEV(Stats!C41:C52)*SQRT(12)</f>
        <v>5.0618385089717249E-2</v>
      </c>
      <c r="E39" s="56">
        <f t="shared" si="0"/>
        <v>3.8587916800689297</v>
      </c>
      <c r="F39" s="52">
        <f t="array" ref="F39">PRODUCT(1+Stats!F41:F52)-1</f>
        <v>0.15638881630520007</v>
      </c>
      <c r="G39" s="52">
        <f>STDEV(Stats!F41:F52)*SQRT(12)</f>
        <v>3.6457446396015038E-2</v>
      </c>
      <c r="H39" s="56">
        <f t="shared" si="1"/>
        <v>4.2896261742098885</v>
      </c>
      <c r="I39" s="53">
        <f t="shared" si="2"/>
        <v>3.8936986937526008E-2</v>
      </c>
      <c r="J39" s="53">
        <f t="shared" si="3"/>
        <v>1.4160938693702212E-2</v>
      </c>
      <c r="K39" s="104">
        <f>LINEST(Stats!C41:C52,Stats!F41:F52)</f>
        <v>0.4633295191475616</v>
      </c>
      <c r="L39" s="85">
        <f>CORREL(Stats!C41:C52,Stats!F41:F52)</f>
        <v>0.3337090086551398</v>
      </c>
      <c r="M39" s="98">
        <f ca="1">'Monthly Returns'!$G$23+'Rolling 12M'!D39</f>
        <v>0.3632075136374715</v>
      </c>
      <c r="N39" s="98">
        <f ca="1">'Monthly Returns'!$G$23-'Rolling 12M'!D39</f>
        <v>0.26197074345803695</v>
      </c>
      <c r="O39" s="98">
        <f ca="1">'Monthly Returns'!$G$23+2*'Rolling 12M'!D39</f>
        <v>0.41382589872718872</v>
      </c>
      <c r="P39" s="98">
        <f ca="1">'Monthly Returns'!$G$23-2*'Rolling 12M'!D39</f>
        <v>0.21135235836831973</v>
      </c>
    </row>
    <row r="40" spans="2:16" x14ac:dyDescent="0.25">
      <c r="B40" s="59">
        <f ca="1">IF(B39&lt;Stats!$E$1, OFFSET(Stats!B41,12,0),"")</f>
        <v>41244</v>
      </c>
      <c r="C40" s="52">
        <f t="array" ref="C40">PRODUCT(1+Stats!C42:C53)-1</f>
        <v>0.18449547884519979</v>
      </c>
      <c r="D40" s="52">
        <f>STDEV(Stats!C42:C53)*SQRT(12)</f>
        <v>4.426806770327589E-2</v>
      </c>
      <c r="E40" s="56">
        <f t="shared" si="0"/>
        <v>4.1676876452311671</v>
      </c>
      <c r="F40" s="52">
        <f t="array" ref="F40">PRODUCT(1+Stats!F42:F53)-1</f>
        <v>0.14839502976960883</v>
      </c>
      <c r="G40" s="52">
        <f>STDEV(Stats!F42:F53)*SQRT(12)</f>
        <v>3.7694169015537453E-2</v>
      </c>
      <c r="H40" s="56">
        <f t="shared" si="1"/>
        <v>3.9368165858342898</v>
      </c>
      <c r="I40" s="53">
        <f t="shared" si="2"/>
        <v>3.6100449075590957E-2</v>
      </c>
      <c r="J40" s="53">
        <f t="shared" si="3"/>
        <v>6.5738986877384373E-3</v>
      </c>
      <c r="K40" s="104">
        <f>LINEST(Stats!C42:C53,Stats!F42:F53)</f>
        <v>0.32161697681863871</v>
      </c>
      <c r="L40" s="85">
        <f>CORREL(Stats!C42:C53,Stats!F42:F53)</f>
        <v>0.27385619728712113</v>
      </c>
      <c r="M40" s="98">
        <f ca="1">'Monthly Returns'!$G$23+'Rolling 12M'!D40</f>
        <v>0.35685719625103013</v>
      </c>
      <c r="N40" s="98">
        <f ca="1">'Monthly Returns'!$G$23-'Rolling 12M'!D40</f>
        <v>0.26832106084447832</v>
      </c>
      <c r="O40" s="98">
        <f ca="1">'Monthly Returns'!$G$23+2*'Rolling 12M'!D40</f>
        <v>0.40112526395430603</v>
      </c>
      <c r="P40" s="98">
        <f ca="1">'Monthly Returns'!$G$23-2*'Rolling 12M'!D40</f>
        <v>0.22405299314120244</v>
      </c>
    </row>
    <row r="41" spans="2:16" x14ac:dyDescent="0.25">
      <c r="B41" s="59">
        <f ca="1">IF(B40&lt;Stats!$E$1, OFFSET(Stats!B42,12,0),"")</f>
        <v>41275</v>
      </c>
      <c r="C41" s="52">
        <f t="array" ref="C41">PRODUCT(1+Stats!C43:C54)-1</f>
        <v>0.1996916498246506</v>
      </c>
      <c r="D41" s="52">
        <f>STDEV(Stats!C43:C54)*SQRT(12)</f>
        <v>5.0545640941448325E-2</v>
      </c>
      <c r="E41" s="56">
        <f t="shared" si="0"/>
        <v>3.9507195102337676</v>
      </c>
      <c r="F41" s="52">
        <f t="array" ref="F41">PRODUCT(1+Stats!F43:F54)-1</f>
        <v>0.11911867420153666</v>
      </c>
      <c r="G41" s="52">
        <f>STDEV(Stats!F43:F54)*SQRT(12)</f>
        <v>4.0826901400095351E-2</v>
      </c>
      <c r="H41" s="56">
        <f t="shared" si="1"/>
        <v>2.9176516002083481</v>
      </c>
      <c r="I41" s="53">
        <f t="shared" si="2"/>
        <v>8.057297562311394E-2</v>
      </c>
      <c r="J41" s="53">
        <f t="shared" si="3"/>
        <v>9.7187395413529734E-3</v>
      </c>
      <c r="K41" s="104">
        <f>LINEST(Stats!C43:C54,Stats!F43:F54)</f>
        <v>-0.11477910629910992</v>
      </c>
      <c r="L41" s="85">
        <f>CORREL(Stats!C43:C54,Stats!F43:F54)</f>
        <v>-9.2709780079614279E-2</v>
      </c>
      <c r="M41" s="98">
        <f ca="1">'Monthly Returns'!$G$23+'Rolling 12M'!D41</f>
        <v>0.36313476948920254</v>
      </c>
      <c r="N41" s="98">
        <f ca="1">'Monthly Returns'!$G$23-'Rolling 12M'!D41</f>
        <v>0.26204348760630591</v>
      </c>
      <c r="O41" s="98">
        <f ca="1">'Monthly Returns'!$G$23+2*'Rolling 12M'!D41</f>
        <v>0.41368041043065085</v>
      </c>
      <c r="P41" s="98">
        <f ca="1">'Monthly Returns'!$G$23-2*'Rolling 12M'!D41</f>
        <v>0.21149784666485758</v>
      </c>
    </row>
    <row r="42" spans="2:16" x14ac:dyDescent="0.25">
      <c r="B42" s="59">
        <f ca="1">IF(B41&lt;Stats!$E$1, OFFSET(Stats!B43,12,0),"")</f>
        <v>41306</v>
      </c>
      <c r="C42" s="52">
        <f t="array" ref="C42">PRODUCT(1+Stats!C44:C55)-1</f>
        <v>0.18880239319438585</v>
      </c>
      <c r="D42" s="52">
        <f>STDEV(Stats!C44:C55)*SQRT(12)</f>
        <v>4.954126838028345E-2</v>
      </c>
      <c r="E42" s="56">
        <f t="shared" si="0"/>
        <v>3.8110125026497279</v>
      </c>
      <c r="F42" s="52">
        <f t="array" ref="F42">PRODUCT(1+Stats!F44:F55)-1</f>
        <v>0.1009681022713167</v>
      </c>
      <c r="G42" s="52">
        <f>STDEV(Stats!F44:F55)*SQRT(12)</f>
        <v>3.8033325536699976E-2</v>
      </c>
      <c r="H42" s="56">
        <f t="shared" si="1"/>
        <v>2.6547271595771522</v>
      </c>
      <c r="I42" s="53">
        <f t="shared" si="2"/>
        <v>8.7834290923069158E-2</v>
      </c>
      <c r="J42" s="53">
        <f t="shared" si="3"/>
        <v>1.1507942843583474E-2</v>
      </c>
      <c r="K42" s="104">
        <f>LINEST(Stats!C44:C55,Stats!F44:F55)</f>
        <v>-0.23693551930904547</v>
      </c>
      <c r="L42" s="85">
        <f>CORREL(Stats!C44:C55,Stats!F44:F55)</f>
        <v>-0.18189775982147402</v>
      </c>
      <c r="M42" s="98">
        <f ca="1">'Monthly Returns'!$G$23+'Rolling 12M'!D42</f>
        <v>0.36213039692803767</v>
      </c>
      <c r="N42" s="98">
        <f ca="1">'Monthly Returns'!$G$23-'Rolling 12M'!D42</f>
        <v>0.26304786016747078</v>
      </c>
      <c r="O42" s="98">
        <f ca="1">'Monthly Returns'!$G$23+2*'Rolling 12M'!D42</f>
        <v>0.41167166530832111</v>
      </c>
      <c r="P42" s="98">
        <f ca="1">'Monthly Returns'!$G$23-2*'Rolling 12M'!D42</f>
        <v>0.21350659178718734</v>
      </c>
    </row>
    <row r="43" spans="2:16" x14ac:dyDescent="0.25">
      <c r="B43" s="59">
        <f ca="1">IF(B42&lt;Stats!$E$1, OFFSET(Stats!B44,12,0),"")</f>
        <v>41334</v>
      </c>
      <c r="C43" s="52">
        <f t="array" ref="C43">PRODUCT(1+Stats!C45:C56)-1</f>
        <v>0.20912888146918296</v>
      </c>
      <c r="D43" s="52">
        <f>STDEV(Stats!C45:C56)*SQRT(12)</f>
        <v>4.69622672520668E-2</v>
      </c>
      <c r="E43" s="56">
        <f t="shared" si="0"/>
        <v>4.45312574767095</v>
      </c>
      <c r="F43" s="52">
        <f t="array" ref="F43">PRODUCT(1+Stats!F45:F56)-1</f>
        <v>0.1022882726029104</v>
      </c>
      <c r="G43" s="52">
        <f>STDEV(Stats!F45:F56)*SQRT(12)</f>
        <v>3.7704435761220179E-2</v>
      </c>
      <c r="H43" s="56">
        <f t="shared" si="1"/>
        <v>2.7128975818838823</v>
      </c>
      <c r="I43" s="53">
        <f t="shared" si="2"/>
        <v>0.10684060886627256</v>
      </c>
      <c r="J43" s="53">
        <f t="shared" si="3"/>
        <v>9.2578314908466214E-3</v>
      </c>
      <c r="K43" s="104">
        <f>LINEST(Stats!C45:C56,Stats!F45:F56)</f>
        <v>-0.37239798266023855</v>
      </c>
      <c r="L43" s="85">
        <f>CORREL(Stats!C45:C56,Stats!F45:F56)</f>
        <v>-0.29898590158470273</v>
      </c>
      <c r="M43" s="98">
        <f ca="1">'Monthly Returns'!$G$23+'Rolling 12M'!D43</f>
        <v>0.35955139579982104</v>
      </c>
      <c r="N43" s="98">
        <f ca="1">'Monthly Returns'!$G$23-'Rolling 12M'!D43</f>
        <v>0.26562686129568741</v>
      </c>
      <c r="O43" s="98">
        <f ca="1">'Monthly Returns'!$G$23+2*'Rolling 12M'!D43</f>
        <v>0.40651366305188785</v>
      </c>
      <c r="P43" s="98">
        <f ca="1">'Monthly Returns'!$G$23-2*'Rolling 12M'!D43</f>
        <v>0.21866459404362062</v>
      </c>
    </row>
    <row r="44" spans="2:16" x14ac:dyDescent="0.25">
      <c r="B44" s="59">
        <f ca="1">IF(B43&lt;Stats!$E$1, OFFSET(Stats!B45,12,0),"")</f>
        <v>41365</v>
      </c>
      <c r="C44" s="52">
        <f t="array" ref="C44">PRODUCT(1+Stats!C46:C57)-1</f>
        <v>0.24406222614024053</v>
      </c>
      <c r="D44" s="52">
        <f>STDEV(Stats!C46:C57)*SQRT(12)</f>
        <v>4.5261532935113494E-2</v>
      </c>
      <c r="E44" s="56">
        <f t="shared" si="0"/>
        <v>5.3922660217921878</v>
      </c>
      <c r="F44" s="52">
        <f t="array" ref="F44">PRODUCT(1+Stats!F46:F57)-1</f>
        <v>0.1099753694581278</v>
      </c>
      <c r="G44" s="52">
        <f>STDEV(Stats!F46:F57)*SQRT(12)</f>
        <v>3.8680008322807651E-2</v>
      </c>
      <c r="H44" s="56">
        <f t="shared" si="1"/>
        <v>2.8432095603578471</v>
      </c>
      <c r="I44" s="53">
        <f t="shared" si="2"/>
        <v>0.13408685668211273</v>
      </c>
      <c r="J44" s="53">
        <f t="shared" si="3"/>
        <v>6.5815246123058432E-3</v>
      </c>
      <c r="K44" s="104">
        <f>LINEST(Stats!C46:C57,Stats!F46:F57)</f>
        <v>-0.26442400671475363</v>
      </c>
      <c r="L44" s="85">
        <f>CORREL(Stats!C46:C57,Stats!F46:F57)</f>
        <v>-0.22597384837008225</v>
      </c>
      <c r="M44" s="98">
        <f ca="1">'Monthly Returns'!$G$23+'Rolling 12M'!D44</f>
        <v>0.3578506614828677</v>
      </c>
      <c r="N44" s="98">
        <f ca="1">'Monthly Returns'!$G$23-'Rolling 12M'!D44</f>
        <v>0.26732759561264074</v>
      </c>
      <c r="O44" s="98">
        <f ca="1">'Monthly Returns'!$G$23+2*'Rolling 12M'!D44</f>
        <v>0.40311219441798118</v>
      </c>
      <c r="P44" s="98">
        <f ca="1">'Monthly Returns'!$G$23-2*'Rolling 12M'!D44</f>
        <v>0.22206606267752724</v>
      </c>
    </row>
    <row r="45" spans="2:16" x14ac:dyDescent="0.25">
      <c r="B45" s="59">
        <f ca="1">IF(B44&lt;Stats!$E$1, OFFSET(Stats!B46,12,0),"")</f>
        <v>41395</v>
      </c>
      <c r="C45" s="52">
        <f t="array" ref="C45">PRODUCT(1+Stats!C47:C58)-1</f>
        <v>0.26515014150811456</v>
      </c>
      <c r="D45" s="52">
        <f>STDEV(Stats!C47:C58)*SQRT(12)</f>
        <v>3.928872149057077E-2</v>
      </c>
      <c r="E45" s="56">
        <f t="shared" si="0"/>
        <v>6.748759731765519</v>
      </c>
      <c r="F45" s="52">
        <f t="array" ref="F45">PRODUCT(1+Stats!F47:F58)-1</f>
        <v>9.0148180296360625E-2</v>
      </c>
      <c r="G45" s="52">
        <f>STDEV(Stats!F47:F58)*SQRT(12)</f>
        <v>4.9149163560530514E-2</v>
      </c>
      <c r="H45" s="56">
        <f t="shared" si="1"/>
        <v>1.8341752690325452</v>
      </c>
      <c r="I45" s="53">
        <f t="shared" si="2"/>
        <v>0.17500196121175393</v>
      </c>
      <c r="J45" s="53">
        <f t="shared" si="3"/>
        <v>-9.8604420699597434E-3</v>
      </c>
      <c r="K45" s="104">
        <f>LINEST(Stats!C47:C58,Stats!F47:F58)</f>
        <v>-0.23534893942899043</v>
      </c>
      <c r="L45" s="85">
        <f>CORREL(Stats!C47:C58,Stats!F47:F58)</f>
        <v>-0.29441537110259403</v>
      </c>
      <c r="M45" s="98">
        <f ca="1">'Monthly Returns'!$G$23+'Rolling 12M'!D45</f>
        <v>0.351877850038325</v>
      </c>
      <c r="N45" s="98">
        <f ca="1">'Monthly Returns'!$G$23-'Rolling 12M'!D45</f>
        <v>0.27330040705718345</v>
      </c>
      <c r="O45" s="98">
        <f ca="1">'Monthly Returns'!$G$23+2*'Rolling 12M'!D45</f>
        <v>0.39116657152889578</v>
      </c>
      <c r="P45" s="98">
        <f ca="1">'Monthly Returns'!$G$23-2*'Rolling 12M'!D45</f>
        <v>0.23401168556661267</v>
      </c>
    </row>
    <row r="46" spans="2:16" x14ac:dyDescent="0.25">
      <c r="B46" s="59">
        <f ca="1">IF(B45&lt;Stats!$E$1, OFFSET(Stats!B47,12,0),"")</f>
        <v>41426</v>
      </c>
      <c r="C46" s="52">
        <f t="array" ref="C46">PRODUCT(1+Stats!C48:C59)-1</f>
        <v>0.23874354211855886</v>
      </c>
      <c r="D46" s="52">
        <f>STDEV(Stats!C48:C59)*SQRT(12)</f>
        <v>4.6743983570080978E-2</v>
      </c>
      <c r="E46" s="56">
        <f t="shared" si="0"/>
        <v>5.1074710344406631</v>
      </c>
      <c r="F46" s="52">
        <f t="array" ref="F46">PRODUCT(1+Stats!F48:F59)-1</f>
        <v>2.313889393664037E-2</v>
      </c>
      <c r="G46" s="52">
        <f>STDEV(Stats!F48:F59)*SQRT(12)</f>
        <v>6.4370398455005473E-2</v>
      </c>
      <c r="H46" s="56">
        <f t="shared" si="1"/>
        <v>0.35946482377011102</v>
      </c>
      <c r="I46" s="53">
        <f t="shared" si="2"/>
        <v>0.21560464818191849</v>
      </c>
      <c r="J46" s="53">
        <f t="shared" si="3"/>
        <v>-1.7626414884924495E-2</v>
      </c>
      <c r="K46" s="104">
        <f>LINEST(Stats!C48:C59,Stats!F48:F59)</f>
        <v>0.16274631198033943</v>
      </c>
      <c r="L46" s="85">
        <f>CORREL(Stats!C48:C59,Stats!F48:F59)</f>
        <v>0.22411536521167166</v>
      </c>
      <c r="M46" s="98">
        <f ca="1">'Monthly Returns'!$G$23+'Rolling 12M'!D46</f>
        <v>0.3593331121178352</v>
      </c>
      <c r="N46" s="98">
        <f ca="1">'Monthly Returns'!$G$23-'Rolling 12M'!D46</f>
        <v>0.26584514497767325</v>
      </c>
      <c r="O46" s="98">
        <f ca="1">'Monthly Returns'!$G$23+2*'Rolling 12M'!D46</f>
        <v>0.40607709568791617</v>
      </c>
      <c r="P46" s="98">
        <f ca="1">'Monthly Returns'!$G$23-2*'Rolling 12M'!D46</f>
        <v>0.21910116140759228</v>
      </c>
    </row>
    <row r="47" spans="2:16" x14ac:dyDescent="0.25">
      <c r="B47" s="59">
        <f ca="1">IF(B46&lt;Stats!$E$1, OFFSET(Stats!B48,12,0),"")</f>
        <v>41456</v>
      </c>
      <c r="C47" s="52">
        <f t="array" ref="C47">PRODUCT(1+Stats!C49:C60)-1</f>
        <v>0.23235002706246233</v>
      </c>
      <c r="D47" s="52">
        <f>STDEV(Stats!C49:C60)*SQRT(12)</f>
        <v>4.8291953028146699E-2</v>
      </c>
      <c r="E47" s="56">
        <f t="shared" si="0"/>
        <v>4.8113611583908895</v>
      </c>
      <c r="F47" s="52">
        <f t="array" ref="F47">PRODUCT(1+Stats!F49:F60)-1</f>
        <v>4.5985143261408901E-3</v>
      </c>
      <c r="G47" s="52">
        <f>STDEV(Stats!F49:F60)*SQRT(12)</f>
        <v>5.8817918615447752E-2</v>
      </c>
      <c r="H47" s="56">
        <f t="shared" si="1"/>
        <v>7.8182200839271979E-2</v>
      </c>
      <c r="I47" s="53">
        <f t="shared" si="2"/>
        <v>0.22775151273632144</v>
      </c>
      <c r="J47" s="53">
        <f t="shared" si="3"/>
        <v>-1.0525965587301053E-2</v>
      </c>
      <c r="K47" s="104">
        <f>LINEST(Stats!C49:C60,Stats!F49:F60)</f>
        <v>0.24344013784578525</v>
      </c>
      <c r="L47" s="85">
        <f>CORREL(Stats!C49:C60,Stats!F49:F60)</f>
        <v>0.2965016181308972</v>
      </c>
      <c r="M47" s="98">
        <f ca="1">'Monthly Returns'!$G$23+'Rolling 12M'!D47</f>
        <v>0.36088108157590093</v>
      </c>
      <c r="N47" s="98">
        <f ca="1">'Monthly Returns'!$G$23-'Rolling 12M'!D47</f>
        <v>0.26429717551960752</v>
      </c>
      <c r="O47" s="98">
        <f ca="1">'Monthly Returns'!$G$23+2*'Rolling 12M'!D47</f>
        <v>0.40917303460404764</v>
      </c>
      <c r="P47" s="98">
        <f ca="1">'Monthly Returns'!$G$23-2*'Rolling 12M'!D47</f>
        <v>0.21600522249146081</v>
      </c>
    </row>
    <row r="48" spans="2:16" x14ac:dyDescent="0.25">
      <c r="B48" s="59">
        <f ca="1">IF(B47&lt;Stats!$E$1, OFFSET(Stats!B49,12,0),"")</f>
        <v>41487</v>
      </c>
      <c r="C48" s="52">
        <f t="array" ref="C48">PRODUCT(1+Stats!C50:C61)-1</f>
        <v>0.23283808647912063</v>
      </c>
      <c r="D48" s="52">
        <f>STDEV(Stats!C50:C61)*SQRT(12)</f>
        <v>4.8224437411299718E-2</v>
      </c>
      <c r="E48" s="56">
        <f t="shared" si="0"/>
        <v>4.8282177870376382</v>
      </c>
      <c r="F48" s="52">
        <f t="array" ref="F48">PRODUCT(1+Stats!F50:F61)-1</f>
        <v>-2.206831787768504E-2</v>
      </c>
      <c r="G48" s="52">
        <f>STDEV(Stats!F50:F61)*SQRT(12)</f>
        <v>6.2768468321418219E-2</v>
      </c>
      <c r="H48" s="56">
        <f t="shared" si="1"/>
        <v>-0.35158286426044205</v>
      </c>
      <c r="I48" s="53">
        <f t="shared" si="2"/>
        <v>0.25490640435680567</v>
      </c>
      <c r="J48" s="53">
        <f t="shared" si="3"/>
        <v>-1.4544030910118501E-2</v>
      </c>
      <c r="K48" s="104">
        <f>LINEST(Stats!C50:C61,Stats!F50:F61)</f>
        <v>0.26797203065850328</v>
      </c>
      <c r="L48" s="85">
        <f>CORREL(Stats!C50:C61,Stats!F50:F61)</f>
        <v>0.34878984225274035</v>
      </c>
      <c r="M48" s="98">
        <f ca="1">'Monthly Returns'!$G$23+'Rolling 12M'!D48</f>
        <v>0.36081356595905395</v>
      </c>
      <c r="N48" s="98">
        <f ca="1">'Monthly Returns'!$G$23-'Rolling 12M'!D48</f>
        <v>0.2643646911364545</v>
      </c>
      <c r="O48" s="98">
        <f ca="1">'Monthly Returns'!$G$23+2*'Rolling 12M'!D48</f>
        <v>0.40903800337035368</v>
      </c>
      <c r="P48" s="98">
        <f ca="1">'Monthly Returns'!$G$23-2*'Rolling 12M'!D48</f>
        <v>0.21614025372515477</v>
      </c>
    </row>
    <row r="49" spans="2:16" x14ac:dyDescent="0.25">
      <c r="B49" s="59">
        <f ca="1">IF(B48&lt;Stats!$E$1, OFFSET(Stats!B50,12,0),"")</f>
        <v>41518</v>
      </c>
      <c r="C49" s="52">
        <f t="array" ref="C49">PRODUCT(1+Stats!C51:C62)-1</f>
        <v>0.25044481904413018</v>
      </c>
      <c r="D49" s="52">
        <f>STDEV(Stats!C51:C62)*SQRT(12)</f>
        <v>4.7309080427641925E-2</v>
      </c>
      <c r="E49" s="56">
        <f t="shared" si="0"/>
        <v>5.2938001918506821</v>
      </c>
      <c r="F49" s="52">
        <f t="array" ref="F49">PRODUCT(1+Stats!F51:F62)-1</f>
        <v>-1.7576211606062597E-2</v>
      </c>
      <c r="G49" s="52">
        <f>STDEV(Stats!F51:F62)*SQRT(12)</f>
        <v>6.4559224135058074E-2</v>
      </c>
      <c r="H49" s="56">
        <f t="shared" si="1"/>
        <v>-0.27224942433157368</v>
      </c>
      <c r="I49" s="53">
        <f t="shared" si="2"/>
        <v>0.26802103065019278</v>
      </c>
      <c r="J49" s="53">
        <f t="shared" si="3"/>
        <v>-1.7250143707416149E-2</v>
      </c>
      <c r="K49" s="104">
        <f>LINEST(Stats!C51:C62,Stats!F51:F62)</f>
        <v>0.33409714564499271</v>
      </c>
      <c r="L49" s="85">
        <f>CORREL(Stats!C51:C62,Stats!F51:F62)</f>
        <v>0.45591781352773425</v>
      </c>
      <c r="M49" s="98">
        <f ca="1">'Monthly Returns'!$G$23+'Rolling 12M'!D49</f>
        <v>0.35989820897539615</v>
      </c>
      <c r="N49" s="98">
        <f ca="1">'Monthly Returns'!$G$23-'Rolling 12M'!D49</f>
        <v>0.2652800481201123</v>
      </c>
      <c r="O49" s="98">
        <f ca="1">'Monthly Returns'!$G$23+2*'Rolling 12M'!D49</f>
        <v>0.40720728940303808</v>
      </c>
      <c r="P49" s="98">
        <f ca="1">'Monthly Returns'!$G$23-2*'Rolling 12M'!D49</f>
        <v>0.21797096769247037</v>
      </c>
    </row>
    <row r="50" spans="2:16" x14ac:dyDescent="0.25">
      <c r="B50" s="59">
        <f ca="1">IF(B49&lt;Stats!$E$1, OFFSET(Stats!B51,12,0),"")</f>
        <v>41548</v>
      </c>
      <c r="C50" s="52">
        <f t="array" ref="C50">PRODUCT(1+Stats!C52:C63)-1</f>
        <v>0.2477448694888289</v>
      </c>
      <c r="D50" s="52">
        <f>STDEV(Stats!C52:C63)*SQRT(12)</f>
        <v>4.7359361175052746E-2</v>
      </c>
      <c r="E50" s="56">
        <f t="shared" si="0"/>
        <v>5.2311700019157401</v>
      </c>
      <c r="F50" s="52">
        <f t="array" ref="F50">PRODUCT(1+Stats!F52:F63)-1</f>
        <v>-4.0474290274767899E-3</v>
      </c>
      <c r="G50" s="52">
        <f>STDEV(Stats!F52:F63)*SQRT(12)</f>
        <v>6.8792789857288469E-2</v>
      </c>
      <c r="H50" s="56">
        <f t="shared" si="1"/>
        <v>-5.8835076115872513E-2</v>
      </c>
      <c r="I50" s="53">
        <f t="shared" si="2"/>
        <v>0.25179229851630569</v>
      </c>
      <c r="J50" s="53">
        <f t="shared" si="3"/>
        <v>-2.1433428682235724E-2</v>
      </c>
      <c r="K50" s="104">
        <f>LINEST(Stats!C52:C63,Stats!F52:F63)</f>
        <v>0.28163253576863956</v>
      </c>
      <c r="L50" s="85">
        <f>CORREL(Stats!C52:C63,Stats!F52:F63)</f>
        <v>0.4090909879146134</v>
      </c>
      <c r="M50" s="98">
        <f ca="1">'Monthly Returns'!$G$23+'Rolling 12M'!D50</f>
        <v>0.35994848972280696</v>
      </c>
      <c r="N50" s="98">
        <f ca="1">'Monthly Returns'!$G$23-'Rolling 12M'!D50</f>
        <v>0.26522976737270149</v>
      </c>
      <c r="O50" s="98">
        <f ca="1">'Monthly Returns'!$G$23+2*'Rolling 12M'!D50</f>
        <v>0.4073078508978597</v>
      </c>
      <c r="P50" s="98">
        <f ca="1">'Monthly Returns'!$G$23-2*'Rolling 12M'!D50</f>
        <v>0.21787040619764875</v>
      </c>
    </row>
    <row r="51" spans="2:16" x14ac:dyDescent="0.25">
      <c r="B51" s="59">
        <f ca="1">IF(B50&lt;Stats!$E$1, OFFSET(Stats!B52,12,0),"")</f>
        <v>41579</v>
      </c>
      <c r="C51" s="52">
        <f t="array" ref="C51">PRODUCT(1+Stats!C53:C64)-1</f>
        <v>0.22721591658763196</v>
      </c>
      <c r="D51" s="52">
        <f>STDEV(Stats!C53:C64)*SQRT(12)</f>
        <v>4.9367784858328233E-2</v>
      </c>
      <c r="E51" s="56">
        <f t="shared" si="0"/>
        <v>4.6025139114440368</v>
      </c>
      <c r="F51" s="52">
        <f t="array" ref="F51">PRODUCT(1+Stats!F53:F64)-1</f>
        <v>-2.0449666704327352E-2</v>
      </c>
      <c r="G51" s="52">
        <f>STDEV(Stats!F53:F64)*SQRT(12)</f>
        <v>6.8354029983327597E-2</v>
      </c>
      <c r="H51" s="56">
        <f t="shared" si="1"/>
        <v>-0.29917280238363825</v>
      </c>
      <c r="I51" s="53">
        <f t="shared" si="2"/>
        <v>0.24766558329195931</v>
      </c>
      <c r="J51" s="53">
        <f t="shared" si="3"/>
        <v>-1.8986245124999364E-2</v>
      </c>
      <c r="K51" s="104">
        <f>LINEST(Stats!C53:C64,Stats!F53:F64)</f>
        <v>0.29931579142573561</v>
      </c>
      <c r="L51" s="85">
        <f>CORREL(Stats!C53:C64,Stats!F53:F64)</f>
        <v>0.41442897712164023</v>
      </c>
      <c r="M51" s="98">
        <f ca="1">'Monthly Returns'!$G$23+'Rolling 12M'!D51</f>
        <v>0.36195691340608244</v>
      </c>
      <c r="N51" s="98">
        <f ca="1">'Monthly Returns'!$G$23-'Rolling 12M'!D51</f>
        <v>0.26322134368942601</v>
      </c>
      <c r="O51" s="98">
        <f ca="1">'Monthly Returns'!$G$23+2*'Rolling 12M'!D51</f>
        <v>0.4113246982644107</v>
      </c>
      <c r="P51" s="98">
        <f ca="1">'Monthly Returns'!$G$23-2*'Rolling 12M'!D51</f>
        <v>0.21385355883109775</v>
      </c>
    </row>
    <row r="52" spans="2:16" x14ac:dyDescent="0.25">
      <c r="B52" s="59">
        <f ca="1">IF(B51&lt;Stats!$E$1, OFFSET(Stats!B53,12,0),"")</f>
        <v>41609</v>
      </c>
      <c r="C52" s="52">
        <f t="array" ref="C52">PRODUCT(1+Stats!C54:C65)-1</f>
        <v>0.20595519810969387</v>
      </c>
      <c r="D52" s="52">
        <f>STDEV(Stats!C54:C65)*SQRT(12)</f>
        <v>4.3691646798901987E-2</v>
      </c>
      <c r="E52" s="56">
        <f t="shared" si="0"/>
        <v>4.7138346388644186</v>
      </c>
      <c r="F52" s="52">
        <f t="array" ref="F52">PRODUCT(1+Stats!F54:F65)-1</f>
        <v>-2.4570301493378466E-2</v>
      </c>
      <c r="G52" s="52">
        <f>STDEV(Stats!F54:F65)*SQRT(12)</f>
        <v>6.8216805204245778E-2</v>
      </c>
      <c r="H52" s="56">
        <f t="shared" si="1"/>
        <v>-0.36017959826487483</v>
      </c>
      <c r="I52" s="53">
        <f t="shared" si="2"/>
        <v>0.23052549960307234</v>
      </c>
      <c r="J52" s="53">
        <f t="shared" si="3"/>
        <v>-2.4525158405343792E-2</v>
      </c>
      <c r="K52" s="104">
        <f>LINEST(Stats!C54:C65,Stats!F54:F65)</f>
        <v>0.27863000199509902</v>
      </c>
      <c r="L52" s="85">
        <f>CORREL(Stats!C54:C65,Stats!F54:F65)</f>
        <v>0.43503163562688052</v>
      </c>
      <c r="M52" s="98">
        <f ca="1">'Monthly Returns'!$G$23+'Rolling 12M'!D52</f>
        <v>0.3562807753466562</v>
      </c>
      <c r="N52" s="98">
        <f ca="1">'Monthly Returns'!$G$23-'Rolling 12M'!D52</f>
        <v>0.26889748174885225</v>
      </c>
      <c r="O52" s="98">
        <f ca="1">'Monthly Returns'!$G$23+2*'Rolling 12M'!D52</f>
        <v>0.39997242214555817</v>
      </c>
      <c r="P52" s="98">
        <f ca="1">'Monthly Returns'!$G$23-2*'Rolling 12M'!D52</f>
        <v>0.22520583494995025</v>
      </c>
    </row>
    <row r="53" spans="2:16" x14ac:dyDescent="0.25">
      <c r="B53" s="59">
        <f ca="1">IF(B52&lt;Stats!$E$1, OFFSET(Stats!B54,12,0),"")</f>
        <v>41640</v>
      </c>
      <c r="C53" s="52">
        <f t="array" ref="C53">PRODUCT(1+Stats!C55:C66)-1</f>
        <v>0.2406722655152127</v>
      </c>
      <c r="D53" s="52">
        <f>STDEV(Stats!C55:C66)*SQRT(12)</f>
        <v>6.7308354202539722E-2</v>
      </c>
      <c r="E53" s="56">
        <f t="shared" si="0"/>
        <v>3.575667067879837</v>
      </c>
      <c r="F53" s="52">
        <f t="array" ref="F53">PRODUCT(1+Stats!F55:F66)-1</f>
        <v>-9.1914893617024429E-3</v>
      </c>
      <c r="G53" s="52">
        <f>STDEV(Stats!F55:F66)*SQRT(12)</f>
        <v>6.8792066104927496E-2</v>
      </c>
      <c r="H53" s="56">
        <f t="shared" si="1"/>
        <v>-0.1336126370689725</v>
      </c>
      <c r="I53" s="53">
        <f t="shared" si="2"/>
        <v>0.24986375487691515</v>
      </c>
      <c r="J53" s="53">
        <f t="shared" si="3"/>
        <v>-1.4837119023877743E-3</v>
      </c>
      <c r="K53" s="104">
        <f>LINEST(Stats!C55:C66,Stats!F55:F66)</f>
        <v>0.43451808600851716</v>
      </c>
      <c r="L53" s="85">
        <f>CORREL(Stats!C55:C66,Stats!F55:F66)</f>
        <v>0.44409638670613349</v>
      </c>
      <c r="M53" s="98">
        <f ca="1">'Monthly Returns'!$G$23+'Rolling 12M'!D53</f>
        <v>0.37989748275029395</v>
      </c>
      <c r="N53" s="98">
        <f ca="1">'Monthly Returns'!$G$23-'Rolling 12M'!D53</f>
        <v>0.2452807743452145</v>
      </c>
      <c r="O53" s="98">
        <f ca="1">'Monthly Returns'!$G$23+2*'Rolling 12M'!D53</f>
        <v>0.44720583695283367</v>
      </c>
      <c r="P53" s="98">
        <f ca="1">'Monthly Returns'!$G$23-2*'Rolling 12M'!D53</f>
        <v>0.17797242014267478</v>
      </c>
    </row>
    <row r="54" spans="2:16" x14ac:dyDescent="0.25">
      <c r="B54" s="59">
        <f ca="1">IF(B53&lt;Stats!$E$1, OFFSET(Stats!B55,12,0),"")</f>
        <v>41671</v>
      </c>
      <c r="C54" s="52">
        <f t="array" ref="C54">PRODUCT(1+Stats!C56:C67)-1</f>
        <v>0.24421599600865673</v>
      </c>
      <c r="D54" s="52">
        <f>STDEV(Stats!C56:C67)*SQRT(12)</f>
        <v>6.7229775600344863E-2</v>
      </c>
      <c r="E54" s="56">
        <f t="shared" si="0"/>
        <v>3.6325570601399417</v>
      </c>
      <c r="F54" s="52">
        <f t="array" ref="F54">PRODUCT(1+Stats!F56:F67)-1</f>
        <v>2.2546643368468455E-3</v>
      </c>
      <c r="G54" s="52">
        <f>STDEV(Stats!F56:F67)*SQRT(12)</f>
        <v>7.1059421970672262E-2</v>
      </c>
      <c r="H54" s="56">
        <f t="shared" si="1"/>
        <v>3.1729280569962888E-2</v>
      </c>
      <c r="I54" s="53">
        <f t="shared" si="2"/>
        <v>0.24196133167180989</v>
      </c>
      <c r="J54" s="53">
        <f t="shared" si="3"/>
        <v>-3.8296463703273997E-3</v>
      </c>
      <c r="K54" s="104">
        <f>LINEST(Stats!C56:C67,Stats!F56:F67)</f>
        <v>0.41086436235948387</v>
      </c>
      <c r="L54" s="85">
        <f>CORREL(Stats!C56:C67,Stats!F56:F67)</f>
        <v>0.43426865309162188</v>
      </c>
      <c r="M54" s="98">
        <f ca="1">'Monthly Returns'!$G$23+'Rolling 12M'!D54</f>
        <v>0.3798189041480991</v>
      </c>
      <c r="N54" s="98">
        <f ca="1">'Monthly Returns'!$G$23-'Rolling 12M'!D54</f>
        <v>0.24535935294740935</v>
      </c>
      <c r="O54" s="98">
        <f ca="1">'Monthly Returns'!$G$23+2*'Rolling 12M'!D54</f>
        <v>0.44704867974844398</v>
      </c>
      <c r="P54" s="98">
        <f ca="1">'Monthly Returns'!$G$23-2*'Rolling 12M'!D54</f>
        <v>0.1781295773470645</v>
      </c>
    </row>
    <row r="55" spans="2:16" x14ac:dyDescent="0.25">
      <c r="B55" s="59">
        <f ca="1">IF(B54&lt;Stats!$E$1, OFFSET(Stats!B56,12,0),"")</f>
        <v>41699</v>
      </c>
      <c r="C55" s="52">
        <f t="array" ref="C55">PRODUCT(1+Stats!C57:C68)-1</f>
        <v>0.19993697609564709</v>
      </c>
      <c r="D55" s="52">
        <f>STDEV(Stats!C57:C68)*SQRT(12)</f>
        <v>7.704706353911224E-2</v>
      </c>
      <c r="E55" s="56">
        <f t="shared" si="0"/>
        <v>2.5949980039687159</v>
      </c>
      <c r="F55" s="52">
        <f t="array" ref="F55">PRODUCT(1+Stats!F57:F68)-1</f>
        <v>9.4206577537088165E-3</v>
      </c>
      <c r="G55" s="52">
        <f>STDEV(Stats!F57:F68)*SQRT(12)</f>
        <v>7.1289736193963268E-2</v>
      </c>
      <c r="H55" s="56">
        <f t="shared" si="1"/>
        <v>0.13214605996124512</v>
      </c>
      <c r="I55" s="53">
        <f t="shared" si="2"/>
        <v>0.19051631834193827</v>
      </c>
      <c r="J55" s="53">
        <f t="shared" si="3"/>
        <v>5.7573273451489715E-3</v>
      </c>
      <c r="K55" s="104">
        <f>LINEST(Stats!C57:C68,Stats!F57:F68)</f>
        <v>0.36436925970943213</v>
      </c>
      <c r="L55" s="85">
        <f>CORREL(Stats!C57:C68,Stats!F57:F68)</f>
        <v>0.33714183524578756</v>
      </c>
      <c r="M55" s="98">
        <f ca="1">'Monthly Returns'!$G$23+'Rolling 12M'!D55</f>
        <v>0.38963619208686645</v>
      </c>
      <c r="N55" s="98">
        <f ca="1">'Monthly Returns'!$G$23-'Rolling 12M'!D55</f>
        <v>0.235542065008642</v>
      </c>
      <c r="O55" s="98">
        <f ca="1">'Monthly Returns'!$G$23+2*'Rolling 12M'!D55</f>
        <v>0.46668325562597868</v>
      </c>
      <c r="P55" s="98">
        <f ca="1">'Monthly Returns'!$G$23-2*'Rolling 12M'!D55</f>
        <v>0.15849500146952974</v>
      </c>
    </row>
    <row r="56" spans="2:16" x14ac:dyDescent="0.25">
      <c r="B56" s="59">
        <f ca="1">IF(B55&lt;Stats!$E$1, OFFSET(Stats!B57,12,0),"")</f>
        <v>41730</v>
      </c>
      <c r="C56" s="52">
        <f t="array" ref="C56">PRODUCT(1+Stats!C58:C69)-1</f>
        <v>0.1530680813822336</v>
      </c>
      <c r="D56" s="52">
        <f>STDEV(Stats!C58:C69)*SQRT(12)</f>
        <v>7.9704881794142202E-2</v>
      </c>
      <c r="E56" s="56">
        <f t="shared" si="0"/>
        <v>1.9204354606229794</v>
      </c>
      <c r="F56" s="52">
        <f t="array" ref="F56">PRODUCT(1+Stats!F58:F69)-1</f>
        <v>-2.7737712193509623E-4</v>
      </c>
      <c r="G56" s="52">
        <f>STDEV(Stats!F58:F69)*SQRT(12)</f>
        <v>6.956276289954301E-2</v>
      </c>
      <c r="H56" s="56">
        <f t="shared" si="1"/>
        <v>-3.9874368178225202E-3</v>
      </c>
      <c r="I56" s="53">
        <f t="shared" si="2"/>
        <v>0.1533454585041687</v>
      </c>
      <c r="J56" s="53">
        <f t="shared" si="3"/>
        <v>1.0142118894599192E-2</v>
      </c>
      <c r="K56" s="104">
        <f>LINEST(Stats!C58:C69,Stats!F58:F69)</f>
        <v>0.28972437964480441</v>
      </c>
      <c r="L56" s="85">
        <f>CORREL(Stats!C58:C69,Stats!F58:F69)</f>
        <v>0.25285814210855412</v>
      </c>
      <c r="M56" s="98">
        <f ca="1">'Monthly Returns'!$G$23+'Rolling 12M'!D56</f>
        <v>0.39229401034189643</v>
      </c>
      <c r="N56" s="98">
        <f ca="1">'Monthly Returns'!$G$23-'Rolling 12M'!D56</f>
        <v>0.23288424675361202</v>
      </c>
      <c r="O56" s="98">
        <f ca="1">'Monthly Returns'!$G$23+2*'Rolling 12M'!D56</f>
        <v>0.47199889213603863</v>
      </c>
      <c r="P56" s="98">
        <f ca="1">'Monthly Returns'!$G$23-2*'Rolling 12M'!D56</f>
        <v>0.15317936495946982</v>
      </c>
    </row>
    <row r="57" spans="2:16" x14ac:dyDescent="0.25">
      <c r="B57" s="59">
        <f ca="1">IF(B56&lt;Stats!$E$1, OFFSET(Stats!B58,12,0),"")</f>
        <v>41760</v>
      </c>
      <c r="C57" s="52">
        <f t="array" ref="C57">PRODUCT(1+Stats!C59:C70)-1</f>
        <v>0.14192293176437598</v>
      </c>
      <c r="D57" s="52">
        <f>STDEV(Stats!C59:C70)*SQRT(12)</f>
        <v>8.0075118141995555E-2</v>
      </c>
      <c r="E57" s="56">
        <f t="shared" si="0"/>
        <v>1.772372430505903</v>
      </c>
      <c r="F57" s="52">
        <f t="array" ref="F57">PRODUCT(1+Stats!F59:F70)-1</f>
        <v>4.8455894898481011E-2</v>
      </c>
      <c r="G57" s="52">
        <f>STDEV(Stats!F59:F70)*SQRT(12)</f>
        <v>6.7330450066874853E-2</v>
      </c>
      <c r="H57" s="56">
        <f t="shared" si="1"/>
        <v>0.71967282040076963</v>
      </c>
      <c r="I57" s="53">
        <f t="shared" si="2"/>
        <v>9.346703686589497E-2</v>
      </c>
      <c r="J57" s="53">
        <f t="shared" si="3"/>
        <v>1.2744668075120702E-2</v>
      </c>
      <c r="K57" s="104">
        <f>LINEST(Stats!C59:C70,Stats!F59:F70)</f>
        <v>0.28454436549218226</v>
      </c>
      <c r="L57" s="85">
        <f>CORREL(Stats!C59:C70,Stats!F59:F70)</f>
        <v>0.23925659602035917</v>
      </c>
      <c r="M57" s="98">
        <f ca="1">'Monthly Returns'!$G$23+'Rolling 12M'!D57</f>
        <v>0.39266424668974975</v>
      </c>
      <c r="N57" s="98">
        <f ca="1">'Monthly Returns'!$G$23-'Rolling 12M'!D57</f>
        <v>0.23251401040575867</v>
      </c>
      <c r="O57" s="98">
        <f ca="1">'Monthly Returns'!$G$23+2*'Rolling 12M'!D57</f>
        <v>0.47273936483174533</v>
      </c>
      <c r="P57" s="98">
        <f ca="1">'Monthly Returns'!$G$23-2*'Rolling 12M'!D57</f>
        <v>0.15243889226376311</v>
      </c>
    </row>
    <row r="58" spans="2:16" x14ac:dyDescent="0.25">
      <c r="B58" s="59">
        <f ca="1">IF(B57&lt;Stats!$E$1, OFFSET(Stats!B59,12,0),"")</f>
        <v>41791</v>
      </c>
      <c r="C58" s="52">
        <f t="array" ref="C58">PRODUCT(1+Stats!C60:C71)-1</f>
        <v>0.15685002891162303</v>
      </c>
      <c r="D58" s="52">
        <f>STDEV(Stats!C60:C71)*SQRT(12)</f>
        <v>7.8120809705806996E-2</v>
      </c>
      <c r="E58" s="56">
        <f t="shared" si="0"/>
        <v>2.0077880593186404</v>
      </c>
      <c r="F58" s="52">
        <f t="array" ref="F58">PRODUCT(1+Stats!F60:F71)-1</f>
        <v>9.2830501450476222E-2</v>
      </c>
      <c r="G58" s="52">
        <f>STDEV(Stats!F60:F71)*SQRT(12)</f>
        <v>4.8262409605118961E-2</v>
      </c>
      <c r="H58" s="56">
        <f t="shared" si="1"/>
        <v>1.9234535161010722</v>
      </c>
      <c r="I58" s="53">
        <f t="shared" si="2"/>
        <v>6.4019527461146808E-2</v>
      </c>
      <c r="J58" s="53">
        <f t="shared" si="3"/>
        <v>2.9858400100688035E-2</v>
      </c>
      <c r="K58" s="104">
        <f>LINEST(Stats!C60:C71,Stats!F60:F71)</f>
        <v>0.19496112474818744</v>
      </c>
      <c r="L58" s="85">
        <f>CORREL(Stats!C60:C71,Stats!F60:F71)</f>
        <v>0.12044541902606898</v>
      </c>
      <c r="M58" s="98">
        <f ca="1">'Monthly Returns'!$G$23+'Rolling 12M'!D58</f>
        <v>0.39070993825356121</v>
      </c>
      <c r="N58" s="98">
        <f ca="1">'Monthly Returns'!$G$23-'Rolling 12M'!D58</f>
        <v>0.23446831884194724</v>
      </c>
      <c r="O58" s="98">
        <f ca="1">'Monthly Returns'!$G$23+2*'Rolling 12M'!D58</f>
        <v>0.46883074795936819</v>
      </c>
      <c r="P58" s="98">
        <f ca="1">'Monthly Returns'!$G$23-2*'Rolling 12M'!D58</f>
        <v>0.15634750913614023</v>
      </c>
    </row>
    <row r="59" spans="2:16" x14ac:dyDescent="0.25">
      <c r="B59" s="59">
        <f ca="1">IF(B58&lt;Stats!$E$1, OFFSET(Stats!B60,12,0),"")</f>
        <v>41821</v>
      </c>
      <c r="C59" s="52">
        <f t="array" ref="C59">PRODUCT(1+Stats!C61:C72)-1</f>
        <v>0.16919991947268653</v>
      </c>
      <c r="D59" s="52">
        <f>STDEV(Stats!C61:C72)*SQRT(12)</f>
        <v>7.7334268541889573E-2</v>
      </c>
      <c r="E59" s="56">
        <f t="shared" si="0"/>
        <v>2.1879035343954434</v>
      </c>
      <c r="F59" s="52">
        <f t="array" ref="F59">PRODUCT(1+Stats!F61:F72)-1</f>
        <v>9.1138497652581307E-2</v>
      </c>
      <c r="G59" s="52">
        <f>STDEV(Stats!F61:F72)*SQRT(12)</f>
        <v>4.8241519052254545E-2</v>
      </c>
      <c r="H59" s="56">
        <f t="shared" si="1"/>
        <v>1.8892128490784328</v>
      </c>
      <c r="I59" s="53">
        <f t="shared" si="2"/>
        <v>7.8061421820105226E-2</v>
      </c>
      <c r="J59" s="53">
        <f t="shared" si="3"/>
        <v>2.9092749489635028E-2</v>
      </c>
      <c r="K59" s="104">
        <f>LINEST(Stats!C61:C72,Stats!F61:F72)</f>
        <v>0.20193191211150746</v>
      </c>
      <c r="L59" s="85">
        <f>CORREL(Stats!C61:C72,Stats!F61:F72)</f>
        <v>0.12596617733713758</v>
      </c>
      <c r="M59" s="98">
        <f ca="1">'Monthly Returns'!$G$23+'Rolling 12M'!D59</f>
        <v>0.3899233970896438</v>
      </c>
      <c r="N59" s="98">
        <f ca="1">'Monthly Returns'!$G$23-'Rolling 12M'!D59</f>
        <v>0.23525486000586465</v>
      </c>
      <c r="O59" s="98">
        <f ca="1">'Monthly Returns'!$G$23+2*'Rolling 12M'!D59</f>
        <v>0.46725766563153337</v>
      </c>
      <c r="P59" s="98">
        <f ca="1">'Monthly Returns'!$G$23-2*'Rolling 12M'!D59</f>
        <v>0.15792059146397508</v>
      </c>
    </row>
    <row r="60" spans="2:16" x14ac:dyDescent="0.25">
      <c r="B60" s="59"/>
      <c r="C60" s="52"/>
      <c r="D60" s="52"/>
      <c r="E60" s="56"/>
      <c r="F60" s="52"/>
      <c r="G60" s="52"/>
      <c r="H60" s="56"/>
      <c r="I60" s="53"/>
      <c r="J60" s="53"/>
      <c r="K60" s="104"/>
      <c r="L60" s="85"/>
      <c r="M60" s="98"/>
      <c r="N60" s="98"/>
      <c r="O60" s="98"/>
      <c r="P60" s="98"/>
    </row>
    <row r="61" spans="2:16" x14ac:dyDescent="0.25">
      <c r="B61" s="59"/>
      <c r="C61" s="52"/>
      <c r="D61" s="52"/>
      <c r="E61" s="56"/>
      <c r="F61" s="52"/>
      <c r="G61" s="52"/>
      <c r="H61" s="56"/>
      <c r="I61" s="53"/>
      <c r="J61" s="53"/>
      <c r="K61" s="104"/>
      <c r="L61" s="85"/>
      <c r="M61" s="98"/>
      <c r="N61" s="98"/>
      <c r="O61" s="98"/>
      <c r="P61" s="98"/>
    </row>
    <row r="62" spans="2:16" x14ac:dyDescent="0.25">
      <c r="B62" s="59"/>
      <c r="C62" s="52"/>
      <c r="D62" s="52"/>
      <c r="E62" s="56"/>
      <c r="F62" s="52"/>
      <c r="G62" s="52"/>
      <c r="H62" s="56"/>
      <c r="I62" s="53"/>
      <c r="J62" s="53"/>
      <c r="K62" s="104"/>
      <c r="L62" s="85"/>
      <c r="M62" s="98"/>
      <c r="N62" s="98"/>
      <c r="O62" s="98"/>
      <c r="P62" s="98"/>
    </row>
    <row r="63" spans="2:16" x14ac:dyDescent="0.25">
      <c r="B63" s="59"/>
      <c r="C63" s="52"/>
      <c r="D63" s="52"/>
      <c r="E63" s="56"/>
      <c r="F63" s="52"/>
      <c r="G63" s="52"/>
      <c r="H63" s="56"/>
      <c r="I63" s="53"/>
      <c r="J63" s="53"/>
      <c r="K63" s="104"/>
      <c r="L63" s="85"/>
      <c r="M63" s="98"/>
      <c r="N63" s="98"/>
      <c r="O63" s="98"/>
      <c r="P63" s="98"/>
    </row>
    <row r="64" spans="2:16" x14ac:dyDescent="0.25">
      <c r="B64" s="59"/>
      <c r="C64" s="52"/>
      <c r="D64" s="52"/>
      <c r="E64" s="56"/>
      <c r="F64" s="52"/>
      <c r="G64" s="52"/>
      <c r="H64" s="56"/>
      <c r="I64" s="53"/>
      <c r="J64" s="53"/>
      <c r="K64" s="104"/>
      <c r="L64" s="85"/>
      <c r="M64" s="98"/>
      <c r="N64" s="98"/>
      <c r="O64" s="98"/>
      <c r="P64" s="98"/>
    </row>
    <row r="65" spans="2:16" x14ac:dyDescent="0.25">
      <c r="B65" s="59"/>
      <c r="C65" s="52"/>
      <c r="D65" s="52"/>
      <c r="E65" s="56"/>
      <c r="F65" s="52"/>
      <c r="G65" s="52"/>
      <c r="H65" s="56"/>
      <c r="I65" s="53"/>
      <c r="J65" s="53"/>
      <c r="K65" s="104"/>
      <c r="L65" s="85"/>
      <c r="M65" s="98"/>
      <c r="N65" s="98"/>
      <c r="O65" s="98"/>
      <c r="P65" s="98"/>
    </row>
    <row r="66" spans="2:16" x14ac:dyDescent="0.25">
      <c r="B66" s="59"/>
      <c r="C66" s="52"/>
      <c r="D66" s="52"/>
      <c r="E66" s="56"/>
      <c r="F66" s="52"/>
      <c r="G66" s="52"/>
      <c r="H66" s="56"/>
      <c r="I66" s="53"/>
      <c r="J66" s="53"/>
      <c r="K66" s="104"/>
      <c r="L66" s="85"/>
      <c r="M66" s="98"/>
      <c r="N66" s="98"/>
      <c r="O66" s="98"/>
      <c r="P66" s="98"/>
    </row>
    <row r="67" spans="2:16" x14ac:dyDescent="0.25">
      <c r="B67" s="59"/>
      <c r="C67" s="52"/>
      <c r="D67" s="52"/>
      <c r="E67" s="56"/>
      <c r="F67" s="52"/>
      <c r="G67" s="52"/>
      <c r="H67" s="56"/>
      <c r="I67" s="53"/>
      <c r="J67" s="53"/>
      <c r="K67" s="104"/>
      <c r="L67" s="85"/>
      <c r="M67" s="98"/>
      <c r="N67" s="98"/>
      <c r="O67" s="98"/>
      <c r="P67" s="98"/>
    </row>
    <row r="68" spans="2:16" x14ac:dyDescent="0.25">
      <c r="B68" s="59"/>
      <c r="C68" s="52"/>
      <c r="D68" s="52"/>
      <c r="E68" s="56"/>
      <c r="F68" s="52"/>
      <c r="G68" s="52"/>
      <c r="H68" s="56"/>
      <c r="I68" s="53"/>
      <c r="J68" s="53"/>
      <c r="K68" s="104"/>
      <c r="L68" s="85"/>
      <c r="M68" s="98"/>
      <c r="N68" s="98"/>
      <c r="O68" s="98"/>
      <c r="P68" s="98"/>
    </row>
    <row r="69" spans="2:16" x14ac:dyDescent="0.25">
      <c r="B69" s="59"/>
      <c r="C69" s="52"/>
      <c r="D69" s="52"/>
      <c r="E69" s="56"/>
      <c r="F69" s="52"/>
      <c r="G69" s="52"/>
      <c r="H69" s="56"/>
      <c r="I69" s="53"/>
      <c r="J69" s="53"/>
      <c r="K69" s="104"/>
      <c r="L69" s="85"/>
      <c r="M69" s="98"/>
      <c r="N69" s="98"/>
      <c r="O69" s="98"/>
      <c r="P69" s="98"/>
    </row>
    <row r="70" spans="2:16" x14ac:dyDescent="0.25">
      <c r="B70" s="59"/>
      <c r="C70" s="52"/>
      <c r="D70" s="52"/>
      <c r="E70" s="56"/>
      <c r="F70" s="52"/>
      <c r="G70" s="52"/>
      <c r="H70" s="56"/>
      <c r="I70" s="53"/>
      <c r="J70" s="53"/>
      <c r="K70" s="104"/>
      <c r="L70" s="85"/>
      <c r="M70" s="98"/>
      <c r="N70" s="98"/>
      <c r="O70" s="98"/>
      <c r="P70" s="98"/>
    </row>
    <row r="71" spans="2:16" x14ac:dyDescent="0.25">
      <c r="B71" s="59"/>
      <c r="C71" s="52"/>
      <c r="D71" s="52"/>
      <c r="E71" s="56"/>
      <c r="F71" s="52"/>
      <c r="G71" s="52"/>
      <c r="H71" s="56"/>
      <c r="I71" s="53"/>
      <c r="J71" s="53"/>
      <c r="K71" s="104"/>
      <c r="L71" s="85"/>
      <c r="M71" s="98"/>
      <c r="N71" s="98"/>
      <c r="O71" s="98"/>
      <c r="P71" s="98"/>
    </row>
    <row r="72" spans="2:16" x14ac:dyDescent="0.25">
      <c r="B72" s="59"/>
      <c r="C72" s="52"/>
      <c r="D72" s="52"/>
      <c r="E72" s="56"/>
      <c r="F72" s="52"/>
      <c r="G72" s="52"/>
      <c r="H72" s="56"/>
      <c r="I72" s="53"/>
      <c r="J72" s="53"/>
      <c r="K72" s="104"/>
      <c r="L72" s="85"/>
      <c r="M72" s="98"/>
      <c r="N72" s="98"/>
      <c r="O72" s="98"/>
      <c r="P72" s="98"/>
    </row>
    <row r="73" spans="2:16" x14ac:dyDescent="0.25">
      <c r="B73" s="59"/>
      <c r="C73" s="52"/>
      <c r="D73" s="52"/>
      <c r="E73" s="56"/>
      <c r="F73" s="52"/>
      <c r="G73" s="52"/>
      <c r="H73" s="56"/>
      <c r="I73" s="53"/>
      <c r="J73" s="53"/>
      <c r="K73" s="104"/>
      <c r="L73" s="85"/>
      <c r="M73" s="98"/>
      <c r="N73" s="98"/>
      <c r="O73" s="98"/>
      <c r="P73" s="98"/>
    </row>
    <row r="74" spans="2:16" x14ac:dyDescent="0.25">
      <c r="B74" s="59"/>
      <c r="C74" s="52"/>
      <c r="D74" s="52"/>
      <c r="E74" s="56"/>
      <c r="F74" s="52"/>
      <c r="G74" s="52"/>
      <c r="H74" s="56"/>
      <c r="I74" s="53"/>
      <c r="J74" s="53"/>
      <c r="K74" s="104"/>
      <c r="L74" s="85"/>
      <c r="M74" s="98"/>
      <c r="N74" s="98"/>
      <c r="O74" s="98"/>
      <c r="P74" s="98"/>
    </row>
    <row r="75" spans="2:16" x14ac:dyDescent="0.25">
      <c r="B75" s="59"/>
      <c r="C75" s="52"/>
      <c r="D75" s="52"/>
      <c r="E75" s="56"/>
      <c r="F75" s="52"/>
      <c r="G75" s="52"/>
      <c r="H75" s="56"/>
      <c r="I75" s="53"/>
      <c r="J75" s="53"/>
      <c r="K75" s="104"/>
      <c r="L75" s="85"/>
      <c r="M75" s="98"/>
      <c r="N75" s="98"/>
      <c r="O75" s="98"/>
      <c r="P75" s="98"/>
    </row>
    <row r="76" spans="2:16" x14ac:dyDescent="0.25">
      <c r="B76" s="59"/>
      <c r="C76" s="52"/>
      <c r="D76" s="52"/>
      <c r="E76" s="56"/>
      <c r="F76" s="52"/>
      <c r="G76" s="52"/>
      <c r="H76" s="56"/>
      <c r="I76" s="53"/>
      <c r="J76" s="53"/>
      <c r="K76" s="104"/>
      <c r="L76" s="85"/>
      <c r="M76" s="98"/>
      <c r="N76" s="98"/>
      <c r="O76" s="98"/>
      <c r="P76" s="98"/>
    </row>
    <row r="77" spans="2:16" x14ac:dyDescent="0.25">
      <c r="B77" s="59"/>
      <c r="C77" s="52"/>
      <c r="D77" s="52"/>
      <c r="E77" s="56"/>
      <c r="F77" s="52"/>
      <c r="G77" s="52"/>
      <c r="H77" s="56"/>
      <c r="I77" s="53"/>
      <c r="J77" s="53"/>
      <c r="K77" s="104"/>
      <c r="L77" s="85"/>
      <c r="M77" s="98"/>
      <c r="N77" s="98"/>
      <c r="O77" s="98"/>
      <c r="P77" s="98"/>
    </row>
    <row r="78" spans="2:16" x14ac:dyDescent="0.25">
      <c r="B78" s="59"/>
      <c r="C78" s="52"/>
      <c r="D78" s="52"/>
      <c r="E78" s="56"/>
      <c r="F78" s="52"/>
      <c r="G78" s="52"/>
      <c r="H78" s="56"/>
      <c r="I78" s="53"/>
      <c r="J78" s="53"/>
      <c r="K78" s="104"/>
      <c r="L78" s="85"/>
      <c r="M78" s="98"/>
      <c r="N78" s="98"/>
      <c r="O78" s="98"/>
      <c r="P78" s="98"/>
    </row>
    <row r="79" spans="2:16" x14ac:dyDescent="0.25">
      <c r="B79" s="59"/>
      <c r="C79" s="52"/>
      <c r="D79" s="52"/>
      <c r="E79" s="56"/>
      <c r="F79" s="52"/>
      <c r="G79" s="52"/>
      <c r="H79" s="56"/>
      <c r="I79" s="53"/>
      <c r="J79" s="53"/>
      <c r="K79" s="104"/>
      <c r="L79" s="85"/>
      <c r="M79" s="98"/>
      <c r="N79" s="98"/>
      <c r="O79" s="98"/>
      <c r="P79" s="98"/>
    </row>
    <row r="80" spans="2:16" x14ac:dyDescent="0.25">
      <c r="B80" s="59"/>
      <c r="C80" s="52"/>
      <c r="D80" s="52"/>
      <c r="E80" s="56"/>
      <c r="F80" s="52"/>
      <c r="G80" s="52"/>
      <c r="H80" s="56"/>
      <c r="I80" s="53"/>
      <c r="J80" s="53"/>
      <c r="K80" s="104"/>
      <c r="L80" s="85"/>
      <c r="M80" s="98"/>
      <c r="N80" s="98"/>
      <c r="O80" s="98"/>
      <c r="P80" s="98"/>
    </row>
    <row r="81" spans="2:16" x14ac:dyDescent="0.25">
      <c r="B81" s="59"/>
      <c r="C81" s="52"/>
      <c r="D81" s="52"/>
      <c r="E81" s="56"/>
      <c r="F81" s="52"/>
      <c r="G81" s="52"/>
      <c r="H81" s="56"/>
      <c r="I81" s="53"/>
      <c r="J81" s="53"/>
      <c r="K81" s="104"/>
      <c r="L81" s="85"/>
      <c r="M81" s="98"/>
      <c r="N81" s="98"/>
      <c r="O81" s="98"/>
      <c r="P81" s="98"/>
    </row>
    <row r="82" spans="2:16" x14ac:dyDescent="0.25">
      <c r="B82" s="59"/>
      <c r="C82" s="52"/>
      <c r="D82" s="52"/>
      <c r="E82" s="56"/>
      <c r="F82" s="52"/>
      <c r="G82" s="52"/>
      <c r="H82" s="56"/>
      <c r="I82" s="53"/>
      <c r="J82" s="53"/>
      <c r="K82" s="104"/>
      <c r="L82" s="85"/>
      <c r="M82" s="98"/>
      <c r="N82" s="98"/>
      <c r="O82" s="98"/>
      <c r="P82" s="98"/>
    </row>
    <row r="83" spans="2:16" x14ac:dyDescent="0.25">
      <c r="B83" s="59"/>
      <c r="C83" s="52"/>
      <c r="D83" s="52"/>
      <c r="E83" s="56"/>
      <c r="F83" s="52"/>
      <c r="G83" s="52"/>
      <c r="H83" s="56"/>
      <c r="I83" s="53"/>
      <c r="J83" s="53"/>
      <c r="K83" s="104"/>
      <c r="L83" s="85"/>
      <c r="M83" s="98"/>
      <c r="N83" s="98"/>
      <c r="O83" s="98"/>
      <c r="P83" s="98"/>
    </row>
    <row r="84" spans="2:16" x14ac:dyDescent="0.25">
      <c r="B84" s="59"/>
      <c r="C84" s="52"/>
      <c r="D84" s="52"/>
      <c r="E84" s="56"/>
      <c r="F84" s="52"/>
      <c r="G84" s="52"/>
      <c r="H84" s="56"/>
      <c r="I84" s="53"/>
      <c r="J84" s="53"/>
      <c r="K84" s="104"/>
      <c r="L84" s="85"/>
      <c r="M84" s="98"/>
      <c r="N84" s="98"/>
      <c r="O84" s="98"/>
      <c r="P84" s="98"/>
    </row>
    <row r="85" spans="2:16" x14ac:dyDescent="0.25">
      <c r="B85" s="59"/>
      <c r="C85" s="52"/>
      <c r="D85" s="52"/>
      <c r="E85" s="56"/>
      <c r="F85" s="52"/>
      <c r="G85" s="52"/>
      <c r="H85" s="56"/>
      <c r="I85" s="53"/>
      <c r="J85" s="53"/>
      <c r="K85" s="104"/>
      <c r="L85" s="85"/>
      <c r="M85" s="98"/>
      <c r="N85" s="98"/>
      <c r="O85" s="98"/>
      <c r="P85" s="98"/>
    </row>
    <row r="86" spans="2:16" x14ac:dyDescent="0.25">
      <c r="B86" s="59"/>
      <c r="C86" s="52"/>
      <c r="D86" s="52"/>
      <c r="E86" s="56"/>
      <c r="F86" s="52"/>
      <c r="G86" s="52"/>
      <c r="H86" s="56"/>
      <c r="I86" s="53"/>
      <c r="J86" s="53"/>
      <c r="K86" s="104"/>
      <c r="L86" s="85"/>
      <c r="M86" s="98"/>
      <c r="N86" s="98"/>
      <c r="O86" s="98"/>
      <c r="P86" s="98"/>
    </row>
    <row r="87" spans="2:16" x14ac:dyDescent="0.25">
      <c r="B87" s="59"/>
      <c r="C87" s="52"/>
      <c r="D87" s="52"/>
      <c r="E87" s="56"/>
      <c r="F87" s="52"/>
      <c r="G87" s="52"/>
      <c r="H87" s="56"/>
      <c r="I87" s="53"/>
      <c r="J87" s="53"/>
      <c r="K87" s="104"/>
      <c r="L87" s="85"/>
      <c r="M87" s="98"/>
      <c r="N87" s="98"/>
      <c r="O87" s="98"/>
      <c r="P87" s="98"/>
    </row>
    <row r="88" spans="2:16" x14ac:dyDescent="0.25">
      <c r="B88" s="59"/>
      <c r="C88" s="52"/>
      <c r="D88" s="52"/>
      <c r="E88" s="56"/>
      <c r="F88" s="52"/>
      <c r="G88" s="52"/>
      <c r="H88" s="56"/>
      <c r="I88" s="53"/>
      <c r="J88" s="53"/>
      <c r="K88" s="104"/>
      <c r="L88" s="85"/>
      <c r="M88" s="98"/>
      <c r="N88" s="98"/>
      <c r="O88" s="98"/>
      <c r="P88" s="98"/>
    </row>
    <row r="89" spans="2:16" x14ac:dyDescent="0.25">
      <c r="B89" s="59"/>
      <c r="C89" s="52"/>
      <c r="D89" s="52"/>
      <c r="E89" s="56"/>
      <c r="F89" s="52"/>
      <c r="G89" s="52"/>
      <c r="H89" s="56"/>
      <c r="I89" s="53"/>
      <c r="J89" s="53"/>
      <c r="K89" s="104"/>
      <c r="L89" s="85"/>
      <c r="M89" s="98"/>
      <c r="N89" s="98"/>
      <c r="O89" s="98"/>
      <c r="P89" s="98"/>
    </row>
    <row r="90" spans="2:16" x14ac:dyDescent="0.25">
      <c r="B90" s="59"/>
      <c r="C90" s="52"/>
      <c r="D90" s="52"/>
      <c r="E90" s="56"/>
      <c r="F90" s="52"/>
      <c r="G90" s="52"/>
      <c r="H90" s="56"/>
      <c r="I90" s="53"/>
      <c r="J90" s="53"/>
      <c r="K90" s="104"/>
      <c r="L90" s="85"/>
      <c r="M90" s="98"/>
      <c r="N90" s="98"/>
      <c r="O90" s="98"/>
      <c r="P90" s="98"/>
    </row>
    <row r="91" spans="2:16" x14ac:dyDescent="0.25">
      <c r="B91" s="59"/>
      <c r="C91" s="52"/>
      <c r="D91" s="52"/>
      <c r="E91" s="56"/>
      <c r="F91" s="52"/>
      <c r="G91" s="52"/>
      <c r="H91" s="56"/>
      <c r="I91" s="53"/>
      <c r="J91" s="53"/>
      <c r="K91" s="104"/>
      <c r="L91" s="85"/>
      <c r="M91" s="98"/>
      <c r="N91" s="98"/>
      <c r="O91" s="98"/>
      <c r="P91" s="98"/>
    </row>
    <row r="92" spans="2:16" x14ac:dyDescent="0.25">
      <c r="B92" s="59"/>
      <c r="C92" s="52"/>
      <c r="D92" s="52"/>
      <c r="E92" s="56"/>
      <c r="F92" s="52"/>
      <c r="G92" s="52"/>
      <c r="H92" s="56"/>
      <c r="I92" s="53"/>
      <c r="J92" s="53"/>
      <c r="K92" s="104"/>
      <c r="L92" s="85"/>
      <c r="M92" s="98"/>
      <c r="N92" s="98"/>
      <c r="O92" s="98"/>
      <c r="P92" s="98"/>
    </row>
    <row r="93" spans="2:16" x14ac:dyDescent="0.25">
      <c r="B93" s="59"/>
      <c r="C93" s="52"/>
      <c r="D93" s="52"/>
      <c r="E93" s="56"/>
      <c r="F93" s="52"/>
      <c r="G93" s="52"/>
      <c r="H93" s="56"/>
      <c r="I93" s="53"/>
      <c r="J93" s="53"/>
      <c r="K93" s="104"/>
      <c r="L93" s="85"/>
      <c r="M93" s="98"/>
      <c r="N93" s="98"/>
      <c r="O93" s="98"/>
      <c r="P93" s="98"/>
    </row>
    <row r="94" spans="2:16" x14ac:dyDescent="0.25">
      <c r="B94" s="59"/>
      <c r="C94" s="52"/>
      <c r="D94" s="52"/>
      <c r="E94" s="56"/>
      <c r="F94" s="52"/>
      <c r="G94" s="52"/>
      <c r="H94" s="56"/>
      <c r="I94" s="53"/>
      <c r="J94" s="53"/>
      <c r="K94" s="104"/>
      <c r="L94" s="85"/>
      <c r="M94" s="98"/>
      <c r="N94" s="98"/>
      <c r="O94" s="98"/>
      <c r="P94" s="98"/>
    </row>
    <row r="95" spans="2:16" x14ac:dyDescent="0.25">
      <c r="B95" s="59"/>
      <c r="C95" s="52"/>
      <c r="D95" s="52"/>
      <c r="E95" s="56"/>
      <c r="F95" s="52"/>
      <c r="G95" s="52"/>
      <c r="H95" s="56"/>
      <c r="I95" s="53"/>
      <c r="J95" s="53"/>
      <c r="K95" s="104"/>
      <c r="L95" s="85"/>
      <c r="M95" s="98"/>
      <c r="N95" s="98"/>
      <c r="O95" s="98"/>
      <c r="P95" s="98"/>
    </row>
    <row r="96" spans="2:16" x14ac:dyDescent="0.25">
      <c r="B96" s="59"/>
      <c r="C96" s="52"/>
      <c r="D96" s="52"/>
      <c r="E96" s="56"/>
      <c r="F96" s="52"/>
      <c r="G96" s="52"/>
      <c r="H96" s="56"/>
      <c r="I96" s="53"/>
      <c r="J96" s="53"/>
      <c r="K96" s="104"/>
      <c r="L96" s="85"/>
      <c r="M96" s="98"/>
      <c r="N96" s="98"/>
      <c r="O96" s="98"/>
      <c r="P96" s="98"/>
    </row>
    <row r="97" spans="2:16" x14ac:dyDescent="0.25">
      <c r="B97" s="59"/>
      <c r="C97" s="52"/>
      <c r="D97" s="52"/>
      <c r="E97" s="56"/>
      <c r="F97" s="52"/>
      <c r="G97" s="52"/>
      <c r="H97" s="56"/>
      <c r="I97" s="53"/>
      <c r="J97" s="53"/>
      <c r="K97" s="104"/>
      <c r="L97" s="85"/>
      <c r="M97" s="98"/>
      <c r="N97" s="98"/>
      <c r="O97" s="98"/>
      <c r="P97" s="98"/>
    </row>
    <row r="98" spans="2:16" x14ac:dyDescent="0.25">
      <c r="B98" s="59"/>
      <c r="C98" s="52"/>
      <c r="D98" s="52"/>
      <c r="E98" s="56"/>
      <c r="F98" s="52"/>
      <c r="G98" s="52"/>
      <c r="H98" s="56"/>
      <c r="I98" s="53"/>
      <c r="J98" s="53"/>
      <c r="K98" s="104"/>
      <c r="L98" s="85"/>
      <c r="M98" s="98"/>
      <c r="N98" s="98"/>
      <c r="O98" s="98"/>
      <c r="P98" s="98"/>
    </row>
    <row r="99" spans="2:16" x14ac:dyDescent="0.25">
      <c r="B99" s="59"/>
      <c r="C99" s="52"/>
      <c r="D99" s="52"/>
      <c r="E99" s="56"/>
      <c r="F99" s="52"/>
      <c r="G99" s="52"/>
      <c r="H99" s="56"/>
      <c r="I99" s="53"/>
      <c r="J99" s="53"/>
      <c r="K99" s="104"/>
      <c r="L99" s="85"/>
      <c r="M99" s="98"/>
      <c r="N99" s="98"/>
      <c r="O99" s="98"/>
      <c r="P99" s="98"/>
    </row>
    <row r="100" spans="2:16" x14ac:dyDescent="0.25">
      <c r="B100" s="59"/>
      <c r="C100" s="52"/>
      <c r="D100" s="52"/>
      <c r="E100" s="56"/>
      <c r="F100" s="52"/>
      <c r="G100" s="52"/>
      <c r="H100" s="56"/>
      <c r="I100" s="53"/>
      <c r="J100" s="53"/>
      <c r="K100" s="104"/>
      <c r="L100" s="85"/>
      <c r="M100" s="98"/>
      <c r="N100" s="98"/>
      <c r="O100" s="98"/>
      <c r="P100" s="98"/>
    </row>
    <row r="101" spans="2:16" x14ac:dyDescent="0.25">
      <c r="B101" s="59"/>
      <c r="C101" s="52"/>
      <c r="D101" s="52"/>
      <c r="E101" s="56"/>
      <c r="F101" s="52"/>
      <c r="G101" s="52"/>
      <c r="H101" s="56"/>
      <c r="I101" s="53"/>
      <c r="J101" s="53"/>
      <c r="K101" s="104"/>
      <c r="L101" s="85"/>
      <c r="M101" s="98"/>
      <c r="N101" s="98"/>
      <c r="O101" s="98"/>
      <c r="P101" s="98"/>
    </row>
    <row r="102" spans="2:16" x14ac:dyDescent="0.25">
      <c r="B102" s="59"/>
      <c r="C102" s="52"/>
      <c r="D102" s="52"/>
      <c r="E102" s="56"/>
      <c r="F102" s="52"/>
      <c r="G102" s="52"/>
      <c r="H102" s="56"/>
      <c r="I102" s="53"/>
      <c r="J102" s="53"/>
      <c r="K102" s="104"/>
      <c r="L102" s="85"/>
      <c r="M102" s="98"/>
      <c r="N102" s="98"/>
      <c r="O102" s="98"/>
      <c r="P102" s="98"/>
    </row>
    <row r="103" spans="2:16" x14ac:dyDescent="0.25">
      <c r="B103" s="59"/>
      <c r="C103" s="52"/>
      <c r="D103" s="52"/>
      <c r="E103" s="56"/>
      <c r="F103" s="52"/>
      <c r="G103" s="52"/>
      <c r="H103" s="56"/>
      <c r="I103" s="53"/>
      <c r="J103" s="53"/>
      <c r="K103" s="104"/>
      <c r="L103" s="85"/>
      <c r="M103" s="98"/>
      <c r="N103" s="98"/>
      <c r="O103" s="98"/>
      <c r="P103" s="98"/>
    </row>
    <row r="104" spans="2:16" x14ac:dyDescent="0.25">
      <c r="B104" s="59"/>
      <c r="C104" s="52"/>
      <c r="D104" s="52"/>
      <c r="E104" s="56"/>
      <c r="F104" s="52"/>
      <c r="G104" s="52"/>
      <c r="H104" s="56"/>
      <c r="I104" s="53"/>
      <c r="J104" s="53"/>
      <c r="K104" s="104"/>
      <c r="L104" s="85"/>
      <c r="M104" s="98"/>
      <c r="N104" s="98"/>
      <c r="O104" s="98"/>
      <c r="P104" s="98"/>
    </row>
    <row r="105" spans="2:16" x14ac:dyDescent="0.25">
      <c r="B105" s="59"/>
      <c r="C105" s="52"/>
      <c r="D105" s="52"/>
      <c r="E105" s="56"/>
      <c r="F105" s="52"/>
      <c r="G105" s="52"/>
      <c r="H105" s="56"/>
      <c r="I105" s="53"/>
      <c r="J105" s="53"/>
      <c r="K105" s="104"/>
      <c r="L105" s="85"/>
      <c r="M105" s="98"/>
      <c r="N105" s="98"/>
      <c r="O105" s="98"/>
      <c r="P105" s="98"/>
    </row>
    <row r="106" spans="2:16" x14ac:dyDescent="0.25">
      <c r="B106" s="59"/>
      <c r="C106" s="52"/>
      <c r="D106" s="52"/>
      <c r="E106" s="56"/>
      <c r="F106" s="52"/>
      <c r="G106" s="52"/>
      <c r="H106" s="56"/>
      <c r="I106" s="53"/>
      <c r="J106" s="53"/>
      <c r="K106" s="104"/>
      <c r="L106" s="85"/>
      <c r="M106" s="98"/>
      <c r="N106" s="98"/>
      <c r="O106" s="98"/>
      <c r="P106" s="98"/>
    </row>
    <row r="107" spans="2:16" x14ac:dyDescent="0.25">
      <c r="B107" s="59"/>
      <c r="C107" s="52"/>
      <c r="D107" s="52"/>
      <c r="E107" s="56"/>
      <c r="F107" s="52"/>
      <c r="G107" s="52"/>
      <c r="H107" s="56"/>
      <c r="I107" s="53"/>
      <c r="J107" s="53"/>
      <c r="K107" s="104"/>
      <c r="L107" s="85"/>
      <c r="M107" s="98"/>
      <c r="N107" s="98"/>
      <c r="O107" s="98"/>
      <c r="P107" s="98"/>
    </row>
    <row r="108" spans="2:16" x14ac:dyDescent="0.25">
      <c r="B108" s="59"/>
      <c r="C108" s="52"/>
      <c r="D108" s="52"/>
      <c r="E108" s="56"/>
      <c r="F108" s="52"/>
      <c r="G108" s="52"/>
      <c r="H108" s="56"/>
      <c r="I108" s="53"/>
      <c r="J108" s="53"/>
      <c r="K108" s="104"/>
      <c r="L108" s="85"/>
      <c r="M108" s="98"/>
      <c r="N108" s="98"/>
      <c r="O108" s="98"/>
      <c r="P108" s="98"/>
    </row>
    <row r="109" spans="2:16" x14ac:dyDescent="0.25">
      <c r="B109" s="59"/>
      <c r="C109" s="52"/>
      <c r="D109" s="52"/>
      <c r="E109" s="56"/>
      <c r="F109" s="52"/>
      <c r="G109" s="52"/>
      <c r="H109" s="56"/>
      <c r="I109" s="53"/>
      <c r="J109" s="53"/>
      <c r="K109" s="104"/>
      <c r="L109" s="85"/>
      <c r="M109" s="98"/>
      <c r="N109" s="98"/>
      <c r="O109" s="98"/>
      <c r="P109" s="98"/>
    </row>
    <row r="110" spans="2:16" x14ac:dyDescent="0.25">
      <c r="B110" s="59"/>
      <c r="C110" s="52"/>
      <c r="D110" s="52"/>
      <c r="E110" s="56"/>
      <c r="F110" s="52"/>
      <c r="G110" s="52"/>
      <c r="H110" s="56"/>
      <c r="I110" s="53"/>
      <c r="J110" s="53"/>
      <c r="K110" s="104"/>
      <c r="L110" s="85"/>
      <c r="M110" s="98"/>
      <c r="N110" s="98"/>
      <c r="O110" s="98"/>
      <c r="P110" s="98"/>
    </row>
    <row r="111" spans="2:16" x14ac:dyDescent="0.25">
      <c r="B111" s="59"/>
      <c r="C111" s="52"/>
      <c r="D111" s="52"/>
      <c r="E111" s="56"/>
      <c r="F111" s="52"/>
      <c r="G111" s="52"/>
      <c r="H111" s="56"/>
      <c r="I111" s="53"/>
      <c r="J111" s="53"/>
      <c r="K111" s="104"/>
      <c r="L111" s="85"/>
      <c r="M111" s="98"/>
      <c r="N111" s="98"/>
      <c r="O111" s="98"/>
      <c r="P111" s="98"/>
    </row>
    <row r="112" spans="2:16" x14ac:dyDescent="0.25">
      <c r="B112" s="59"/>
      <c r="C112" s="52"/>
      <c r="D112" s="52"/>
      <c r="E112" s="56"/>
      <c r="F112" s="52"/>
      <c r="G112" s="52"/>
      <c r="H112" s="56"/>
      <c r="I112" s="53"/>
      <c r="J112" s="53"/>
      <c r="K112" s="104"/>
      <c r="L112" s="85"/>
      <c r="M112" s="98"/>
      <c r="N112" s="98"/>
      <c r="O112" s="98"/>
      <c r="P112" s="98"/>
    </row>
    <row r="113" spans="2:16" x14ac:dyDescent="0.25">
      <c r="B113" s="59"/>
      <c r="C113" s="52"/>
      <c r="D113" s="52"/>
      <c r="E113" s="56"/>
      <c r="F113" s="52"/>
      <c r="G113" s="52"/>
      <c r="H113" s="56"/>
      <c r="I113" s="53"/>
      <c r="J113" s="53"/>
      <c r="K113" s="104"/>
      <c r="L113" s="85"/>
      <c r="M113" s="98"/>
      <c r="N113" s="98"/>
      <c r="O113" s="98"/>
      <c r="P113" s="98"/>
    </row>
    <row r="114" spans="2:16" x14ac:dyDescent="0.25">
      <c r="B114" s="59"/>
      <c r="C114" s="52"/>
      <c r="D114" s="52"/>
      <c r="E114" s="56"/>
      <c r="F114" s="52"/>
      <c r="G114" s="52"/>
      <c r="H114" s="56"/>
      <c r="I114" s="53"/>
      <c r="J114" s="53"/>
      <c r="K114" s="104"/>
      <c r="L114" s="85"/>
      <c r="M114" s="98"/>
      <c r="N114" s="98"/>
      <c r="O114" s="98"/>
      <c r="P114" s="98"/>
    </row>
    <row r="115" spans="2:16" x14ac:dyDescent="0.25">
      <c r="B115" s="59"/>
      <c r="C115" s="52"/>
      <c r="D115" s="52"/>
      <c r="E115" s="56"/>
      <c r="F115" s="52"/>
      <c r="G115" s="52"/>
      <c r="H115" s="56"/>
      <c r="I115" s="53"/>
      <c r="J115" s="53"/>
      <c r="K115" s="104"/>
      <c r="L115" s="85"/>
      <c r="M115" s="98"/>
      <c r="N115" s="98"/>
      <c r="O115" s="98"/>
      <c r="P115" s="98"/>
    </row>
    <row r="116" spans="2:16" x14ac:dyDescent="0.25">
      <c r="B116" s="59"/>
      <c r="C116" s="52"/>
      <c r="D116" s="52"/>
      <c r="E116" s="56"/>
      <c r="F116" s="52"/>
      <c r="G116" s="52"/>
      <c r="H116" s="56"/>
      <c r="I116" s="53"/>
      <c r="J116" s="53"/>
      <c r="K116" s="104"/>
      <c r="L116" s="85"/>
      <c r="M116" s="98"/>
      <c r="N116" s="98"/>
      <c r="O116" s="98"/>
      <c r="P116" s="98"/>
    </row>
    <row r="117" spans="2:16" x14ac:dyDescent="0.25">
      <c r="B117" s="59"/>
      <c r="C117" s="52"/>
      <c r="D117" s="52"/>
      <c r="E117" s="56"/>
      <c r="F117" s="52"/>
      <c r="G117" s="52"/>
      <c r="H117" s="56"/>
      <c r="I117" s="53"/>
      <c r="J117" s="53"/>
      <c r="K117" s="104"/>
      <c r="L117" s="85"/>
      <c r="M117" s="98"/>
      <c r="N117" s="98"/>
      <c r="O117" s="98"/>
      <c r="P117" s="98"/>
    </row>
    <row r="118" spans="2:16" x14ac:dyDescent="0.25">
      <c r="B118" s="59"/>
      <c r="C118" s="52"/>
      <c r="D118" s="52"/>
      <c r="E118" s="56"/>
      <c r="F118" s="52"/>
      <c r="G118" s="52"/>
      <c r="H118" s="56"/>
      <c r="I118" s="53"/>
      <c r="J118" s="53"/>
      <c r="K118" s="104"/>
      <c r="L118" s="85"/>
      <c r="M118" s="98"/>
      <c r="N118" s="98"/>
      <c r="O118" s="98"/>
      <c r="P118" s="98"/>
    </row>
    <row r="119" spans="2:16" x14ac:dyDescent="0.25">
      <c r="B119" s="59"/>
      <c r="C119" s="52"/>
      <c r="D119" s="52"/>
      <c r="E119" s="56"/>
      <c r="F119" s="52"/>
      <c r="G119" s="52"/>
      <c r="H119" s="56"/>
      <c r="I119" s="53"/>
      <c r="J119" s="53"/>
      <c r="K119" s="104"/>
      <c r="L119" s="85"/>
      <c r="M119" s="98"/>
      <c r="N119" s="98"/>
      <c r="O119" s="98"/>
      <c r="P119" s="98"/>
    </row>
    <row r="120" spans="2:16" x14ac:dyDescent="0.25">
      <c r="B120" s="59"/>
      <c r="C120" s="52"/>
      <c r="D120" s="52"/>
      <c r="E120" s="56"/>
      <c r="F120" s="52"/>
      <c r="G120" s="52"/>
      <c r="H120" s="56"/>
      <c r="I120" s="53"/>
      <c r="J120" s="53"/>
      <c r="K120" s="104"/>
      <c r="L120" s="85"/>
      <c r="M120" s="98"/>
      <c r="N120" s="98"/>
      <c r="O120" s="98"/>
      <c r="P120" s="98"/>
    </row>
    <row r="121" spans="2:16" x14ac:dyDescent="0.25">
      <c r="B121" s="59"/>
      <c r="C121" s="52"/>
      <c r="D121" s="52"/>
      <c r="E121" s="56"/>
      <c r="F121" s="52"/>
      <c r="G121" s="52"/>
      <c r="H121" s="56"/>
      <c r="I121" s="53"/>
      <c r="J121" s="53"/>
      <c r="K121" s="104"/>
      <c r="L121" s="85"/>
      <c r="M121" s="98"/>
      <c r="N121" s="98"/>
      <c r="O121" s="98"/>
      <c r="P121" s="98"/>
    </row>
    <row r="122" spans="2:16" x14ac:dyDescent="0.25">
      <c r="B122" s="59"/>
      <c r="C122" s="52"/>
      <c r="D122" s="52"/>
      <c r="E122" s="56"/>
      <c r="F122" s="52"/>
      <c r="G122" s="52"/>
      <c r="H122" s="56"/>
      <c r="I122" s="53"/>
      <c r="J122" s="53"/>
      <c r="K122" s="104"/>
      <c r="L122" s="85"/>
      <c r="M122" s="98"/>
      <c r="N122" s="98"/>
      <c r="O122" s="98"/>
      <c r="P122" s="98"/>
    </row>
    <row r="123" spans="2:16" x14ac:dyDescent="0.25">
      <c r="B123" s="59"/>
      <c r="C123" s="52"/>
      <c r="D123" s="52"/>
      <c r="E123" s="56"/>
      <c r="F123" s="52"/>
      <c r="G123" s="52"/>
      <c r="H123" s="56"/>
      <c r="I123" s="53"/>
      <c r="J123" s="53"/>
      <c r="K123" s="104"/>
      <c r="L123" s="85"/>
      <c r="M123" s="98"/>
      <c r="N123" s="98"/>
      <c r="O123" s="98"/>
      <c r="P123" s="98"/>
    </row>
    <row r="124" spans="2:16" x14ac:dyDescent="0.25">
      <c r="B124" s="59"/>
      <c r="C124" s="52"/>
      <c r="D124" s="52"/>
      <c r="E124" s="56"/>
      <c r="F124" s="52"/>
      <c r="G124" s="52"/>
      <c r="H124" s="56"/>
      <c r="I124" s="53"/>
      <c r="J124" s="53"/>
      <c r="K124" s="104"/>
      <c r="L124" s="85"/>
      <c r="M124" s="98"/>
      <c r="N124" s="98"/>
      <c r="O124" s="98"/>
      <c r="P124" s="98"/>
    </row>
    <row r="125" spans="2:16" x14ac:dyDescent="0.25">
      <c r="B125" s="59"/>
      <c r="C125" s="52"/>
      <c r="D125" s="52"/>
      <c r="E125" s="56"/>
      <c r="F125" s="52"/>
      <c r="G125" s="52"/>
      <c r="H125" s="56"/>
      <c r="I125" s="53"/>
      <c r="J125" s="53"/>
      <c r="K125" s="104"/>
      <c r="L125" s="85"/>
      <c r="M125" s="98"/>
      <c r="N125" s="98"/>
      <c r="O125" s="98"/>
      <c r="P125" s="98"/>
    </row>
    <row r="126" spans="2:16" x14ac:dyDescent="0.25">
      <c r="B126" s="59"/>
      <c r="C126" s="52"/>
      <c r="D126" s="52"/>
      <c r="E126" s="56"/>
      <c r="F126" s="52"/>
      <c r="G126" s="52"/>
      <c r="H126" s="56"/>
      <c r="I126" s="53"/>
      <c r="J126" s="53"/>
      <c r="K126" s="104"/>
      <c r="L126" s="85"/>
      <c r="M126" s="98"/>
      <c r="N126" s="98"/>
      <c r="O126" s="98"/>
      <c r="P126" s="98"/>
    </row>
    <row r="127" spans="2:16" x14ac:dyDescent="0.25">
      <c r="B127" s="59"/>
      <c r="C127" s="52"/>
      <c r="D127" s="52"/>
      <c r="E127" s="56"/>
      <c r="F127" s="52"/>
      <c r="G127" s="52"/>
      <c r="H127" s="56"/>
      <c r="I127" s="53"/>
      <c r="J127" s="53"/>
      <c r="K127" s="104"/>
      <c r="L127" s="85"/>
      <c r="M127" s="98"/>
      <c r="N127" s="98"/>
      <c r="O127" s="98"/>
      <c r="P127" s="98"/>
    </row>
    <row r="128" spans="2:16" x14ac:dyDescent="0.25">
      <c r="B128" s="59"/>
      <c r="C128" s="52"/>
      <c r="D128" s="52"/>
      <c r="E128" s="56"/>
      <c r="F128" s="52"/>
      <c r="G128" s="52"/>
      <c r="H128" s="56"/>
      <c r="I128" s="53"/>
      <c r="J128" s="53"/>
      <c r="K128" s="104"/>
      <c r="L128" s="85"/>
      <c r="M128" s="98"/>
      <c r="N128" s="98"/>
      <c r="O128" s="98"/>
      <c r="P128" s="98"/>
    </row>
    <row r="129" spans="2:16" x14ac:dyDescent="0.25">
      <c r="B129" s="59"/>
      <c r="C129" s="52"/>
      <c r="D129" s="52"/>
      <c r="E129" s="56"/>
      <c r="F129" s="52"/>
      <c r="G129" s="52"/>
      <c r="H129" s="56"/>
      <c r="I129" s="53"/>
      <c r="J129" s="53"/>
      <c r="K129" s="104"/>
      <c r="L129" s="85"/>
      <c r="M129" s="98"/>
      <c r="N129" s="98"/>
      <c r="O129" s="98"/>
      <c r="P129" s="98"/>
    </row>
    <row r="130" spans="2:16" x14ac:dyDescent="0.25">
      <c r="B130" s="59"/>
      <c r="C130" s="52"/>
      <c r="D130" s="52"/>
      <c r="E130" s="56"/>
      <c r="F130" s="52"/>
      <c r="G130" s="52"/>
      <c r="H130" s="56"/>
      <c r="I130" s="53"/>
      <c r="J130" s="53"/>
      <c r="K130" s="104"/>
      <c r="L130" s="85"/>
      <c r="M130" s="98"/>
      <c r="N130" s="98"/>
      <c r="O130" s="98"/>
      <c r="P130" s="98"/>
    </row>
    <row r="131" spans="2:16" x14ac:dyDescent="0.25">
      <c r="B131" s="59"/>
      <c r="C131" s="52"/>
      <c r="D131" s="52"/>
      <c r="E131" s="56"/>
      <c r="F131" s="52"/>
      <c r="G131" s="52"/>
      <c r="H131" s="56"/>
      <c r="I131" s="53"/>
      <c r="J131" s="53"/>
      <c r="K131" s="104"/>
      <c r="L131" s="85"/>
      <c r="M131" s="98"/>
      <c r="N131" s="98"/>
      <c r="O131" s="98"/>
      <c r="P131" s="98"/>
    </row>
    <row r="132" spans="2:16" x14ac:dyDescent="0.25">
      <c r="B132" s="59"/>
      <c r="C132" s="52"/>
      <c r="D132" s="52"/>
      <c r="E132" s="56"/>
      <c r="F132" s="52"/>
      <c r="G132" s="52"/>
      <c r="H132" s="56"/>
      <c r="I132" s="53"/>
      <c r="J132" s="53"/>
      <c r="K132" s="104"/>
      <c r="L132" s="85"/>
      <c r="M132" s="98"/>
      <c r="N132" s="98"/>
      <c r="O132" s="98"/>
      <c r="P132" s="98"/>
    </row>
    <row r="133" spans="2:16" x14ac:dyDescent="0.25">
      <c r="B133" s="59"/>
      <c r="C133" s="52"/>
      <c r="D133" s="52"/>
      <c r="E133" s="56"/>
      <c r="F133" s="52"/>
      <c r="G133" s="52"/>
      <c r="H133" s="56"/>
      <c r="I133" s="53"/>
      <c r="J133" s="53"/>
      <c r="K133" s="104"/>
      <c r="L133" s="85"/>
      <c r="M133" s="98"/>
      <c r="N133" s="98"/>
      <c r="O133" s="98"/>
      <c r="P133" s="98"/>
    </row>
    <row r="134" spans="2:16" x14ac:dyDescent="0.25">
      <c r="B134" s="59"/>
      <c r="C134" s="52"/>
      <c r="D134" s="52"/>
      <c r="E134" s="56"/>
      <c r="F134" s="52"/>
      <c r="G134" s="52"/>
      <c r="H134" s="56"/>
      <c r="I134" s="53"/>
      <c r="J134" s="53"/>
      <c r="K134" s="104"/>
      <c r="L134" s="85"/>
      <c r="M134" s="98"/>
      <c r="N134" s="98"/>
      <c r="O134" s="98"/>
      <c r="P134" s="98"/>
    </row>
    <row r="135" spans="2:16" x14ac:dyDescent="0.25">
      <c r="B135" s="59"/>
      <c r="C135" s="52"/>
      <c r="D135" s="52"/>
      <c r="E135" s="56"/>
      <c r="F135" s="52"/>
      <c r="G135" s="52"/>
      <c r="H135" s="56"/>
      <c r="I135" s="53"/>
      <c r="J135" s="53"/>
      <c r="K135" s="104"/>
      <c r="L135" s="85"/>
      <c r="M135" s="98"/>
      <c r="N135" s="98"/>
      <c r="O135" s="98"/>
      <c r="P135" s="98"/>
    </row>
    <row r="136" spans="2:16" x14ac:dyDescent="0.25">
      <c r="B136" s="59"/>
    </row>
    <row r="137" spans="2:16" x14ac:dyDescent="0.25">
      <c r="B137" s="59"/>
    </row>
    <row r="138" spans="2:16" x14ac:dyDescent="0.25">
      <c r="B138" s="59"/>
    </row>
  </sheetData>
  <mergeCells count="1"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workbookViewId="0">
      <selection activeCell="I9" sqref="I9"/>
    </sheetView>
  </sheetViews>
  <sheetFormatPr defaultRowHeight="15" x14ac:dyDescent="0.25"/>
  <cols>
    <col min="1" max="1" width="7.85546875" bestFit="1" customWidth="1"/>
    <col min="2" max="2" width="9.42578125" bestFit="1" customWidth="1"/>
    <col min="4" max="4" width="16.7109375" style="26" bestFit="1" customWidth="1"/>
    <col min="5" max="5" width="7" bestFit="1" customWidth="1"/>
    <col min="6" max="6" width="8.5703125" bestFit="1" customWidth="1"/>
    <col min="9" max="9" width="10.42578125" bestFit="1" customWidth="1"/>
  </cols>
  <sheetData>
    <row r="1" spans="1:6" s="95" customFormat="1" x14ac:dyDescent="0.25">
      <c r="B1" s="95" t="s">
        <v>38</v>
      </c>
      <c r="D1" s="112"/>
      <c r="E1" s="108" t="s">
        <v>36</v>
      </c>
      <c r="F1" s="108" t="s">
        <v>37</v>
      </c>
    </row>
    <row r="2" spans="1:6" x14ac:dyDescent="0.25">
      <c r="A2" s="41">
        <f ca="1">Stats!K47</f>
        <v>-5.0799999999999998E-2</v>
      </c>
      <c r="B2" s="42">
        <f ca="1">_xlfn.NORM.DIST(A2,Stats!$L$5,Stats!$L$6,FALSE)</f>
        <v>1.94998854254929</v>
      </c>
      <c r="D2" s="36">
        <v>32874</v>
      </c>
      <c r="E2" s="35">
        <v>7.64</v>
      </c>
      <c r="F2" s="25">
        <f>(1+E2/100)^(1/12)-1</f>
        <v>6.1540370766228758E-3</v>
      </c>
    </row>
    <row r="3" spans="1:6" x14ac:dyDescent="0.25">
      <c r="A3" s="84">
        <f ca="1">A2+($A$60-$A$2)/58</f>
        <v>-4.5477586206896549E-2</v>
      </c>
      <c r="B3" s="42">
        <f ca="1">_xlfn.NORM.DIST(A3,Stats!$L$5,Stats!$L$6,FALSE)</f>
        <v>2.4268095205601878</v>
      </c>
      <c r="D3" s="36">
        <v>32905</v>
      </c>
      <c r="E3" s="35">
        <v>7.74</v>
      </c>
      <c r="F3" s="97">
        <f t="shared" ref="F3:F66" si="0">(1+E3/100)^(1/12)-1</f>
        <v>6.2318989207894582E-3</v>
      </c>
    </row>
    <row r="4" spans="1:6" x14ac:dyDescent="0.25">
      <c r="A4" s="84">
        <f t="shared" ref="A4:A59" ca="1" si="1">A3+($A$60-$A$2)/58</f>
        <v>-4.01551724137931E-2</v>
      </c>
      <c r="B4" s="42">
        <f ca="1">_xlfn.NORM.DIST(A4,Stats!$L$5,Stats!$L$6,FALSE)</f>
        <v>2.97167557339775</v>
      </c>
      <c r="D4" s="36">
        <v>32933</v>
      </c>
      <c r="E4" s="35">
        <v>7.9</v>
      </c>
      <c r="F4" s="97">
        <f t="shared" si="0"/>
        <v>6.356340187460896E-3</v>
      </c>
    </row>
    <row r="5" spans="1:6" x14ac:dyDescent="0.25">
      <c r="A5" s="84">
        <f t="shared" ca="1" si="1"/>
        <v>-3.4832758620689651E-2</v>
      </c>
      <c r="B5" s="42">
        <f ca="1">_xlfn.NORM.DIST(A5,Stats!$L$5,Stats!$L$6,FALSE)</f>
        <v>3.5803804152518581</v>
      </c>
      <c r="D5" s="36">
        <v>32964</v>
      </c>
      <c r="E5" s="35">
        <v>7.77</v>
      </c>
      <c r="F5" s="97">
        <f t="shared" si="0"/>
        <v>6.2552445562169545E-3</v>
      </c>
    </row>
    <row r="6" spans="1:6" x14ac:dyDescent="0.25">
      <c r="A6" s="84">
        <f t="shared" ca="1" si="1"/>
        <v>-2.9510344827586202E-2</v>
      </c>
      <c r="B6" s="42">
        <f ca="1">_xlfn.NORM.DIST(A6,Stats!$L$5,Stats!$L$6,FALSE)</f>
        <v>4.2444265768434288</v>
      </c>
      <c r="D6" s="36">
        <v>32994</v>
      </c>
      <c r="E6" s="35">
        <v>7.74</v>
      </c>
      <c r="F6" s="97">
        <f t="shared" si="0"/>
        <v>6.2318989207894582E-3</v>
      </c>
    </row>
    <row r="7" spans="1:6" x14ac:dyDescent="0.25">
      <c r="A7" s="84">
        <f t="shared" ca="1" si="1"/>
        <v>-2.4187931034482753E-2</v>
      </c>
      <c r="B7" s="42">
        <f ca="1">_xlfn.NORM.DIST(A7,Stats!$L$5,Stats!$L$6,FALSE)</f>
        <v>4.9507494922624993</v>
      </c>
      <c r="D7" s="36">
        <v>33025</v>
      </c>
      <c r="E7" s="35">
        <v>7.73</v>
      </c>
      <c r="F7" s="97">
        <f t="shared" si="0"/>
        <v>6.2241157181159856E-3</v>
      </c>
    </row>
    <row r="8" spans="1:6" x14ac:dyDescent="0.25">
      <c r="A8" s="84">
        <f t="shared" ca="1" si="1"/>
        <v>-1.8865517241379304E-2</v>
      </c>
      <c r="B8" s="42">
        <f ca="1">_xlfn.NORM.DIST(A8,Stats!$L$5,Stats!$L$6,FALSE)</f>
        <v>5.6817870414978522</v>
      </c>
      <c r="D8" s="36">
        <v>33055</v>
      </c>
      <c r="E8" s="35">
        <v>7.62</v>
      </c>
      <c r="F8" s="97">
        <f t="shared" si="0"/>
        <v>6.1384567512829946E-3</v>
      </c>
    </row>
    <row r="9" spans="1:6" x14ac:dyDescent="0.25">
      <c r="A9" s="84">
        <f t="shared" ca="1" si="1"/>
        <v>-1.3543103448275855E-2</v>
      </c>
      <c r="B9" s="42">
        <f ca="1">_xlfn.NORM.DIST(A9,Stats!$L$5,Stats!$L$6,FALSE)</f>
        <v>6.4159508194011812</v>
      </c>
      <c r="D9" s="36">
        <v>33086</v>
      </c>
      <c r="E9" s="35">
        <v>7.45</v>
      </c>
      <c r="F9" s="97">
        <f t="shared" si="0"/>
        <v>6.0059167200390284E-3</v>
      </c>
    </row>
    <row r="10" spans="1:6" x14ac:dyDescent="0.25">
      <c r="A10" s="84">
        <f t="shared" ca="1" si="1"/>
        <v>-8.2206896551724057E-3</v>
      </c>
      <c r="B10" s="42">
        <f ca="1">_xlfn.NORM.DIST(A10,Stats!$L$5,Stats!$L$6,FALSE)</f>
        <v>7.128516752537231</v>
      </c>
      <c r="D10" s="36">
        <v>33117</v>
      </c>
      <c r="E10" s="35">
        <v>7.36</v>
      </c>
      <c r="F10" s="97">
        <f t="shared" si="0"/>
        <v>5.9356706291591177E-3</v>
      </c>
    </row>
    <row r="11" spans="1:6" x14ac:dyDescent="0.25">
      <c r="A11" s="84">
        <f t="shared" ca="1" si="1"/>
        <v>-2.8982758620689567E-3</v>
      </c>
      <c r="B11" s="42">
        <f ca="1">_xlfn.NORM.DIST(A11,Stats!$L$5,Stats!$L$6,FALSE)</f>
        <v>7.7929052668925092</v>
      </c>
      <c r="D11" s="36">
        <v>33147</v>
      </c>
      <c r="E11" s="35">
        <v>7.17</v>
      </c>
      <c r="F11" s="97">
        <f t="shared" si="0"/>
        <v>5.7871958844142313E-3</v>
      </c>
    </row>
    <row r="12" spans="1:6" x14ac:dyDescent="0.25">
      <c r="A12" s="84">
        <f t="shared" ca="1" si="1"/>
        <v>2.4241379310344924E-3</v>
      </c>
      <c r="B12" s="42">
        <f ca="1">_xlfn.NORM.DIST(A12,Stats!$L$5,Stats!$L$6,FALSE)</f>
        <v>8.3822709146962922</v>
      </c>
      <c r="D12" s="36">
        <v>33178</v>
      </c>
      <c r="E12" s="35">
        <v>7.06</v>
      </c>
      <c r="F12" s="97">
        <f t="shared" si="0"/>
        <v>5.7011264984068166E-3</v>
      </c>
    </row>
    <row r="13" spans="1:6" x14ac:dyDescent="0.25">
      <c r="A13" s="84">
        <f t="shared" ca="1" si="1"/>
        <v>7.7465517241379414E-3</v>
      </c>
      <c r="B13" s="42">
        <f ca="1">_xlfn.NORM.DIST(A13,Stats!$L$5,Stats!$L$6,FALSE)</f>
        <v>8.8712754336916415</v>
      </c>
      <c r="D13" s="36">
        <v>33208</v>
      </c>
      <c r="E13" s="35">
        <v>6.74</v>
      </c>
      <c r="F13" s="97">
        <f t="shared" si="0"/>
        <v>5.4502811103220861E-3</v>
      </c>
    </row>
    <row r="14" spans="1:6" x14ac:dyDescent="0.25">
      <c r="A14" s="84">
        <f t="shared" ca="1" si="1"/>
        <v>1.306896551724139E-2</v>
      </c>
      <c r="B14" s="42">
        <f ca="1">_xlfn.NORM.DIST(A14,Stats!$L$5,Stats!$L$6,FALSE)</f>
        <v>9.2378840650145904</v>
      </c>
      <c r="D14" s="36">
        <v>33239</v>
      </c>
      <c r="E14" s="35">
        <v>6.22</v>
      </c>
      <c r="F14" s="97">
        <f t="shared" si="0"/>
        <v>5.0411833044619048E-3</v>
      </c>
    </row>
    <row r="15" spans="1:6" x14ac:dyDescent="0.25">
      <c r="A15" s="84">
        <f t="shared" ca="1" si="1"/>
        <v>1.8391379310344839E-2</v>
      </c>
      <c r="B15" s="42">
        <f ca="1">_xlfn.NORM.DIST(A15,Stats!$L$5,Stats!$L$6,FALSE)</f>
        <v>9.4650088804612746</v>
      </c>
      <c r="D15" s="36">
        <v>33270</v>
      </c>
      <c r="E15" s="35">
        <v>5.94</v>
      </c>
      <c r="F15" s="97">
        <f t="shared" si="0"/>
        <v>4.8201388511142085E-3</v>
      </c>
    </row>
    <row r="16" spans="1:6" x14ac:dyDescent="0.25">
      <c r="A16" s="84">
        <f t="shared" ca="1" si="1"/>
        <v>2.3713793103448289E-2</v>
      </c>
      <c r="B16" s="42">
        <f ca="1">_xlfn.NORM.DIST(A16,Stats!$L$5,Stats!$L$6,FALSE)</f>
        <v>9.5418287516112592</v>
      </c>
      <c r="D16" s="36">
        <v>33298</v>
      </c>
      <c r="E16" s="35">
        <v>5.91</v>
      </c>
      <c r="F16" s="97">
        <f t="shared" si="0"/>
        <v>4.7964237628919104E-3</v>
      </c>
    </row>
    <row r="17" spans="1:6" x14ac:dyDescent="0.25">
      <c r="A17" s="84">
        <f t="shared" ca="1" si="1"/>
        <v>2.9036206896551738E-2</v>
      </c>
      <c r="B17" s="42">
        <f ca="1">_xlfn.NORM.DIST(A17,Stats!$L$5,Stats!$L$6,FALSE)</f>
        <v>9.464644020076646</v>
      </c>
      <c r="D17" s="36">
        <v>33329</v>
      </c>
      <c r="E17" s="35">
        <v>5.65</v>
      </c>
      <c r="F17" s="97">
        <f t="shared" si="0"/>
        <v>4.5906346658710628E-3</v>
      </c>
    </row>
    <row r="18" spans="1:6" x14ac:dyDescent="0.25">
      <c r="A18" s="84">
        <f t="shared" ca="1" si="1"/>
        <v>3.4358620689655187E-2</v>
      </c>
      <c r="B18" s="42">
        <f ca="1">_xlfn.NORM.DIST(A18,Stats!$L$5,Stats!$L$6,FALSE)</f>
        <v>9.2371718685420117</v>
      </c>
      <c r="D18" s="36">
        <v>33359</v>
      </c>
      <c r="E18" s="35">
        <v>5.46</v>
      </c>
      <c r="F18" s="97">
        <f t="shared" si="0"/>
        <v>4.439956538087042E-3</v>
      </c>
    </row>
    <row r="19" spans="1:6" x14ac:dyDescent="0.25">
      <c r="A19" s="84">
        <f t="shared" ca="1" si="1"/>
        <v>3.9681034482758636E-2</v>
      </c>
      <c r="B19" s="42">
        <f ca="1">_xlfn.NORM.DIST(A19,Stats!$L$5,Stats!$L$6,FALSE)</f>
        <v>8.8702495544018323</v>
      </c>
      <c r="D19" s="36">
        <v>33390</v>
      </c>
      <c r="E19" s="35">
        <v>5.57</v>
      </c>
      <c r="F19" s="97">
        <f t="shared" si="0"/>
        <v>4.5272215436409358E-3</v>
      </c>
    </row>
    <row r="20" spans="1:6" x14ac:dyDescent="0.25">
      <c r="A20" s="84">
        <f t="shared" ca="1" si="1"/>
        <v>4.5003448275862085E-2</v>
      </c>
      <c r="B20" s="42">
        <f ca="1">_xlfn.NORM.DIST(A20,Stats!$L$5,Stats!$L$6,FALSE)</f>
        <v>8.3809784988977665</v>
      </c>
      <c r="D20" s="36">
        <v>33420</v>
      </c>
      <c r="E20" s="35">
        <v>5.58</v>
      </c>
      <c r="F20" s="97">
        <f t="shared" si="0"/>
        <v>4.5351505923962865E-3</v>
      </c>
    </row>
    <row r="21" spans="1:6" x14ac:dyDescent="0.25">
      <c r="A21" s="84">
        <f t="shared" ca="1" si="1"/>
        <v>5.0325862068965534E-2</v>
      </c>
      <c r="B21" s="42">
        <f ca="1">_xlfn.NORM.DIST(A21,Stats!$L$5,Stats!$L$6,FALSE)</f>
        <v>7.7914033648622558</v>
      </c>
      <c r="D21" s="36">
        <v>33451</v>
      </c>
      <c r="E21" s="35">
        <v>5.33</v>
      </c>
      <c r="F21" s="97">
        <f t="shared" si="0"/>
        <v>4.3367175322408524E-3</v>
      </c>
    </row>
    <row r="22" spans="1:6" x14ac:dyDescent="0.25">
      <c r="A22" s="84">
        <f t="shared" ca="1" si="1"/>
        <v>5.5648275862068983E-2</v>
      </c>
      <c r="B22" s="42">
        <f ca="1">_xlfn.NORM.DIST(A22,Stats!$L$5,Stats!$L$6,FALSE)</f>
        <v>7.1268681564771557</v>
      </c>
      <c r="D22" s="36">
        <v>33482</v>
      </c>
      <c r="E22" s="35">
        <v>5.22</v>
      </c>
      <c r="F22" s="97">
        <f t="shared" si="0"/>
        <v>4.2492701806178257E-3</v>
      </c>
    </row>
    <row r="23" spans="1:6" x14ac:dyDescent="0.25">
      <c r="A23" s="84">
        <f t="shared" ca="1" si="1"/>
        <v>6.0970689655172432E-2</v>
      </c>
      <c r="B23" s="42">
        <f ca="1">_xlfn.NORM.DIST(A23,Stats!$L$5,Stats!$L$6,FALSE)</f>
        <v>6.414219749805846</v>
      </c>
      <c r="D23" s="36">
        <v>33512</v>
      </c>
      <c r="E23" s="35">
        <v>4.99</v>
      </c>
      <c r="F23" s="97">
        <f t="shared" si="0"/>
        <v>4.0661545935285481E-3</v>
      </c>
    </row>
    <row r="24" spans="1:6" x14ac:dyDescent="0.25">
      <c r="A24" s="84">
        <f t="shared" ca="1" si="1"/>
        <v>6.6293103448275881E-2</v>
      </c>
      <c r="B24" s="42">
        <f ca="1">_xlfn.NORM.DIST(A24,Stats!$L$5,Stats!$L$6,FALSE)</f>
        <v>5.6800350901937273</v>
      </c>
      <c r="D24" s="36">
        <v>33543</v>
      </c>
      <c r="E24" s="35">
        <v>4.5599999999999996</v>
      </c>
      <c r="F24" s="97">
        <f t="shared" si="0"/>
        <v>3.7228194856664398E-3</v>
      </c>
    </row>
    <row r="25" spans="1:6" x14ac:dyDescent="0.25">
      <c r="A25" s="84">
        <f t="shared" ca="1" si="1"/>
        <v>7.1615517241379323E-2</v>
      </c>
      <c r="B25" s="42">
        <f ca="1">_xlfn.NORM.DIST(A25,Stats!$L$5,Stats!$L$6,FALSE)</f>
        <v>4.9490321684875145</v>
      </c>
      <c r="D25" s="36">
        <v>33573</v>
      </c>
      <c r="E25" s="35">
        <v>4.07</v>
      </c>
      <c r="F25" s="97">
        <f t="shared" si="0"/>
        <v>3.329995796502061E-3</v>
      </c>
    </row>
    <row r="26" spans="1:6" x14ac:dyDescent="0.25">
      <c r="A26" s="84">
        <f t="shared" ca="1" si="1"/>
        <v>7.6937931034482765E-2</v>
      </c>
      <c r="B26" s="42">
        <f ca="1">_xlfn.NORM.DIST(A26,Stats!$L$5,Stats!$L$6,FALSE)</f>
        <v>4.242790704627466</v>
      </c>
      <c r="D26" s="36">
        <v>33604</v>
      </c>
      <c r="E26" s="35">
        <v>3.8</v>
      </c>
      <c r="F26" s="97">
        <f t="shared" si="0"/>
        <v>3.1128168457330574E-3</v>
      </c>
    </row>
    <row r="27" spans="1:6" x14ac:dyDescent="0.25">
      <c r="A27" s="84">
        <f t="shared" ca="1" si="1"/>
        <v>8.2260344827586207E-2</v>
      </c>
      <c r="B27" s="42">
        <f ca="1">_xlfn.NORM.DIST(A27,Stats!$L$5,Stats!$L$6,FALSE)</f>
        <v>3.5788625128826759</v>
      </c>
      <c r="D27" s="36">
        <v>33635</v>
      </c>
      <c r="E27" s="35">
        <v>3.84</v>
      </c>
      <c r="F27" s="97">
        <f t="shared" si="0"/>
        <v>3.1450241575170512E-3</v>
      </c>
    </row>
    <row r="28" spans="1:6" x14ac:dyDescent="0.25">
      <c r="A28" s="84">
        <f t="shared" ca="1" si="1"/>
        <v>8.7582758620689649E-2</v>
      </c>
      <c r="B28" s="42">
        <f ca="1">_xlfn.NORM.DIST(A28,Stats!$L$5,Stats!$L$6,FALSE)</f>
        <v>2.970301226865061</v>
      </c>
      <c r="D28" s="36">
        <v>33664</v>
      </c>
      <c r="E28" s="35">
        <v>4.04</v>
      </c>
      <c r="F28" s="97">
        <f t="shared" si="0"/>
        <v>3.3058903246372395E-3</v>
      </c>
    </row>
    <row r="29" spans="1:6" x14ac:dyDescent="0.25">
      <c r="A29" s="84">
        <f t="shared" ca="1" si="1"/>
        <v>9.2905172413793091E-2</v>
      </c>
      <c r="B29" s="42">
        <f ca="1">_xlfn.NORM.DIST(A29,Stats!$L$5,Stats!$L$6,FALSE)</f>
        <v>2.4255936585675726</v>
      </c>
      <c r="D29" s="36">
        <v>33695</v>
      </c>
      <c r="E29" s="35">
        <v>3.75</v>
      </c>
      <c r="F29" s="97">
        <f t="shared" si="0"/>
        <v>3.0725417032555491E-3</v>
      </c>
    </row>
    <row r="30" spans="1:6" x14ac:dyDescent="0.25">
      <c r="A30" s="84">
        <f t="shared" ca="1" si="1"/>
        <v>9.8227586206896533E-2</v>
      </c>
      <c r="B30" s="42">
        <f ca="1">_xlfn.NORM.DIST(A30,Stats!$L$5,Stats!$L$6,FALSE)</f>
        <v>1.9489364426824733</v>
      </c>
      <c r="D30" s="36">
        <v>33725</v>
      </c>
      <c r="E30" s="35">
        <v>3.63</v>
      </c>
      <c r="F30" s="97">
        <f t="shared" si="0"/>
        <v>2.9758087216387175E-3</v>
      </c>
    </row>
    <row r="31" spans="1:6" x14ac:dyDescent="0.25">
      <c r="A31" s="84">
        <f t="shared" ca="1" si="1"/>
        <v>0.10354999999999998</v>
      </c>
      <c r="B31" s="42">
        <f ca="1">_xlfn.NORM.DIST(A31,Stats!$L$5,Stats!$L$6,FALSE)</f>
        <v>1.5407755505681842</v>
      </c>
      <c r="D31" s="36">
        <v>33756</v>
      </c>
      <c r="E31" s="35">
        <v>3.66</v>
      </c>
      <c r="F31" s="97">
        <f t="shared" si="0"/>
        <v>3.0000015894111609E-3</v>
      </c>
    </row>
    <row r="32" spans="1:6" x14ac:dyDescent="0.25">
      <c r="A32" s="84">
        <f t="shared" ca="1" si="1"/>
        <v>0.10887241379310342</v>
      </c>
      <c r="B32" s="42">
        <f ca="1">_xlfn.NORM.DIST(A32,Stats!$L$5,Stats!$L$6,FALSE)</f>
        <v>1.198514117986381</v>
      </c>
      <c r="D32" s="36">
        <v>33786</v>
      </c>
      <c r="E32" s="35">
        <v>3.21</v>
      </c>
      <c r="F32" s="97">
        <f t="shared" si="0"/>
        <v>2.6364327582906188E-3</v>
      </c>
    </row>
    <row r="33" spans="1:6" x14ac:dyDescent="0.25">
      <c r="A33" s="84">
        <f t="shared" ca="1" si="1"/>
        <v>0.11419482758620686</v>
      </c>
      <c r="B33" s="42">
        <f ca="1">_xlfn.NORM.DIST(A33,Stats!$L$5,Stats!$L$6,FALSE)</f>
        <v>0.9172949530989466</v>
      </c>
      <c r="D33" s="36">
        <v>33817</v>
      </c>
      <c r="E33" s="35">
        <v>3.13</v>
      </c>
      <c r="F33" s="97">
        <f t="shared" si="0"/>
        <v>2.5716462189622202E-3</v>
      </c>
    </row>
    <row r="34" spans="1:6" x14ac:dyDescent="0.25">
      <c r="A34" s="84">
        <f t="shared" ca="1" si="1"/>
        <v>0.1195172413793103</v>
      </c>
      <c r="B34" s="42">
        <f ca="1">_xlfn.NORM.DIST(A34,Stats!$L$5,Stats!$L$6,FALSE)</f>
        <v>0.69077550318372227</v>
      </c>
      <c r="D34" s="36">
        <v>33848</v>
      </c>
      <c r="E34" s="35">
        <v>2.91</v>
      </c>
      <c r="F34" s="97">
        <f t="shared" si="0"/>
        <v>2.3932454057613572E-3</v>
      </c>
    </row>
    <row r="35" spans="1:6" x14ac:dyDescent="0.25">
      <c r="A35" s="84">
        <f t="shared" ca="1" si="1"/>
        <v>0.12483965517241374</v>
      </c>
      <c r="B35" s="42">
        <f ca="1">_xlfn.NORM.DIST(A35,Stats!$L$5,Stats!$L$6,FALSE)</f>
        <v>0.5118314000962767</v>
      </c>
      <c r="D35" s="36">
        <v>33878</v>
      </c>
      <c r="E35" s="35">
        <v>2.86</v>
      </c>
      <c r="F35" s="97">
        <f t="shared" si="0"/>
        <v>2.3526510136486767E-3</v>
      </c>
    </row>
    <row r="36" spans="1:6" x14ac:dyDescent="0.25">
      <c r="A36" s="84">
        <f t="shared" ca="1" si="1"/>
        <v>0.13016206896551719</v>
      </c>
      <c r="B36" s="42">
        <f ca="1">_xlfn.NORM.DIST(A36,Stats!$L$5,Stats!$L$6,FALSE)</f>
        <v>0.37314617784518012</v>
      </c>
      <c r="D36" s="36">
        <v>33909</v>
      </c>
      <c r="E36" s="35">
        <v>3.13</v>
      </c>
      <c r="F36" s="97">
        <f t="shared" si="0"/>
        <v>2.5716462189622202E-3</v>
      </c>
    </row>
    <row r="37" spans="1:6" x14ac:dyDescent="0.25">
      <c r="A37" s="84">
        <f t="shared" ca="1" si="1"/>
        <v>0.13548448275862063</v>
      </c>
      <c r="B37" s="42">
        <f ca="1">_xlfn.NORM.DIST(A37,Stats!$L$5,Stats!$L$6,FALSE)</f>
        <v>0.26766595955137246</v>
      </c>
      <c r="D37" s="36">
        <v>33939</v>
      </c>
      <c r="E37" s="35">
        <v>3.22</v>
      </c>
      <c r="F37" s="97">
        <f t="shared" si="0"/>
        <v>2.6445278387947635E-3</v>
      </c>
    </row>
    <row r="38" spans="1:6" x14ac:dyDescent="0.25">
      <c r="A38" s="84">
        <f t="shared" ca="1" si="1"/>
        <v>0.14080689655172407</v>
      </c>
      <c r="B38" s="42">
        <f ca="1">_xlfn.NORM.DIST(A38,Stats!$L$5,Stats!$L$6,FALSE)</f>
        <v>0.18891627035027364</v>
      </c>
      <c r="D38" s="36">
        <v>33970</v>
      </c>
      <c r="E38" s="35">
        <v>3</v>
      </c>
      <c r="F38" s="97">
        <f t="shared" si="0"/>
        <v>2.4662697723036864E-3</v>
      </c>
    </row>
    <row r="39" spans="1:6" x14ac:dyDescent="0.25">
      <c r="A39" s="84">
        <f t="shared" ca="1" si="1"/>
        <v>0.14612931034482751</v>
      </c>
      <c r="B39" s="42">
        <f ca="1">_xlfn.NORM.DIST(A39,Stats!$L$5,Stats!$L$6,FALSE)</f>
        <v>0.13119209179262717</v>
      </c>
      <c r="D39" s="36">
        <v>34001</v>
      </c>
      <c r="E39" s="35">
        <v>2.93</v>
      </c>
      <c r="F39" s="97">
        <f t="shared" si="0"/>
        <v>2.4094781004899701E-3</v>
      </c>
    </row>
    <row r="40" spans="1:6" x14ac:dyDescent="0.25">
      <c r="A40" s="84">
        <f t="shared" ca="1" si="1"/>
        <v>0.15145172413793095</v>
      </c>
      <c r="B40" s="42">
        <f ca="1">_xlfn.NORM.DIST(A40,Stats!$L$5,Stats!$L$6,FALSE)</f>
        <v>8.9641274877530777E-2</v>
      </c>
      <c r="D40" s="36">
        <v>34029</v>
      </c>
      <c r="E40" s="35">
        <v>2.95</v>
      </c>
      <c r="F40" s="97">
        <f t="shared" si="0"/>
        <v>2.4257079041964946E-3</v>
      </c>
    </row>
    <row r="41" spans="1:6" x14ac:dyDescent="0.25">
      <c r="A41" s="84">
        <f t="shared" ca="1" si="1"/>
        <v>0.1567741379310344</v>
      </c>
      <c r="B41" s="42">
        <f ca="1">_xlfn.NORM.DIST(A41,Stats!$L$5,Stats!$L$6,FALSE)</f>
        <v>6.0265736186745598E-2</v>
      </c>
      <c r="D41" s="36">
        <v>34060</v>
      </c>
      <c r="E41" s="35">
        <v>2.87</v>
      </c>
      <c r="F41" s="97">
        <f t="shared" si="0"/>
        <v>2.3607713389290907E-3</v>
      </c>
    </row>
    <row r="42" spans="1:6" x14ac:dyDescent="0.25">
      <c r="A42" s="84">
        <f t="shared" ca="1" si="1"/>
        <v>0.16209655172413784</v>
      </c>
      <c r="B42" s="42">
        <f ca="1">_xlfn.NORM.DIST(A42,Stats!$L$5,Stats!$L$6,FALSE)</f>
        <v>3.9865294964773437E-2</v>
      </c>
      <c r="D42" s="36">
        <v>34090</v>
      </c>
      <c r="E42" s="35">
        <v>2.96</v>
      </c>
      <c r="F42" s="97">
        <f t="shared" si="0"/>
        <v>2.4338217222530378E-3</v>
      </c>
    </row>
    <row r="43" spans="1:6" x14ac:dyDescent="0.25">
      <c r="A43" s="84">
        <f t="shared" ca="1" si="1"/>
        <v>0.16741896551724128</v>
      </c>
      <c r="B43" s="42">
        <f ca="1">_xlfn.NORM.DIST(A43,Stats!$L$5,Stats!$L$6,FALSE)</f>
        <v>2.5946666601722793E-2</v>
      </c>
      <c r="D43" s="36">
        <v>34121</v>
      </c>
      <c r="E43" s="35">
        <v>3.07</v>
      </c>
      <c r="F43" s="97">
        <f t="shared" si="0"/>
        <v>2.5230260752062694E-3</v>
      </c>
    </row>
    <row r="44" spans="1:6" x14ac:dyDescent="0.25">
      <c r="A44" s="84">
        <f t="shared" ca="1" si="1"/>
        <v>0.17274137931034472</v>
      </c>
      <c r="B44" s="42">
        <f ca="1">_xlfn.NORM.DIST(A44,Stats!$L$5,Stats!$L$6,FALSE)</f>
        <v>1.6616143534324827E-2</v>
      </c>
      <c r="D44" s="36">
        <v>34151</v>
      </c>
      <c r="E44" s="35">
        <v>3.04</v>
      </c>
      <c r="F44" s="97">
        <f t="shared" si="0"/>
        <v>2.4987062733237142E-3</v>
      </c>
    </row>
    <row r="45" spans="1:6" x14ac:dyDescent="0.25">
      <c r="A45" s="84">
        <f t="shared" ca="1" si="1"/>
        <v>0.17806379310344816</v>
      </c>
      <c r="B45" s="42">
        <f ca="1">_xlfn.NORM.DIST(A45,Stats!$L$5,Stats!$L$6,FALSE)</f>
        <v>1.0469862368413446E-2</v>
      </c>
      <c r="D45" s="36">
        <v>34182</v>
      </c>
      <c r="E45" s="35">
        <v>3.02</v>
      </c>
      <c r="F45" s="97">
        <f t="shared" si="0"/>
        <v>2.4824894659052354E-3</v>
      </c>
    </row>
    <row r="46" spans="1:6" x14ac:dyDescent="0.25">
      <c r="A46" s="84">
        <f t="shared" ca="1" si="1"/>
        <v>0.18338620689655161</v>
      </c>
      <c r="B46" s="42">
        <f ca="1">_xlfn.NORM.DIST(A46,Stats!$L$5,Stats!$L$6,FALSE)</f>
        <v>6.4910325101856271E-3</v>
      </c>
      <c r="D46" s="36">
        <v>34213</v>
      </c>
      <c r="E46" s="35">
        <v>2.95</v>
      </c>
      <c r="F46" s="97">
        <f t="shared" si="0"/>
        <v>2.4257079041964946E-3</v>
      </c>
    </row>
    <row r="47" spans="1:6" x14ac:dyDescent="0.25">
      <c r="A47" s="84">
        <f t="shared" ca="1" si="1"/>
        <v>0.18870862068965505</v>
      </c>
      <c r="B47" s="42">
        <f ca="1">_xlfn.NORM.DIST(A47,Stats!$L$5,Stats!$L$6,FALSE)</f>
        <v>3.9595758782357869E-3</v>
      </c>
      <c r="D47" s="36">
        <v>34243</v>
      </c>
      <c r="E47" s="35">
        <v>3.02</v>
      </c>
      <c r="F47" s="97">
        <f t="shared" si="0"/>
        <v>2.4824894659052354E-3</v>
      </c>
    </row>
    <row r="48" spans="1:6" x14ac:dyDescent="0.25">
      <c r="A48" s="84">
        <f t="shared" ca="1" si="1"/>
        <v>0.19403103448275849</v>
      </c>
      <c r="B48" s="42">
        <f ca="1">_xlfn.NORM.DIST(A48,Stats!$L$5,Stats!$L$6,FALSE)</f>
        <v>2.3765427417343477E-3</v>
      </c>
      <c r="D48" s="36">
        <v>34274</v>
      </c>
      <c r="E48" s="35">
        <v>3.1</v>
      </c>
      <c r="F48" s="97">
        <f t="shared" si="0"/>
        <v>2.5473393892132545E-3</v>
      </c>
    </row>
    <row r="49" spans="1:6" x14ac:dyDescent="0.25">
      <c r="A49" s="84">
        <f t="shared" ca="1" si="1"/>
        <v>0.19935344827586193</v>
      </c>
      <c r="B49" s="42">
        <f ca="1">_xlfn.NORM.DIST(A49,Stats!$L$5,Stats!$L$6,FALSE)</f>
        <v>1.4034749417255019E-3</v>
      </c>
      <c r="D49" s="36">
        <v>34304</v>
      </c>
      <c r="E49" s="35">
        <v>3.06</v>
      </c>
      <c r="F49" s="97">
        <f t="shared" si="0"/>
        <v>2.5149201956327083E-3</v>
      </c>
    </row>
    <row r="50" spans="1:6" x14ac:dyDescent="0.25">
      <c r="A50" s="84">
        <f t="shared" ca="1" si="1"/>
        <v>0.20467586206896538</v>
      </c>
      <c r="B50" s="42">
        <f ca="1">_xlfn.NORM.DIST(A50,Stats!$L$5,Stats!$L$6,FALSE)</f>
        <v>8.1550338952531009E-4</v>
      </c>
      <c r="D50" s="36">
        <v>34335</v>
      </c>
      <c r="E50" s="35">
        <v>2.98</v>
      </c>
      <c r="F50" s="97">
        <f t="shared" si="0"/>
        <v>2.4500471914443711E-3</v>
      </c>
    </row>
    <row r="51" spans="1:6" x14ac:dyDescent="0.25">
      <c r="A51" s="84">
        <f t="shared" ca="1" si="1"/>
        <v>0.20999827586206882</v>
      </c>
      <c r="B51" s="42">
        <f ca="1">_xlfn.NORM.DIST(A51,Stats!$L$5,Stats!$L$6,FALSE)</f>
        <v>4.662393793430423E-4</v>
      </c>
      <c r="D51" s="36">
        <v>34366</v>
      </c>
      <c r="E51" s="35">
        <v>3.25</v>
      </c>
      <c r="F51" s="97">
        <f t="shared" si="0"/>
        <v>2.668808767629649E-3</v>
      </c>
    </row>
    <row r="52" spans="1:6" x14ac:dyDescent="0.25">
      <c r="A52" s="84">
        <f t="shared" ca="1" si="1"/>
        <v>0.21532068965517226</v>
      </c>
      <c r="B52" s="42">
        <f ca="1">_xlfn.NORM.DIST(A52,Stats!$L$5,Stats!$L$6,FALSE)</f>
        <v>2.6227337653169757E-4</v>
      </c>
      <c r="D52" s="36">
        <v>34394</v>
      </c>
      <c r="E52" s="35">
        <v>3.5</v>
      </c>
      <c r="F52" s="97">
        <f t="shared" si="0"/>
        <v>2.8708987190766422E-3</v>
      </c>
    </row>
    <row r="53" spans="1:6" x14ac:dyDescent="0.25">
      <c r="A53" s="84">
        <f t="shared" ca="1" si="1"/>
        <v>0.2206431034482757</v>
      </c>
      <c r="B53" s="42">
        <f ca="1">_xlfn.NORM.DIST(A53,Stats!$L$5,Stats!$L$6,FALSE)</f>
        <v>1.4516487246573785E-4</v>
      </c>
      <c r="D53" s="36">
        <v>34425</v>
      </c>
      <c r="E53" s="35">
        <v>3.68</v>
      </c>
      <c r="F53" s="97">
        <f t="shared" si="0"/>
        <v>3.0161266025487965E-3</v>
      </c>
    </row>
    <row r="54" spans="1:6" x14ac:dyDescent="0.25">
      <c r="A54" s="84">
        <f t="shared" ca="1" si="1"/>
        <v>0.22596551724137914</v>
      </c>
      <c r="B54" s="42">
        <f ca="1">_xlfn.NORM.DIST(A54,Stats!$L$5,Stats!$L$6,FALSE)</f>
        <v>7.9055290761489072E-5</v>
      </c>
      <c r="D54" s="36">
        <v>34455</v>
      </c>
      <c r="E54" s="35">
        <v>4.1399999999999997</v>
      </c>
      <c r="F54" s="97">
        <f t="shared" si="0"/>
        <v>3.3862171355991677E-3</v>
      </c>
    </row>
    <row r="55" spans="1:6" x14ac:dyDescent="0.25">
      <c r="A55" s="84">
        <f t="shared" ca="1" si="1"/>
        <v>0.23128793103448259</v>
      </c>
      <c r="B55" s="42">
        <f ca="1">_xlfn.NORM.DIST(A55,Stats!$L$5,Stats!$L$6,FALSE)</f>
        <v>4.236063071176425E-5</v>
      </c>
      <c r="D55" s="36">
        <v>34486</v>
      </c>
      <c r="E55" s="35">
        <v>4.1399999999999997</v>
      </c>
      <c r="F55" s="97">
        <f t="shared" si="0"/>
        <v>3.3862171355991677E-3</v>
      </c>
    </row>
    <row r="56" spans="1:6" x14ac:dyDescent="0.25">
      <c r="A56" s="84">
        <f t="shared" ca="1" si="1"/>
        <v>0.23661034482758603</v>
      </c>
      <c r="B56" s="42">
        <f ca="1">_xlfn.NORM.DIST(A56,Stats!$L$5,Stats!$L$6,FALSE)</f>
        <v>2.2333457840035992E-5</v>
      </c>
      <c r="D56" s="36">
        <v>34516</v>
      </c>
      <c r="E56" s="35">
        <v>4.33</v>
      </c>
      <c r="F56" s="97">
        <f t="shared" si="0"/>
        <v>3.5386434752657792E-3</v>
      </c>
    </row>
    <row r="57" spans="1:6" x14ac:dyDescent="0.25">
      <c r="A57" s="84">
        <f t="shared" ca="1" si="1"/>
        <v>0.24193275862068947</v>
      </c>
      <c r="B57" s="42">
        <f ca="1">_xlfn.NORM.DIST(A57,Stats!$L$5,Stats!$L$6,FALSE)</f>
        <v>1.1585414980967029E-5</v>
      </c>
      <c r="D57" s="36">
        <v>34547</v>
      </c>
      <c r="E57" s="35">
        <v>4.4800000000000004</v>
      </c>
      <c r="F57" s="97">
        <f t="shared" si="0"/>
        <v>3.6588004233741866E-3</v>
      </c>
    </row>
    <row r="58" spans="1:6" x14ac:dyDescent="0.25">
      <c r="A58" s="84">
        <f t="shared" ca="1" si="1"/>
        <v>0.24725517241379291</v>
      </c>
      <c r="B58" s="42">
        <f ca="1">_xlfn.NORM.DIST(A58,Stats!$L$5,Stats!$L$6,FALSE)</f>
        <v>5.9132915745934939E-6</v>
      </c>
      <c r="D58" s="36">
        <v>34578</v>
      </c>
      <c r="E58" s="35">
        <v>4.62</v>
      </c>
      <c r="F58" s="97">
        <f t="shared" si="0"/>
        <v>3.7708043235686883E-3</v>
      </c>
    </row>
    <row r="59" spans="1:6" x14ac:dyDescent="0.25">
      <c r="A59" s="84">
        <f t="shared" ca="1" si="1"/>
        <v>0.25257758620689635</v>
      </c>
      <c r="B59" s="42">
        <f ca="1">_xlfn.NORM.DIST(A59,Stats!$L$5,Stats!$L$6,FALSE)</f>
        <v>2.9696759866736958E-6</v>
      </c>
      <c r="D59" s="36">
        <v>34608</v>
      </c>
      <c r="E59" s="35">
        <v>4.95</v>
      </c>
      <c r="F59" s="97">
        <f t="shared" si="0"/>
        <v>4.0342708735832122E-3</v>
      </c>
    </row>
    <row r="60" spans="1:6" x14ac:dyDescent="0.25">
      <c r="A60" s="41">
        <f ca="1">Stats!K58</f>
        <v>0.25790000000000002</v>
      </c>
      <c r="B60" s="42">
        <f ca="1">_xlfn.NORM.DIST(A60,Stats!$L$5,Stats!$L$6,FALSE)</f>
        <v>1.4674081084396024E-6</v>
      </c>
      <c r="D60" s="36">
        <v>34639</v>
      </c>
      <c r="E60" s="35">
        <v>5.29</v>
      </c>
      <c r="F60" s="97">
        <f t="shared" si="0"/>
        <v>4.3049281853966281E-3</v>
      </c>
    </row>
    <row r="61" spans="1:6" x14ac:dyDescent="0.25">
      <c r="A61" s="40"/>
      <c r="B61" s="42"/>
      <c r="D61" s="36">
        <v>34669</v>
      </c>
      <c r="E61" s="35">
        <v>5.6</v>
      </c>
      <c r="F61" s="97">
        <f t="shared" si="0"/>
        <v>4.5510066248739545E-3</v>
      </c>
    </row>
    <row r="62" spans="1:6" x14ac:dyDescent="0.25">
      <c r="A62" s="41"/>
      <c r="B62" s="42"/>
      <c r="D62" s="36">
        <v>34700</v>
      </c>
      <c r="E62" s="35">
        <v>5.71</v>
      </c>
      <c r="F62" s="97">
        <f t="shared" si="0"/>
        <v>4.638165628538804E-3</v>
      </c>
    </row>
    <row r="63" spans="1:6" x14ac:dyDescent="0.25">
      <c r="A63" s="40"/>
      <c r="B63" s="42"/>
      <c r="D63" s="36">
        <v>34731</v>
      </c>
      <c r="E63" s="35">
        <v>5.77</v>
      </c>
      <c r="F63" s="97">
        <f t="shared" si="0"/>
        <v>4.6856718676875353E-3</v>
      </c>
    </row>
    <row r="64" spans="1:6" x14ac:dyDescent="0.25">
      <c r="A64" s="41"/>
      <c r="B64" s="42"/>
      <c r="D64" s="36">
        <v>34759</v>
      </c>
      <c r="E64" s="35">
        <v>5.73</v>
      </c>
      <c r="F64" s="97">
        <f t="shared" si="0"/>
        <v>4.6540037873179507E-3</v>
      </c>
    </row>
    <row r="65" spans="1:8" x14ac:dyDescent="0.25">
      <c r="A65" s="40"/>
      <c r="B65" s="42"/>
      <c r="D65" s="36">
        <v>34790</v>
      </c>
      <c r="E65" s="35">
        <v>5.65</v>
      </c>
      <c r="F65" s="97">
        <f t="shared" si="0"/>
        <v>4.5906346658710628E-3</v>
      </c>
    </row>
    <row r="66" spans="1:8" x14ac:dyDescent="0.25">
      <c r="A66" s="41"/>
      <c r="B66" s="42"/>
      <c r="D66" s="36">
        <v>34820</v>
      </c>
      <c r="E66" s="35">
        <v>5.67</v>
      </c>
      <c r="F66" s="97">
        <f t="shared" si="0"/>
        <v>4.6064810688120073E-3</v>
      </c>
    </row>
    <row r="67" spans="1:8" x14ac:dyDescent="0.25">
      <c r="A67" s="40"/>
      <c r="B67" s="42"/>
      <c r="D67" s="36">
        <v>34851</v>
      </c>
      <c r="E67" s="35">
        <v>5.47</v>
      </c>
      <c r="F67" s="97">
        <f t="shared" ref="F67:F130" si="2">(1+E67/100)^(1/12)-1</f>
        <v>4.4478931673448407E-3</v>
      </c>
    </row>
    <row r="68" spans="1:8" x14ac:dyDescent="0.25">
      <c r="A68" s="41"/>
      <c r="B68" s="42"/>
      <c r="D68" s="36">
        <v>34881</v>
      </c>
      <c r="E68" s="35">
        <v>5.42</v>
      </c>
      <c r="F68" s="97">
        <f t="shared" si="2"/>
        <v>4.4082031209211614E-3</v>
      </c>
      <c r="G68" s="36"/>
      <c r="H68" s="35"/>
    </row>
    <row r="69" spans="1:8" x14ac:dyDescent="0.25">
      <c r="A69" s="40"/>
      <c r="B69" s="42"/>
      <c r="D69" s="36">
        <v>34912</v>
      </c>
      <c r="E69" s="35">
        <v>5.4</v>
      </c>
      <c r="F69" s="97">
        <f t="shared" si="2"/>
        <v>4.3923222705009035E-3</v>
      </c>
      <c r="G69" s="36"/>
      <c r="H69" s="35"/>
    </row>
    <row r="70" spans="1:8" x14ac:dyDescent="0.25">
      <c r="A70" s="41"/>
      <c r="B70" s="42"/>
      <c r="D70" s="36">
        <v>34943</v>
      </c>
      <c r="E70" s="35">
        <v>5.28</v>
      </c>
      <c r="F70" s="97">
        <f t="shared" si="2"/>
        <v>4.2969791189388928E-3</v>
      </c>
      <c r="G70" s="36"/>
      <c r="H70" s="35"/>
    </row>
    <row r="71" spans="1:8" x14ac:dyDescent="0.25">
      <c r="A71" s="40"/>
      <c r="B71" s="42"/>
      <c r="D71" s="36">
        <v>34973</v>
      </c>
      <c r="E71" s="35">
        <v>5.28</v>
      </c>
      <c r="F71" s="97">
        <f t="shared" si="2"/>
        <v>4.2969791189388928E-3</v>
      </c>
      <c r="G71" s="36"/>
      <c r="H71" s="35"/>
    </row>
    <row r="72" spans="1:8" x14ac:dyDescent="0.25">
      <c r="A72" s="41"/>
      <c r="B72" s="42"/>
      <c r="D72" s="36">
        <v>35004</v>
      </c>
      <c r="E72" s="35">
        <v>5.36</v>
      </c>
      <c r="F72" s="97">
        <f t="shared" si="2"/>
        <v>4.3605522809628816E-3</v>
      </c>
      <c r="G72" s="36"/>
      <c r="H72" s="35"/>
    </row>
    <row r="73" spans="1:8" x14ac:dyDescent="0.25">
      <c r="A73" s="40"/>
      <c r="B73" s="42"/>
      <c r="D73" s="36">
        <v>35034</v>
      </c>
      <c r="E73" s="35">
        <v>5.14</v>
      </c>
      <c r="F73" s="97">
        <f t="shared" si="2"/>
        <v>4.1856194553282489E-3</v>
      </c>
      <c r="G73" s="36"/>
      <c r="H73" s="35"/>
    </row>
    <row r="74" spans="1:8" x14ac:dyDescent="0.25">
      <c r="D74" s="36">
        <v>35065</v>
      </c>
      <c r="E74" s="35">
        <v>5</v>
      </c>
      <c r="F74" s="97">
        <f t="shared" si="2"/>
        <v>4.0741237836483535E-3</v>
      </c>
      <c r="G74" s="36"/>
      <c r="H74" s="35"/>
    </row>
    <row r="75" spans="1:8" x14ac:dyDescent="0.25">
      <c r="D75" s="36">
        <v>35096</v>
      </c>
      <c r="E75" s="35">
        <v>4.83</v>
      </c>
      <c r="F75" s="97">
        <f t="shared" si="2"/>
        <v>3.9385528336748354E-3</v>
      </c>
      <c r="G75" s="36"/>
      <c r="H75" s="35"/>
    </row>
    <row r="76" spans="1:8" x14ac:dyDescent="0.25">
      <c r="D76" s="36">
        <v>35125</v>
      </c>
      <c r="E76" s="35">
        <v>4.96</v>
      </c>
      <c r="F76" s="97">
        <f t="shared" si="2"/>
        <v>4.0422428477437933E-3</v>
      </c>
      <c r="G76" s="36"/>
      <c r="H76" s="35"/>
    </row>
    <row r="77" spans="1:8" x14ac:dyDescent="0.25">
      <c r="D77" s="36">
        <v>35156</v>
      </c>
      <c r="E77" s="35">
        <v>4.95</v>
      </c>
      <c r="F77" s="97">
        <f t="shared" si="2"/>
        <v>4.0342708735832122E-3</v>
      </c>
      <c r="G77" s="36"/>
      <c r="H77" s="35"/>
    </row>
    <row r="78" spans="1:8" x14ac:dyDescent="0.25">
      <c r="D78" s="36">
        <v>35186</v>
      </c>
      <c r="E78" s="35">
        <v>5.0199999999999996</v>
      </c>
      <c r="F78" s="97">
        <f t="shared" si="2"/>
        <v>4.0900600769369078E-3</v>
      </c>
      <c r="G78" s="36"/>
      <c r="H78" s="35"/>
    </row>
    <row r="79" spans="1:8" x14ac:dyDescent="0.25">
      <c r="D79" s="36">
        <v>35217</v>
      </c>
      <c r="E79" s="35">
        <v>5.09</v>
      </c>
      <c r="F79" s="97">
        <f t="shared" si="2"/>
        <v>4.1458152037889828E-3</v>
      </c>
      <c r="G79" s="36"/>
      <c r="H79" s="35"/>
    </row>
    <row r="80" spans="1:8" x14ac:dyDescent="0.25">
      <c r="D80" s="36">
        <v>35247</v>
      </c>
      <c r="E80" s="35">
        <v>5.15</v>
      </c>
      <c r="F80" s="97">
        <f t="shared" si="2"/>
        <v>4.1935782233755159E-3</v>
      </c>
      <c r="G80" s="36"/>
      <c r="H80" s="35"/>
    </row>
    <row r="81" spans="4:8" x14ac:dyDescent="0.25">
      <c r="D81" s="36">
        <v>35278</v>
      </c>
      <c r="E81" s="35">
        <v>5.05</v>
      </c>
      <c r="F81" s="97">
        <f t="shared" si="2"/>
        <v>4.1139593013970188E-3</v>
      </c>
      <c r="G81" s="36"/>
      <c r="H81" s="35"/>
    </row>
    <row r="82" spans="4:8" x14ac:dyDescent="0.25">
      <c r="D82" s="36">
        <v>35309</v>
      </c>
      <c r="E82" s="35">
        <v>5.09</v>
      </c>
      <c r="F82" s="97">
        <f t="shared" si="2"/>
        <v>4.1458152037889828E-3</v>
      </c>
      <c r="G82" s="36"/>
      <c r="H82" s="35"/>
    </row>
    <row r="83" spans="4:8" x14ac:dyDescent="0.25">
      <c r="D83" s="36">
        <v>35339</v>
      </c>
      <c r="E83" s="35">
        <v>4.99</v>
      </c>
      <c r="F83" s="97">
        <f t="shared" si="2"/>
        <v>4.0661545935285481E-3</v>
      </c>
      <c r="G83" s="36"/>
      <c r="H83" s="35"/>
    </row>
    <row r="84" spans="4:8" x14ac:dyDescent="0.25">
      <c r="D84" s="36">
        <v>35370</v>
      </c>
      <c r="E84" s="35">
        <v>5.03</v>
      </c>
      <c r="F84" s="97">
        <f t="shared" si="2"/>
        <v>4.0980271803598978E-3</v>
      </c>
      <c r="G84" s="36"/>
      <c r="H84" s="35"/>
    </row>
    <row r="85" spans="4:8" x14ac:dyDescent="0.25">
      <c r="D85" s="36">
        <v>35400</v>
      </c>
      <c r="E85" s="35">
        <v>4.91</v>
      </c>
      <c r="F85" s="97">
        <f t="shared" si="2"/>
        <v>4.002376012389508E-3</v>
      </c>
      <c r="G85" s="36"/>
      <c r="H85" s="35"/>
    </row>
    <row r="86" spans="4:8" x14ac:dyDescent="0.25">
      <c r="D86" s="36">
        <v>35431</v>
      </c>
      <c r="E86" s="35">
        <v>5.03</v>
      </c>
      <c r="F86" s="97">
        <f t="shared" si="2"/>
        <v>4.0980271803598978E-3</v>
      </c>
      <c r="G86" s="36"/>
      <c r="H86" s="35"/>
    </row>
    <row r="87" spans="4:8" x14ac:dyDescent="0.25">
      <c r="D87" s="36">
        <v>35462</v>
      </c>
      <c r="E87" s="35">
        <v>5.01</v>
      </c>
      <c r="F87" s="97">
        <f t="shared" si="2"/>
        <v>4.0820922780753222E-3</v>
      </c>
      <c r="G87" s="36"/>
      <c r="H87" s="35"/>
    </row>
    <row r="88" spans="4:8" x14ac:dyDescent="0.25">
      <c r="D88" s="36">
        <v>35490</v>
      </c>
      <c r="E88" s="35">
        <v>5.14</v>
      </c>
      <c r="F88" s="97">
        <f t="shared" si="2"/>
        <v>4.1856194553282489E-3</v>
      </c>
      <c r="G88" s="36"/>
      <c r="H88" s="35"/>
    </row>
    <row r="89" spans="4:8" x14ac:dyDescent="0.25">
      <c r="D89" s="36">
        <v>35521</v>
      </c>
      <c r="E89" s="35">
        <v>5.16</v>
      </c>
      <c r="F89" s="97">
        <f t="shared" si="2"/>
        <v>4.2015362976310922E-3</v>
      </c>
      <c r="G89" s="36"/>
      <c r="H89" s="35"/>
    </row>
    <row r="90" spans="4:8" x14ac:dyDescent="0.25">
      <c r="D90" s="36">
        <v>35551</v>
      </c>
      <c r="E90" s="35">
        <v>5.05</v>
      </c>
      <c r="F90" s="97">
        <f t="shared" si="2"/>
        <v>4.1139593013970188E-3</v>
      </c>
      <c r="G90" s="36"/>
      <c r="H90" s="35"/>
    </row>
    <row r="91" spans="4:8" x14ac:dyDescent="0.25">
      <c r="D91" s="36">
        <v>35582</v>
      </c>
      <c r="E91" s="35">
        <v>4.93</v>
      </c>
      <c r="F91" s="97">
        <f t="shared" si="2"/>
        <v>4.0183248361511659E-3</v>
      </c>
      <c r="G91" s="36"/>
      <c r="H91" s="35"/>
    </row>
    <row r="92" spans="4:8" x14ac:dyDescent="0.25">
      <c r="D92" s="36">
        <v>35612</v>
      </c>
      <c r="E92" s="35">
        <v>5.05</v>
      </c>
      <c r="F92" s="97">
        <f t="shared" si="2"/>
        <v>4.1139593013970188E-3</v>
      </c>
      <c r="G92" s="36"/>
      <c r="H92" s="35"/>
    </row>
    <row r="93" spans="4:8" x14ac:dyDescent="0.25">
      <c r="D93" s="36">
        <v>35643</v>
      </c>
      <c r="E93" s="35">
        <v>5.14</v>
      </c>
      <c r="F93" s="97">
        <f t="shared" si="2"/>
        <v>4.1856194553282489E-3</v>
      </c>
      <c r="G93" s="36"/>
      <c r="H93" s="35"/>
    </row>
    <row r="94" spans="4:8" x14ac:dyDescent="0.25">
      <c r="D94" s="36">
        <v>35674</v>
      </c>
      <c r="E94" s="35">
        <v>4.95</v>
      </c>
      <c r="F94" s="97">
        <f t="shared" si="2"/>
        <v>4.0342708735832122E-3</v>
      </c>
      <c r="G94" s="36"/>
      <c r="H94" s="35"/>
    </row>
    <row r="95" spans="4:8" x14ac:dyDescent="0.25">
      <c r="D95" s="36">
        <v>35704</v>
      </c>
      <c r="E95" s="35">
        <v>4.97</v>
      </c>
      <c r="F95" s="97">
        <f t="shared" si="2"/>
        <v>4.0502141257032775E-3</v>
      </c>
      <c r="G95" s="36"/>
      <c r="H95" s="35"/>
    </row>
    <row r="96" spans="4:8" x14ac:dyDescent="0.25">
      <c r="D96" s="36">
        <v>35735</v>
      </c>
      <c r="E96" s="35">
        <v>5.14</v>
      </c>
      <c r="F96" s="97">
        <f t="shared" si="2"/>
        <v>4.1856194553282489E-3</v>
      </c>
      <c r="G96" s="36"/>
      <c r="H96" s="35"/>
    </row>
    <row r="97" spans="4:8" x14ac:dyDescent="0.25">
      <c r="D97" s="36">
        <v>35765</v>
      </c>
      <c r="E97" s="35">
        <v>5.16</v>
      </c>
      <c r="F97" s="97">
        <f t="shared" si="2"/>
        <v>4.2015362976310922E-3</v>
      </c>
      <c r="G97" s="36"/>
      <c r="H97" s="35"/>
    </row>
    <row r="98" spans="4:8" x14ac:dyDescent="0.25">
      <c r="D98" s="36">
        <v>35796</v>
      </c>
      <c r="E98" s="35">
        <v>5.04</v>
      </c>
      <c r="F98" s="97">
        <f t="shared" si="2"/>
        <v>4.1059935884708576E-3</v>
      </c>
      <c r="G98" s="36"/>
      <c r="H98" s="35"/>
    </row>
    <row r="99" spans="4:8" x14ac:dyDescent="0.25">
      <c r="D99" s="36">
        <v>35827</v>
      </c>
      <c r="E99" s="35">
        <v>5.09</v>
      </c>
      <c r="F99" s="97">
        <f t="shared" si="2"/>
        <v>4.1458152037889828E-3</v>
      </c>
      <c r="G99" s="36"/>
      <c r="H99" s="35"/>
    </row>
    <row r="100" spans="4:8" x14ac:dyDescent="0.25">
      <c r="D100" s="36">
        <v>35855</v>
      </c>
      <c r="E100" s="35">
        <v>5.03</v>
      </c>
      <c r="F100" s="97">
        <f t="shared" si="2"/>
        <v>4.0980271803598978E-3</v>
      </c>
      <c r="G100" s="36"/>
      <c r="H100" s="35"/>
    </row>
    <row r="101" spans="4:8" x14ac:dyDescent="0.25">
      <c r="D101" s="36">
        <v>35886</v>
      </c>
      <c r="E101" s="35">
        <v>4.95</v>
      </c>
      <c r="F101" s="97">
        <f t="shared" si="2"/>
        <v>4.0342708735832122E-3</v>
      </c>
      <c r="G101" s="36"/>
      <c r="H101" s="35"/>
    </row>
    <row r="102" spans="4:8" x14ac:dyDescent="0.25">
      <c r="D102" s="36">
        <v>35916</v>
      </c>
      <c r="E102" s="35">
        <v>5</v>
      </c>
      <c r="F102" s="97">
        <f t="shared" si="2"/>
        <v>4.0741237836483535E-3</v>
      </c>
      <c r="G102" s="36"/>
      <c r="H102" s="35"/>
    </row>
    <row r="103" spans="4:8" x14ac:dyDescent="0.25">
      <c r="D103" s="36">
        <v>35947</v>
      </c>
      <c r="E103" s="35">
        <v>4.9800000000000004</v>
      </c>
      <c r="F103" s="97">
        <f t="shared" si="2"/>
        <v>4.0581847075893407E-3</v>
      </c>
      <c r="G103" s="36"/>
      <c r="H103" s="35"/>
    </row>
    <row r="104" spans="4:8" x14ac:dyDescent="0.25">
      <c r="D104" s="36">
        <v>35977</v>
      </c>
      <c r="E104" s="35">
        <v>4.96</v>
      </c>
      <c r="F104" s="97">
        <f t="shared" si="2"/>
        <v>4.0422428477437933E-3</v>
      </c>
      <c r="G104" s="36"/>
      <c r="H104" s="35"/>
    </row>
    <row r="105" spans="4:8" x14ac:dyDescent="0.25">
      <c r="D105" s="36">
        <v>36008</v>
      </c>
      <c r="E105" s="35">
        <v>4.9000000000000004</v>
      </c>
      <c r="F105" s="97">
        <f t="shared" si="2"/>
        <v>3.9944005553169681E-3</v>
      </c>
      <c r="G105" s="36"/>
      <c r="H105" s="35"/>
    </row>
    <row r="106" spans="4:8" x14ac:dyDescent="0.25">
      <c r="D106" s="36">
        <v>36039</v>
      </c>
      <c r="E106" s="35">
        <v>4.6100000000000003</v>
      </c>
      <c r="F106" s="97">
        <f t="shared" si="2"/>
        <v>3.7628086026935126E-3</v>
      </c>
      <c r="G106" s="36"/>
      <c r="H106" s="35"/>
    </row>
    <row r="107" spans="4:8" x14ac:dyDescent="0.25">
      <c r="D107" s="36">
        <v>36069</v>
      </c>
      <c r="E107" s="35">
        <v>3.96</v>
      </c>
      <c r="F107" s="97">
        <f t="shared" si="2"/>
        <v>3.2415779026344627E-3</v>
      </c>
      <c r="G107" s="36"/>
      <c r="H107" s="35"/>
    </row>
    <row r="108" spans="4:8" x14ac:dyDescent="0.25">
      <c r="D108" s="36">
        <v>36100</v>
      </c>
      <c r="E108" s="35">
        <v>4.41</v>
      </c>
      <c r="F108" s="97">
        <f t="shared" si="2"/>
        <v>3.6027468730472911E-3</v>
      </c>
      <c r="G108" s="36"/>
      <c r="H108" s="35"/>
    </row>
    <row r="109" spans="4:8" x14ac:dyDescent="0.25">
      <c r="D109" s="36">
        <v>36130</v>
      </c>
      <c r="E109" s="35">
        <v>4.3899999999999997</v>
      </c>
      <c r="F109" s="97">
        <f t="shared" si="2"/>
        <v>3.5867252456669441E-3</v>
      </c>
      <c r="G109" s="36"/>
      <c r="H109" s="35"/>
    </row>
    <row r="110" spans="4:8" x14ac:dyDescent="0.25">
      <c r="D110" s="36">
        <v>36161</v>
      </c>
      <c r="E110" s="35">
        <v>4.34</v>
      </c>
      <c r="F110" s="97">
        <f t="shared" si="2"/>
        <v>3.5466588636137164E-3</v>
      </c>
      <c r="G110" s="36"/>
      <c r="H110" s="35"/>
    </row>
    <row r="111" spans="4:8" x14ac:dyDescent="0.25">
      <c r="D111" s="36">
        <v>36192</v>
      </c>
      <c r="E111" s="35">
        <v>4.4400000000000004</v>
      </c>
      <c r="F111" s="97">
        <f t="shared" si="2"/>
        <v>3.6267740400885984E-3</v>
      </c>
      <c r="G111" s="36"/>
      <c r="H111" s="35"/>
    </row>
    <row r="112" spans="4:8" x14ac:dyDescent="0.25">
      <c r="D112" s="36">
        <v>36220</v>
      </c>
      <c r="E112" s="35">
        <v>4.4400000000000004</v>
      </c>
      <c r="F112" s="97">
        <f t="shared" si="2"/>
        <v>3.6267740400885984E-3</v>
      </c>
      <c r="G112" s="36"/>
      <c r="H112" s="35"/>
    </row>
    <row r="113" spans="4:8" x14ac:dyDescent="0.25">
      <c r="D113" s="36">
        <v>36251</v>
      </c>
      <c r="E113" s="35">
        <v>4.29</v>
      </c>
      <c r="F113" s="97">
        <f t="shared" si="2"/>
        <v>3.5065748777713956E-3</v>
      </c>
      <c r="G113" s="36"/>
      <c r="H113" s="35"/>
    </row>
    <row r="114" spans="4:8" x14ac:dyDescent="0.25">
      <c r="D114" s="36">
        <v>36281</v>
      </c>
      <c r="E114" s="35">
        <v>4.5</v>
      </c>
      <c r="F114" s="97">
        <f t="shared" si="2"/>
        <v>3.6748094004368514E-3</v>
      </c>
      <c r="G114" s="36"/>
      <c r="H114" s="35"/>
    </row>
    <row r="115" spans="4:8" x14ac:dyDescent="0.25">
      <c r="D115" s="36">
        <v>36312</v>
      </c>
      <c r="E115" s="35">
        <v>4.57</v>
      </c>
      <c r="F115" s="97">
        <f t="shared" si="2"/>
        <v>3.7308187111868563E-3</v>
      </c>
      <c r="G115" s="36"/>
      <c r="H115" s="35"/>
    </row>
    <row r="116" spans="4:8" x14ac:dyDescent="0.25">
      <c r="D116" s="36">
        <v>36342</v>
      </c>
      <c r="E116" s="35">
        <v>4.55</v>
      </c>
      <c r="F116" s="97">
        <f t="shared" si="2"/>
        <v>3.7148195588312394E-3</v>
      </c>
      <c r="G116" s="36"/>
      <c r="H116" s="35"/>
    </row>
    <row r="117" spans="4:8" x14ac:dyDescent="0.25">
      <c r="D117" s="36">
        <v>36373</v>
      </c>
      <c r="E117" s="35">
        <v>4.72</v>
      </c>
      <c r="F117" s="97">
        <f t="shared" si="2"/>
        <v>3.8507230235700352E-3</v>
      </c>
      <c r="G117" s="36"/>
      <c r="H117" s="35"/>
    </row>
    <row r="118" spans="4:8" x14ac:dyDescent="0.25">
      <c r="D118" s="36">
        <v>36404</v>
      </c>
      <c r="E118" s="35">
        <v>4.68</v>
      </c>
      <c r="F118" s="97">
        <f t="shared" si="2"/>
        <v>3.8187639418887365E-3</v>
      </c>
      <c r="G118" s="36"/>
      <c r="H118" s="35"/>
    </row>
    <row r="119" spans="4:8" x14ac:dyDescent="0.25">
      <c r="D119" s="36">
        <v>36434</v>
      </c>
      <c r="E119" s="35">
        <v>4.8600000000000003</v>
      </c>
      <c r="F119" s="97">
        <f t="shared" si="2"/>
        <v>3.9624917561102979E-3</v>
      </c>
      <c r="G119" s="36"/>
      <c r="H119" s="35"/>
    </row>
    <row r="120" spans="4:8" x14ac:dyDescent="0.25">
      <c r="D120" s="36">
        <v>36465</v>
      </c>
      <c r="E120" s="35">
        <v>5.07</v>
      </c>
      <c r="F120" s="97">
        <f t="shared" si="2"/>
        <v>4.1298886422020953E-3</v>
      </c>
      <c r="G120" s="36"/>
      <c r="H120" s="35"/>
    </row>
    <row r="121" spans="4:8" x14ac:dyDescent="0.25">
      <c r="D121" s="36">
        <v>36495</v>
      </c>
      <c r="E121" s="35">
        <v>5.2</v>
      </c>
      <c r="F121" s="97">
        <f t="shared" si="2"/>
        <v>4.2333616592649115E-3</v>
      </c>
      <c r="G121" s="36"/>
      <c r="H121" s="35"/>
    </row>
    <row r="122" spans="4:8" x14ac:dyDescent="0.25">
      <c r="D122" s="36">
        <v>36526</v>
      </c>
      <c r="E122" s="35">
        <v>5.32</v>
      </c>
      <c r="F122" s="97">
        <f t="shared" si="2"/>
        <v>4.3287712331259165E-3</v>
      </c>
      <c r="G122" s="36"/>
      <c r="H122" s="35"/>
    </row>
    <row r="123" spans="4:8" x14ac:dyDescent="0.25">
      <c r="D123" s="36">
        <v>36557</v>
      </c>
      <c r="E123" s="35">
        <v>5.55</v>
      </c>
      <c r="F123" s="97">
        <f t="shared" si="2"/>
        <v>4.5113613804723673E-3</v>
      </c>
      <c r="G123" s="36"/>
      <c r="H123" s="35"/>
    </row>
    <row r="124" spans="4:8" x14ac:dyDescent="0.25">
      <c r="D124" s="36">
        <v>36586</v>
      </c>
      <c r="E124" s="35">
        <v>5.69</v>
      </c>
      <c r="F124" s="97">
        <f t="shared" si="2"/>
        <v>4.6223247227021869E-3</v>
      </c>
      <c r="G124" s="36"/>
      <c r="H124" s="35"/>
    </row>
    <row r="125" spans="4:8" x14ac:dyDescent="0.25">
      <c r="D125" s="36">
        <v>36617</v>
      </c>
      <c r="E125" s="35">
        <v>5.66</v>
      </c>
      <c r="F125" s="97">
        <f t="shared" si="2"/>
        <v>4.5985582110350531E-3</v>
      </c>
      <c r="G125" s="36"/>
      <c r="H125" s="35"/>
    </row>
    <row r="126" spans="4:8" x14ac:dyDescent="0.25">
      <c r="D126" s="36">
        <v>36647</v>
      </c>
      <c r="E126" s="35">
        <v>5.79</v>
      </c>
      <c r="F126" s="97">
        <f t="shared" si="2"/>
        <v>4.7015017912679369E-3</v>
      </c>
      <c r="G126" s="36"/>
      <c r="H126" s="35"/>
    </row>
    <row r="127" spans="4:8" x14ac:dyDescent="0.25">
      <c r="D127" s="36">
        <v>36678</v>
      </c>
      <c r="E127" s="35">
        <v>5.69</v>
      </c>
      <c r="F127" s="97">
        <f t="shared" si="2"/>
        <v>4.6223247227021869E-3</v>
      </c>
      <c r="G127" s="36"/>
      <c r="H127" s="35"/>
    </row>
    <row r="128" spans="4:8" x14ac:dyDescent="0.25">
      <c r="D128" s="36">
        <v>36708</v>
      </c>
      <c r="E128" s="35">
        <v>5.96</v>
      </c>
      <c r="F128" s="97">
        <f t="shared" si="2"/>
        <v>4.8359454901756305E-3</v>
      </c>
      <c r="G128" s="36"/>
      <c r="H128" s="35"/>
    </row>
    <row r="129" spans="4:8" x14ac:dyDescent="0.25">
      <c r="D129" s="36">
        <v>36739</v>
      </c>
      <c r="E129" s="35">
        <v>6.09</v>
      </c>
      <c r="F129" s="97">
        <f t="shared" si="2"/>
        <v>4.938622031196882E-3</v>
      </c>
      <c r="G129" s="36"/>
      <c r="H129" s="35"/>
    </row>
    <row r="130" spans="4:8" x14ac:dyDescent="0.25">
      <c r="D130" s="36">
        <v>36770</v>
      </c>
      <c r="E130" s="35">
        <v>6</v>
      </c>
      <c r="F130" s="97">
        <f t="shared" si="2"/>
        <v>4.8675505653430484E-3</v>
      </c>
      <c r="G130" s="36"/>
      <c r="H130" s="35"/>
    </row>
    <row r="131" spans="4:8" x14ac:dyDescent="0.25">
      <c r="D131" s="36">
        <v>36800</v>
      </c>
      <c r="E131" s="35">
        <v>6.11</v>
      </c>
      <c r="F131" s="97">
        <f t="shared" ref="F131:F194" si="3">(1+E131/100)^(1/12)-1</f>
        <v>4.9544081844810073E-3</v>
      </c>
      <c r="G131" s="36"/>
      <c r="H131" s="35"/>
    </row>
    <row r="132" spans="4:8" x14ac:dyDescent="0.25">
      <c r="D132" s="36">
        <v>36831</v>
      </c>
      <c r="E132" s="35">
        <v>6.17</v>
      </c>
      <c r="F132" s="97">
        <f t="shared" si="3"/>
        <v>5.0017502848112017E-3</v>
      </c>
      <c r="G132" s="36"/>
      <c r="H132" s="35"/>
    </row>
    <row r="133" spans="4:8" x14ac:dyDescent="0.25">
      <c r="D133" s="36">
        <v>36861</v>
      </c>
      <c r="E133" s="35">
        <v>5.77</v>
      </c>
      <c r="F133" s="97">
        <f t="shared" si="3"/>
        <v>4.6856718676875353E-3</v>
      </c>
      <c r="G133" s="36"/>
      <c r="H133" s="35"/>
    </row>
    <row r="134" spans="4:8" x14ac:dyDescent="0.25">
      <c r="D134" s="36">
        <v>36892</v>
      </c>
      <c r="E134" s="35">
        <v>5.15</v>
      </c>
      <c r="F134" s="97">
        <f t="shared" si="3"/>
        <v>4.1935782233755159E-3</v>
      </c>
      <c r="G134" s="36"/>
      <c r="H134" s="35"/>
    </row>
    <row r="135" spans="4:8" x14ac:dyDescent="0.25">
      <c r="D135" s="36">
        <v>36923</v>
      </c>
      <c r="E135" s="35">
        <v>4.88</v>
      </c>
      <c r="F135" s="97">
        <f t="shared" si="3"/>
        <v>3.9784475501516425E-3</v>
      </c>
      <c r="G135" s="36"/>
      <c r="H135" s="35"/>
    </row>
    <row r="136" spans="4:8" x14ac:dyDescent="0.25">
      <c r="D136" s="36">
        <v>36951</v>
      </c>
      <c r="E136" s="35">
        <v>4.42</v>
      </c>
      <c r="F136" s="97">
        <f t="shared" si="3"/>
        <v>3.6107566318024364E-3</v>
      </c>
      <c r="G136" s="36"/>
      <c r="H136" s="35"/>
    </row>
    <row r="137" spans="4:8" x14ac:dyDescent="0.25">
      <c r="D137" s="36">
        <v>36982</v>
      </c>
      <c r="E137" s="35">
        <v>3.87</v>
      </c>
      <c r="F137" s="97">
        <f t="shared" si="3"/>
        <v>3.1691721789193217E-3</v>
      </c>
      <c r="G137" s="36"/>
      <c r="H137" s="35"/>
    </row>
    <row r="138" spans="4:8" x14ac:dyDescent="0.25">
      <c r="D138" s="36">
        <v>37012</v>
      </c>
      <c r="E138" s="35">
        <v>3.62</v>
      </c>
      <c r="F138" s="97">
        <f t="shared" si="3"/>
        <v>2.9677430057029053E-3</v>
      </c>
      <c r="G138" s="36"/>
      <c r="H138" s="35"/>
    </row>
    <row r="139" spans="4:8" x14ac:dyDescent="0.25">
      <c r="D139" s="36">
        <v>37043</v>
      </c>
      <c r="E139" s="35">
        <v>3.49</v>
      </c>
      <c r="F139" s="97">
        <f t="shared" si="3"/>
        <v>2.8628237165644332E-3</v>
      </c>
      <c r="G139" s="36"/>
      <c r="H139" s="35"/>
    </row>
    <row r="140" spans="4:8" x14ac:dyDescent="0.25">
      <c r="D140" s="36">
        <v>37073</v>
      </c>
      <c r="E140" s="35">
        <v>3.51</v>
      </c>
      <c r="F140" s="97">
        <f t="shared" si="3"/>
        <v>2.8789730064431307E-3</v>
      </c>
      <c r="G140" s="36"/>
      <c r="H140" s="35"/>
    </row>
    <row r="141" spans="4:8" x14ac:dyDescent="0.25">
      <c r="D141" s="36">
        <v>37104</v>
      </c>
      <c r="E141" s="35">
        <v>3.36</v>
      </c>
      <c r="F141" s="97">
        <f t="shared" si="3"/>
        <v>2.7577835453318489E-3</v>
      </c>
      <c r="G141" s="36"/>
      <c r="H141" s="35"/>
    </row>
    <row r="142" spans="4:8" x14ac:dyDescent="0.25">
      <c r="D142" s="36">
        <v>37135</v>
      </c>
      <c r="E142" s="35">
        <v>2.64</v>
      </c>
      <c r="F142" s="97">
        <f t="shared" si="3"/>
        <v>2.1738205225527718E-3</v>
      </c>
      <c r="G142" s="36"/>
      <c r="H142" s="35"/>
    </row>
    <row r="143" spans="4:8" x14ac:dyDescent="0.25">
      <c r="D143" s="36">
        <v>37165</v>
      </c>
      <c r="E143" s="35">
        <v>2.16</v>
      </c>
      <c r="F143" s="97">
        <f t="shared" si="3"/>
        <v>1.782422107218018E-3</v>
      </c>
      <c r="G143" s="36"/>
      <c r="H143" s="35"/>
    </row>
    <row r="144" spans="4:8" x14ac:dyDescent="0.25">
      <c r="D144" s="36">
        <v>37196</v>
      </c>
      <c r="E144" s="35">
        <v>1.87</v>
      </c>
      <c r="F144" s="97">
        <f t="shared" si="3"/>
        <v>1.5451345433195041E-3</v>
      </c>
      <c r="G144" s="36"/>
      <c r="H144" s="35"/>
    </row>
    <row r="145" spans="4:8" x14ac:dyDescent="0.25">
      <c r="D145" s="36">
        <v>37226</v>
      </c>
      <c r="E145" s="35">
        <v>1.69</v>
      </c>
      <c r="F145" s="97">
        <f t="shared" si="3"/>
        <v>1.3975409693907093E-3</v>
      </c>
      <c r="G145" s="36"/>
      <c r="H145" s="35"/>
    </row>
    <row r="146" spans="4:8" x14ac:dyDescent="0.25">
      <c r="D146" s="36">
        <v>37257</v>
      </c>
      <c r="E146" s="35">
        <v>1.65</v>
      </c>
      <c r="F146" s="97">
        <f t="shared" si="3"/>
        <v>1.364709877352599E-3</v>
      </c>
      <c r="G146" s="36"/>
      <c r="H146" s="35"/>
    </row>
    <row r="147" spans="4:8" x14ac:dyDescent="0.25">
      <c r="D147" s="36">
        <v>37288</v>
      </c>
      <c r="E147" s="35">
        <v>1.73</v>
      </c>
      <c r="F147" s="97">
        <f t="shared" si="3"/>
        <v>1.4303602255574255E-3</v>
      </c>
      <c r="G147" s="36"/>
      <c r="H147" s="35"/>
    </row>
    <row r="148" spans="4:8" x14ac:dyDescent="0.25">
      <c r="D148" s="36">
        <v>37316</v>
      </c>
      <c r="E148" s="35">
        <v>1.79</v>
      </c>
      <c r="F148" s="97">
        <f t="shared" si="3"/>
        <v>1.4795669370546438E-3</v>
      </c>
    </row>
    <row r="149" spans="4:8" x14ac:dyDescent="0.25">
      <c r="D149" s="36">
        <v>37347</v>
      </c>
      <c r="E149" s="35">
        <v>1.72</v>
      </c>
      <c r="F149" s="97">
        <f t="shared" si="3"/>
        <v>1.422156520640705E-3</v>
      </c>
    </row>
    <row r="150" spans="4:8" x14ac:dyDescent="0.25">
      <c r="D150" s="36">
        <v>37377</v>
      </c>
      <c r="E150" s="35">
        <v>1.73</v>
      </c>
      <c r="F150" s="97">
        <f t="shared" si="3"/>
        <v>1.4303602255574255E-3</v>
      </c>
    </row>
    <row r="151" spans="4:8" x14ac:dyDescent="0.25">
      <c r="D151" s="36">
        <v>37408</v>
      </c>
      <c r="E151" s="35">
        <v>1.7</v>
      </c>
      <c r="F151" s="97">
        <f t="shared" si="3"/>
        <v>1.4057468926966799E-3</v>
      </c>
    </row>
    <row r="152" spans="4:8" x14ac:dyDescent="0.25">
      <c r="D152" s="36">
        <v>37438</v>
      </c>
      <c r="E152" s="35">
        <v>1.68</v>
      </c>
      <c r="F152" s="97">
        <f t="shared" si="3"/>
        <v>1.3893343063426933E-3</v>
      </c>
    </row>
    <row r="153" spans="4:8" x14ac:dyDescent="0.25">
      <c r="D153" s="36">
        <v>37469</v>
      </c>
      <c r="E153" s="35">
        <v>1.62</v>
      </c>
      <c r="F153" s="97">
        <f t="shared" si="3"/>
        <v>1.3400787856630014E-3</v>
      </c>
    </row>
    <row r="154" spans="4:8" x14ac:dyDescent="0.25">
      <c r="D154" s="36">
        <v>37500</v>
      </c>
      <c r="E154" s="35">
        <v>1.63</v>
      </c>
      <c r="F154" s="97">
        <f t="shared" si="3"/>
        <v>1.3482898900922802E-3</v>
      </c>
    </row>
    <row r="155" spans="4:8" x14ac:dyDescent="0.25">
      <c r="D155" s="36">
        <v>37530</v>
      </c>
      <c r="E155" s="35">
        <v>1.58</v>
      </c>
      <c r="F155" s="97">
        <f t="shared" si="3"/>
        <v>1.3072269593599195E-3</v>
      </c>
    </row>
    <row r="156" spans="4:8" x14ac:dyDescent="0.25">
      <c r="D156" s="36">
        <v>37561</v>
      </c>
      <c r="E156" s="35">
        <v>1.23</v>
      </c>
      <c r="F156" s="97">
        <f t="shared" si="3"/>
        <v>1.0192665680117674E-3</v>
      </c>
    </row>
    <row r="157" spans="4:8" x14ac:dyDescent="0.25">
      <c r="D157" s="36">
        <v>37591</v>
      </c>
      <c r="E157" s="35">
        <v>1.19</v>
      </c>
      <c r="F157" s="97">
        <f t="shared" si="3"/>
        <v>9.86298719130696E-4</v>
      </c>
    </row>
    <row r="158" spans="4:8" x14ac:dyDescent="0.25">
      <c r="D158" s="36">
        <v>37622</v>
      </c>
      <c r="E158" s="35">
        <v>1.17</v>
      </c>
      <c r="F158" s="97">
        <f t="shared" si="3"/>
        <v>9.6981031467402445E-4</v>
      </c>
    </row>
    <row r="159" spans="4:8" x14ac:dyDescent="0.25">
      <c r="D159" s="36">
        <v>37653</v>
      </c>
      <c r="E159" s="35">
        <v>1.17</v>
      </c>
      <c r="F159" s="97">
        <f t="shared" si="3"/>
        <v>9.6981031467402445E-4</v>
      </c>
    </row>
    <row r="160" spans="4:8" x14ac:dyDescent="0.25">
      <c r="D160" s="36">
        <v>37681</v>
      </c>
      <c r="E160" s="35">
        <v>1.1299999999999999</v>
      </c>
      <c r="F160" s="97">
        <f t="shared" si="3"/>
        <v>9.3682454006915883E-4</v>
      </c>
    </row>
    <row r="161" spans="4:6" x14ac:dyDescent="0.25">
      <c r="D161" s="36">
        <v>37712</v>
      </c>
      <c r="E161" s="35">
        <v>1.1299999999999999</v>
      </c>
      <c r="F161" s="97">
        <f t="shared" si="3"/>
        <v>9.3682454006915883E-4</v>
      </c>
    </row>
    <row r="162" spans="4:6" x14ac:dyDescent="0.25">
      <c r="D162" s="36">
        <v>37742</v>
      </c>
      <c r="E162" s="35">
        <v>1.07</v>
      </c>
      <c r="F162" s="97">
        <f t="shared" si="3"/>
        <v>8.8732344693531751E-4</v>
      </c>
    </row>
    <row r="163" spans="4:6" x14ac:dyDescent="0.25">
      <c r="D163" s="36">
        <v>37773</v>
      </c>
      <c r="E163" s="35">
        <v>0.92</v>
      </c>
      <c r="F163" s="97">
        <f t="shared" si="3"/>
        <v>7.6345276388134486E-4</v>
      </c>
    </row>
    <row r="164" spans="4:6" x14ac:dyDescent="0.25">
      <c r="D164" s="36">
        <v>37803</v>
      </c>
      <c r="E164" s="35">
        <v>0.9</v>
      </c>
      <c r="F164" s="97">
        <f t="shared" si="3"/>
        <v>7.4692392313879807E-4</v>
      </c>
    </row>
    <row r="165" spans="4:6" x14ac:dyDescent="0.25">
      <c r="D165" s="36">
        <v>37834</v>
      </c>
      <c r="E165" s="35">
        <v>0.95</v>
      </c>
      <c r="F165" s="97">
        <f t="shared" si="3"/>
        <v>7.8824039586966599E-4</v>
      </c>
    </row>
    <row r="166" spans="4:6" x14ac:dyDescent="0.25">
      <c r="D166" s="36">
        <v>37865</v>
      </c>
      <c r="E166" s="35">
        <v>0.94</v>
      </c>
      <c r="F166" s="97">
        <f t="shared" si="3"/>
        <v>7.7997860223355531E-4</v>
      </c>
    </row>
    <row r="167" spans="4:6" x14ac:dyDescent="0.25">
      <c r="D167" s="36">
        <v>37895</v>
      </c>
      <c r="E167" s="35">
        <v>0.92</v>
      </c>
      <c r="F167" s="97">
        <f t="shared" si="3"/>
        <v>7.6345276388134486E-4</v>
      </c>
    </row>
    <row r="168" spans="4:6" x14ac:dyDescent="0.25">
      <c r="D168" s="36">
        <v>37926</v>
      </c>
      <c r="E168" s="35">
        <v>0.93</v>
      </c>
      <c r="F168" s="97">
        <f t="shared" si="3"/>
        <v>7.7171605828496581E-4</v>
      </c>
    </row>
    <row r="169" spans="4:6" x14ac:dyDescent="0.25">
      <c r="D169" s="36">
        <v>37956</v>
      </c>
      <c r="E169" s="35">
        <v>0.9</v>
      </c>
      <c r="F169" s="97">
        <f t="shared" si="3"/>
        <v>7.4692392313879807E-4</v>
      </c>
    </row>
    <row r="170" spans="4:6" x14ac:dyDescent="0.25">
      <c r="D170" s="36">
        <v>37987</v>
      </c>
      <c r="E170" s="35">
        <v>0.88</v>
      </c>
      <c r="F170" s="97">
        <f t="shared" si="3"/>
        <v>7.303920788652718E-4</v>
      </c>
    </row>
    <row r="171" spans="4:6" x14ac:dyDescent="0.25">
      <c r="D171" s="36">
        <v>38018</v>
      </c>
      <c r="E171" s="35">
        <v>0.93</v>
      </c>
      <c r="F171" s="97">
        <f t="shared" si="3"/>
        <v>7.7171605828496581E-4</v>
      </c>
    </row>
    <row r="172" spans="4:6" x14ac:dyDescent="0.25">
      <c r="D172" s="36">
        <v>38047</v>
      </c>
      <c r="E172" s="35">
        <v>0.94</v>
      </c>
      <c r="F172" s="97">
        <f t="shared" si="3"/>
        <v>7.7997860223355531E-4</v>
      </c>
    </row>
    <row r="173" spans="4:6" x14ac:dyDescent="0.25">
      <c r="D173" s="36">
        <v>38078</v>
      </c>
      <c r="E173" s="35">
        <v>0.94</v>
      </c>
      <c r="F173" s="97">
        <f t="shared" si="3"/>
        <v>7.7997860223355531E-4</v>
      </c>
    </row>
    <row r="174" spans="4:6" x14ac:dyDescent="0.25">
      <c r="D174" s="36">
        <v>38108</v>
      </c>
      <c r="E174" s="35">
        <v>1.02</v>
      </c>
      <c r="F174" s="97">
        <f t="shared" si="3"/>
        <v>8.4605195453169024E-4</v>
      </c>
    </row>
    <row r="175" spans="4:6" x14ac:dyDescent="0.25">
      <c r="D175" s="36">
        <v>38139</v>
      </c>
      <c r="E175" s="35">
        <v>1.27</v>
      </c>
      <c r="F175" s="97">
        <f t="shared" si="3"/>
        <v>1.0522224777222977E-3</v>
      </c>
    </row>
    <row r="176" spans="4:6" x14ac:dyDescent="0.25">
      <c r="D176" s="36">
        <v>38169</v>
      </c>
      <c r="E176" s="35">
        <v>1.33</v>
      </c>
      <c r="F176" s="97">
        <f t="shared" si="3"/>
        <v>1.1016339761076299E-3</v>
      </c>
    </row>
    <row r="177" spans="4:6" x14ac:dyDescent="0.25">
      <c r="D177" s="36">
        <v>38200</v>
      </c>
      <c r="E177" s="35">
        <v>1.48</v>
      </c>
      <c r="F177" s="97">
        <f t="shared" si="3"/>
        <v>1.2250454845410541E-3</v>
      </c>
    </row>
    <row r="178" spans="4:6" x14ac:dyDescent="0.25">
      <c r="D178" s="36">
        <v>38231</v>
      </c>
      <c r="E178" s="35">
        <v>1.65</v>
      </c>
      <c r="F178" s="97">
        <f t="shared" si="3"/>
        <v>1.364709877352599E-3</v>
      </c>
    </row>
    <row r="179" spans="4:6" x14ac:dyDescent="0.25">
      <c r="D179" s="36">
        <v>38261</v>
      </c>
      <c r="E179" s="35">
        <v>1.76</v>
      </c>
      <c r="F179" s="97">
        <f t="shared" si="3"/>
        <v>1.4549669057570824E-3</v>
      </c>
    </row>
    <row r="180" spans="4:6" x14ac:dyDescent="0.25">
      <c r="D180" s="36">
        <v>38292</v>
      </c>
      <c r="E180" s="35">
        <v>2.0699999999999998</v>
      </c>
      <c r="F180" s="97">
        <f t="shared" si="3"/>
        <v>1.7088472872288651E-3</v>
      </c>
    </row>
    <row r="181" spans="4:6" x14ac:dyDescent="0.25">
      <c r="D181" s="36">
        <v>38322</v>
      </c>
      <c r="E181" s="35">
        <v>2.19</v>
      </c>
      <c r="F181" s="97">
        <f t="shared" si="3"/>
        <v>1.8069338440696026E-3</v>
      </c>
    </row>
    <row r="182" spans="4:6" x14ac:dyDescent="0.25">
      <c r="D182" s="36">
        <v>38353</v>
      </c>
      <c r="E182" s="35">
        <v>2.33</v>
      </c>
      <c r="F182" s="97">
        <f t="shared" si="3"/>
        <v>1.921234803683225E-3</v>
      </c>
    </row>
    <row r="183" spans="4:6" x14ac:dyDescent="0.25">
      <c r="D183" s="36">
        <v>38384</v>
      </c>
      <c r="E183" s="35">
        <v>2.54</v>
      </c>
      <c r="F183" s="97">
        <f t="shared" si="3"/>
        <v>2.0924177544194844E-3</v>
      </c>
    </row>
    <row r="184" spans="4:6" x14ac:dyDescent="0.25">
      <c r="D184" s="36">
        <v>38412</v>
      </c>
      <c r="E184" s="35">
        <v>2.74</v>
      </c>
      <c r="F184" s="97">
        <f t="shared" si="3"/>
        <v>2.2551506231971441E-3</v>
      </c>
    </row>
    <row r="185" spans="4:6" x14ac:dyDescent="0.25">
      <c r="D185" s="36">
        <v>38443</v>
      </c>
      <c r="E185" s="35">
        <v>2.78</v>
      </c>
      <c r="F185" s="97">
        <f t="shared" si="3"/>
        <v>2.2876623469241242E-3</v>
      </c>
    </row>
    <row r="186" spans="4:6" x14ac:dyDescent="0.25">
      <c r="D186" s="36">
        <v>38473</v>
      </c>
      <c r="E186" s="35">
        <v>2.84</v>
      </c>
      <c r="F186" s="97">
        <f t="shared" si="3"/>
        <v>2.3364081918575419E-3</v>
      </c>
    </row>
    <row r="187" spans="4:6" x14ac:dyDescent="0.25">
      <c r="D187" s="36">
        <v>38504</v>
      </c>
      <c r="E187" s="35">
        <v>2.97</v>
      </c>
      <c r="F187" s="97">
        <f t="shared" si="3"/>
        <v>2.441934817957403E-3</v>
      </c>
    </row>
    <row r="188" spans="4:6" x14ac:dyDescent="0.25">
      <c r="D188" s="36">
        <v>38534</v>
      </c>
      <c r="E188" s="35">
        <v>3.22</v>
      </c>
      <c r="F188" s="97">
        <f t="shared" si="3"/>
        <v>2.6445278387947635E-3</v>
      </c>
    </row>
    <row r="189" spans="4:6" x14ac:dyDescent="0.25">
      <c r="D189" s="36">
        <v>38565</v>
      </c>
      <c r="E189" s="35">
        <v>3.44</v>
      </c>
      <c r="F189" s="97">
        <f t="shared" si="3"/>
        <v>2.8224379721812909E-3</v>
      </c>
    </row>
    <row r="190" spans="4:6" x14ac:dyDescent="0.25">
      <c r="D190" s="36">
        <v>38596</v>
      </c>
      <c r="E190" s="35">
        <v>3.42</v>
      </c>
      <c r="F190" s="97">
        <f t="shared" si="3"/>
        <v>2.8062786637694792E-3</v>
      </c>
    </row>
    <row r="191" spans="4:6" x14ac:dyDescent="0.25">
      <c r="D191" s="36">
        <v>38626</v>
      </c>
      <c r="E191" s="35">
        <v>3.71</v>
      </c>
      <c r="F191" s="97">
        <f t="shared" si="3"/>
        <v>3.0403087768253734E-3</v>
      </c>
    </row>
    <row r="192" spans="4:6" x14ac:dyDescent="0.25">
      <c r="D192" s="36">
        <v>38657</v>
      </c>
      <c r="E192" s="35">
        <v>3.88</v>
      </c>
      <c r="F192" s="97">
        <f t="shared" si="3"/>
        <v>3.1772200986699417E-3</v>
      </c>
    </row>
    <row r="193" spans="4:6" x14ac:dyDescent="0.25">
      <c r="D193" s="36">
        <v>38687</v>
      </c>
      <c r="E193" s="35">
        <v>3.89</v>
      </c>
      <c r="F193" s="97">
        <f t="shared" si="3"/>
        <v>3.1852673082803928E-3</v>
      </c>
    </row>
    <row r="194" spans="4:6" x14ac:dyDescent="0.25">
      <c r="D194" s="36">
        <v>38718</v>
      </c>
      <c r="E194" s="35">
        <v>4.24</v>
      </c>
      <c r="F194" s="97">
        <f t="shared" si="3"/>
        <v>3.4664732719604796E-3</v>
      </c>
    </row>
    <row r="195" spans="4:6" x14ac:dyDescent="0.25">
      <c r="D195" s="36">
        <v>38749</v>
      </c>
      <c r="E195" s="35">
        <v>4.43</v>
      </c>
      <c r="F195" s="97">
        <f t="shared" ref="F195:F258" si="4">(1+E195/100)^(1/12)-1</f>
        <v>3.6187656874400176E-3</v>
      </c>
    </row>
    <row r="196" spans="4:6" x14ac:dyDescent="0.25">
      <c r="D196" s="36">
        <v>38777</v>
      </c>
      <c r="E196" s="35">
        <v>4.51</v>
      </c>
      <c r="F196" s="97">
        <f t="shared" si="4"/>
        <v>3.6828128357737633E-3</v>
      </c>
    </row>
    <row r="197" spans="4:6" x14ac:dyDescent="0.25">
      <c r="D197" s="36">
        <v>38808</v>
      </c>
      <c r="E197" s="35">
        <v>4.5999999999999996</v>
      </c>
      <c r="F197" s="97">
        <f t="shared" si="4"/>
        <v>3.7548121811461499E-3</v>
      </c>
    </row>
    <row r="198" spans="4:6" x14ac:dyDescent="0.25">
      <c r="D198" s="36">
        <v>38838</v>
      </c>
      <c r="E198" s="35">
        <v>4.72</v>
      </c>
      <c r="F198" s="97">
        <f t="shared" si="4"/>
        <v>3.8507230235700352E-3</v>
      </c>
    </row>
    <row r="199" spans="4:6" x14ac:dyDescent="0.25">
      <c r="D199" s="36">
        <v>38869</v>
      </c>
      <c r="E199" s="35">
        <v>4.79</v>
      </c>
      <c r="F199" s="97">
        <f t="shared" si="4"/>
        <v>3.9066244998400279E-3</v>
      </c>
    </row>
    <row r="200" spans="4:6" x14ac:dyDescent="0.25">
      <c r="D200" s="36">
        <v>38899</v>
      </c>
      <c r="E200" s="35">
        <v>4.95</v>
      </c>
      <c r="F200" s="97">
        <f t="shared" si="4"/>
        <v>4.0342708735832122E-3</v>
      </c>
    </row>
    <row r="201" spans="4:6" x14ac:dyDescent="0.25">
      <c r="D201" s="36">
        <v>38930</v>
      </c>
      <c r="E201" s="35">
        <v>4.96</v>
      </c>
      <c r="F201" s="97">
        <f t="shared" si="4"/>
        <v>4.0422428477437933E-3</v>
      </c>
    </row>
    <row r="202" spans="4:6" x14ac:dyDescent="0.25">
      <c r="D202" s="36">
        <v>38961</v>
      </c>
      <c r="E202" s="35">
        <v>4.8099999999999996</v>
      </c>
      <c r="F202" s="97">
        <f t="shared" si="4"/>
        <v>3.9225900629809018E-3</v>
      </c>
    </row>
    <row r="203" spans="4:6" x14ac:dyDescent="0.25">
      <c r="D203" s="36">
        <v>38991</v>
      </c>
      <c r="E203" s="35">
        <v>4.92</v>
      </c>
      <c r="F203" s="97">
        <f t="shared" si="4"/>
        <v>4.0103507726252374E-3</v>
      </c>
    </row>
    <row r="204" spans="4:6" x14ac:dyDescent="0.25">
      <c r="D204" s="36">
        <v>39022</v>
      </c>
      <c r="E204" s="35">
        <v>4.9400000000000004</v>
      </c>
      <c r="F204" s="97">
        <f t="shared" si="4"/>
        <v>4.026298203094747E-3</v>
      </c>
    </row>
    <row r="205" spans="4:6" x14ac:dyDescent="0.25">
      <c r="D205" s="36">
        <v>39052</v>
      </c>
      <c r="E205" s="35">
        <v>4.8499999999999996</v>
      </c>
      <c r="F205" s="97">
        <f t="shared" si="4"/>
        <v>3.9545128129423457E-3</v>
      </c>
    </row>
    <row r="206" spans="4:6" x14ac:dyDescent="0.25">
      <c r="D206" s="36">
        <v>39083</v>
      </c>
      <c r="E206" s="35">
        <v>4.9800000000000004</v>
      </c>
      <c r="F206" s="97">
        <f t="shared" si="4"/>
        <v>4.0581847075893407E-3</v>
      </c>
    </row>
    <row r="207" spans="4:6" x14ac:dyDescent="0.25">
      <c r="D207" s="36">
        <v>39114</v>
      </c>
      <c r="E207" s="35">
        <v>5.03</v>
      </c>
      <c r="F207" s="97">
        <f t="shared" si="4"/>
        <v>4.0980271803598978E-3</v>
      </c>
    </row>
    <row r="208" spans="4:6" x14ac:dyDescent="0.25">
      <c r="D208" s="36">
        <v>39142</v>
      </c>
      <c r="E208" s="35">
        <v>4.9400000000000004</v>
      </c>
      <c r="F208" s="97">
        <f t="shared" si="4"/>
        <v>4.026298203094747E-3</v>
      </c>
    </row>
    <row r="209" spans="4:6" x14ac:dyDescent="0.25">
      <c r="D209" s="36">
        <v>39173</v>
      </c>
      <c r="E209" s="35">
        <v>4.87</v>
      </c>
      <c r="F209" s="97">
        <f t="shared" si="4"/>
        <v>3.9704700018041716E-3</v>
      </c>
    </row>
    <row r="210" spans="4:6" x14ac:dyDescent="0.25">
      <c r="D210" s="36">
        <v>39203</v>
      </c>
      <c r="E210" s="35">
        <v>4.7300000000000004</v>
      </c>
      <c r="F210" s="97">
        <f t="shared" si="4"/>
        <v>3.8587110455146068E-3</v>
      </c>
    </row>
    <row r="211" spans="4:6" x14ac:dyDescent="0.25">
      <c r="D211" s="36">
        <v>39234</v>
      </c>
      <c r="E211" s="35">
        <v>4.6100000000000003</v>
      </c>
      <c r="F211" s="97">
        <f t="shared" si="4"/>
        <v>3.7628086026935126E-3</v>
      </c>
    </row>
    <row r="212" spans="4:6" x14ac:dyDescent="0.25">
      <c r="D212" s="36">
        <v>39264</v>
      </c>
      <c r="E212" s="35">
        <v>4.82</v>
      </c>
      <c r="F212" s="97">
        <f t="shared" si="4"/>
        <v>3.9305717973199261E-3</v>
      </c>
    </row>
    <row r="213" spans="4:6" x14ac:dyDescent="0.25">
      <c r="D213" s="36">
        <v>39295</v>
      </c>
      <c r="E213" s="35">
        <v>4.2</v>
      </c>
      <c r="F213" s="97">
        <f t="shared" si="4"/>
        <v>3.4343792900468628E-3</v>
      </c>
    </row>
    <row r="214" spans="4:6" x14ac:dyDescent="0.25">
      <c r="D214" s="36">
        <v>39326</v>
      </c>
      <c r="E214" s="35">
        <v>3.89</v>
      </c>
      <c r="F214" s="97">
        <f t="shared" si="4"/>
        <v>3.1852673082803928E-3</v>
      </c>
    </row>
    <row r="215" spans="4:6" x14ac:dyDescent="0.25">
      <c r="D215" s="36">
        <v>39356</v>
      </c>
      <c r="E215" s="35">
        <v>3.9</v>
      </c>
      <c r="F215" s="97">
        <f t="shared" si="4"/>
        <v>3.1933138078821255E-3</v>
      </c>
    </row>
    <row r="216" spans="4:6" x14ac:dyDescent="0.25">
      <c r="D216" s="36">
        <v>39387</v>
      </c>
      <c r="E216" s="35">
        <v>3.27</v>
      </c>
      <c r="F216" s="97">
        <f t="shared" si="4"/>
        <v>2.6849924609559928E-3</v>
      </c>
    </row>
    <row r="217" spans="4:6" x14ac:dyDescent="0.25">
      <c r="D217" s="36">
        <v>39417</v>
      </c>
      <c r="E217" s="35">
        <v>3</v>
      </c>
      <c r="F217" s="97">
        <f t="shared" si="4"/>
        <v>2.4662697723036864E-3</v>
      </c>
    </row>
    <row r="218" spans="4:6" x14ac:dyDescent="0.25">
      <c r="D218" s="36">
        <v>39448</v>
      </c>
      <c r="E218" s="35">
        <v>2.75</v>
      </c>
      <c r="F218" s="97">
        <f t="shared" si="4"/>
        <v>2.2632796417700884E-3</v>
      </c>
    </row>
    <row r="219" spans="4:6" x14ac:dyDescent="0.25">
      <c r="D219" s="36">
        <v>39479</v>
      </c>
      <c r="E219" s="35">
        <v>2.12</v>
      </c>
      <c r="F219" s="97">
        <f t="shared" si="4"/>
        <v>1.7497295255153311E-3</v>
      </c>
    </row>
    <row r="220" spans="4:6" x14ac:dyDescent="0.25">
      <c r="D220" s="36">
        <v>39508</v>
      </c>
      <c r="E220" s="35">
        <v>1.26</v>
      </c>
      <c r="F220" s="97">
        <f t="shared" si="4"/>
        <v>1.0439846190974933E-3</v>
      </c>
    </row>
    <row r="221" spans="4:6" x14ac:dyDescent="0.25">
      <c r="D221" s="36">
        <v>39539</v>
      </c>
      <c r="E221" s="35">
        <v>1.29</v>
      </c>
      <c r="F221" s="97">
        <f t="shared" si="4"/>
        <v>1.0686959582126843E-3</v>
      </c>
    </row>
    <row r="222" spans="4:6" x14ac:dyDescent="0.25">
      <c r="D222" s="36">
        <v>39569</v>
      </c>
      <c r="E222" s="35">
        <v>1.73</v>
      </c>
      <c r="F222" s="97">
        <f t="shared" si="4"/>
        <v>1.4303602255574255E-3</v>
      </c>
    </row>
    <row r="223" spans="4:6" x14ac:dyDescent="0.25">
      <c r="D223" s="36">
        <v>39600</v>
      </c>
      <c r="E223" s="35">
        <v>1.86</v>
      </c>
      <c r="F223" s="97">
        <f t="shared" si="4"/>
        <v>1.5369411743291206E-3</v>
      </c>
    </row>
    <row r="224" spans="4:6" x14ac:dyDescent="0.25">
      <c r="D224" s="36">
        <v>39630</v>
      </c>
      <c r="E224" s="35">
        <v>1.63</v>
      </c>
      <c r="F224" s="97">
        <f t="shared" si="4"/>
        <v>1.3482898900922802E-3</v>
      </c>
    </row>
    <row r="225" spans="4:6" x14ac:dyDescent="0.25">
      <c r="D225" s="36">
        <v>39661</v>
      </c>
      <c r="E225" s="35">
        <v>1.72</v>
      </c>
      <c r="F225" s="97">
        <f t="shared" si="4"/>
        <v>1.422156520640705E-3</v>
      </c>
    </row>
    <row r="226" spans="4:6" x14ac:dyDescent="0.25">
      <c r="D226" s="36">
        <v>39692</v>
      </c>
      <c r="E226" s="35">
        <v>1.1299999999999999</v>
      </c>
      <c r="F226" s="97">
        <f t="shared" si="4"/>
        <v>9.3682454006915883E-4</v>
      </c>
    </row>
    <row r="227" spans="4:6" x14ac:dyDescent="0.25">
      <c r="D227" s="36">
        <v>39722</v>
      </c>
      <c r="E227" s="35">
        <v>0.67</v>
      </c>
      <c r="F227" s="97">
        <f t="shared" si="4"/>
        <v>5.5662608827478088E-4</v>
      </c>
    </row>
    <row r="228" spans="4:6" x14ac:dyDescent="0.25">
      <c r="D228" s="36">
        <v>39753</v>
      </c>
      <c r="E228" s="35">
        <v>0.19</v>
      </c>
      <c r="F228" s="97">
        <f t="shared" si="4"/>
        <v>1.5819561853080977E-4</v>
      </c>
    </row>
    <row r="229" spans="4:6" x14ac:dyDescent="0.25">
      <c r="D229" s="36">
        <v>39783</v>
      </c>
      <c r="E229" s="35">
        <v>0.03</v>
      </c>
      <c r="F229" s="97">
        <f t="shared" si="4"/>
        <v>2.4996563158685703E-5</v>
      </c>
    </row>
    <row r="230" spans="4:6" x14ac:dyDescent="0.25">
      <c r="D230" s="36">
        <v>39814</v>
      </c>
      <c r="E230" s="35">
        <v>0.13</v>
      </c>
      <c r="F230" s="97">
        <f t="shared" si="4"/>
        <v>1.0826883828274347E-4</v>
      </c>
    </row>
    <row r="231" spans="4:6" x14ac:dyDescent="0.25">
      <c r="D231" s="36">
        <v>39845</v>
      </c>
      <c r="E231" s="35">
        <v>0.3</v>
      </c>
      <c r="F231" s="97">
        <f t="shared" si="4"/>
        <v>2.4965690741618474E-4</v>
      </c>
    </row>
    <row r="232" spans="4:6" x14ac:dyDescent="0.25">
      <c r="D232" s="36">
        <v>39873</v>
      </c>
      <c r="E232" s="35">
        <v>0.21</v>
      </c>
      <c r="F232" s="97">
        <f t="shared" si="4"/>
        <v>1.7483178814159395E-4</v>
      </c>
    </row>
    <row r="233" spans="4:6" x14ac:dyDescent="0.25">
      <c r="D233" s="36">
        <v>39904</v>
      </c>
      <c r="E233" s="35">
        <v>0.16</v>
      </c>
      <c r="F233" s="97">
        <f t="shared" si="4"/>
        <v>1.3323565538980731E-4</v>
      </c>
    </row>
    <row r="234" spans="4:6" x14ac:dyDescent="0.25">
      <c r="D234" s="36">
        <v>39934</v>
      </c>
      <c r="E234" s="35">
        <v>0.18</v>
      </c>
      <c r="F234" s="97">
        <f t="shared" si="4"/>
        <v>1.4987639212593606E-4</v>
      </c>
    </row>
    <row r="235" spans="4:6" x14ac:dyDescent="0.25">
      <c r="D235" s="36">
        <v>39965</v>
      </c>
      <c r="E235" s="35">
        <v>0.18</v>
      </c>
      <c r="F235" s="97">
        <f t="shared" si="4"/>
        <v>1.4987639212593606E-4</v>
      </c>
    </row>
    <row r="236" spans="4:6" x14ac:dyDescent="0.25">
      <c r="D236" s="36">
        <v>39995</v>
      </c>
      <c r="E236" s="35">
        <v>0.18</v>
      </c>
      <c r="F236" s="97">
        <f t="shared" si="4"/>
        <v>1.4987639212593606E-4</v>
      </c>
    </row>
    <row r="237" spans="4:6" x14ac:dyDescent="0.25">
      <c r="D237" s="36">
        <v>40026</v>
      </c>
      <c r="E237" s="35">
        <v>0.17</v>
      </c>
      <c r="F237" s="97">
        <f t="shared" si="4"/>
        <v>1.4155640446089635E-4</v>
      </c>
    </row>
    <row r="238" spans="4:6" x14ac:dyDescent="0.25">
      <c r="D238" s="36">
        <v>40057</v>
      </c>
      <c r="E238" s="35">
        <v>0.12</v>
      </c>
      <c r="F238" s="97">
        <f t="shared" si="4"/>
        <v>9.9945042129734318E-5</v>
      </c>
    </row>
    <row r="239" spans="4:6" x14ac:dyDescent="0.25">
      <c r="D239" s="36">
        <v>40087</v>
      </c>
      <c r="E239" s="35">
        <v>7.0000000000000007E-2</v>
      </c>
      <c r="F239" s="97">
        <f t="shared" si="4"/>
        <v>5.8314626421251958E-5</v>
      </c>
    </row>
    <row r="240" spans="4:6" x14ac:dyDescent="0.25">
      <c r="D240" s="36">
        <v>40118</v>
      </c>
      <c r="E240" s="35">
        <v>0.05</v>
      </c>
      <c r="F240" s="97">
        <f t="shared" si="4"/>
        <v>4.1657121104599071E-5</v>
      </c>
    </row>
    <row r="241" spans="4:6" x14ac:dyDescent="0.25">
      <c r="D241" s="36">
        <v>40148</v>
      </c>
      <c r="E241" s="35">
        <v>0.05</v>
      </c>
      <c r="F241" s="97">
        <f t="shared" si="4"/>
        <v>4.1657121104599071E-5</v>
      </c>
    </row>
    <row r="242" spans="4:6" x14ac:dyDescent="0.25">
      <c r="D242" s="36">
        <v>40179</v>
      </c>
      <c r="E242" s="35">
        <v>0.06</v>
      </c>
      <c r="F242" s="97">
        <f t="shared" si="4"/>
        <v>4.99862552685304E-5</v>
      </c>
    </row>
    <row r="243" spans="4:6" x14ac:dyDescent="0.25">
      <c r="D243" s="36">
        <v>40210</v>
      </c>
      <c r="E243" s="35">
        <v>0.11</v>
      </c>
      <c r="F243" s="97">
        <f t="shared" si="4"/>
        <v>9.1620483841925449E-5</v>
      </c>
    </row>
    <row r="244" spans="4:6" x14ac:dyDescent="0.25">
      <c r="D244" s="36">
        <v>40238</v>
      </c>
      <c r="E244" s="35">
        <v>0.15</v>
      </c>
      <c r="F244" s="97">
        <f t="shared" si="4"/>
        <v>1.2491414476678564E-4</v>
      </c>
    </row>
    <row r="245" spans="4:6" x14ac:dyDescent="0.25">
      <c r="D245" s="36">
        <v>40269</v>
      </c>
      <c r="E245" s="35">
        <v>0.16</v>
      </c>
      <c r="F245" s="97">
        <f t="shared" si="4"/>
        <v>1.3323565538980731E-4</v>
      </c>
    </row>
    <row r="246" spans="4:6" x14ac:dyDescent="0.25">
      <c r="D246" s="36">
        <v>40299</v>
      </c>
      <c r="E246" s="35">
        <v>0.16</v>
      </c>
      <c r="F246" s="97">
        <f t="shared" si="4"/>
        <v>1.3323565538980731E-4</v>
      </c>
    </row>
    <row r="247" spans="4:6" x14ac:dyDescent="0.25">
      <c r="D247" s="36">
        <v>40330</v>
      </c>
      <c r="E247" s="35">
        <v>0.12</v>
      </c>
      <c r="F247" s="97">
        <f t="shared" si="4"/>
        <v>9.9945042129734318E-5</v>
      </c>
    </row>
    <row r="248" spans="4:6" x14ac:dyDescent="0.25">
      <c r="D248" s="36">
        <v>40360</v>
      </c>
      <c r="E248" s="35">
        <v>0.16</v>
      </c>
      <c r="F248" s="97">
        <f t="shared" si="4"/>
        <v>1.3323565538980731E-4</v>
      </c>
    </row>
    <row r="249" spans="4:6" x14ac:dyDescent="0.25">
      <c r="D249" s="36">
        <v>40391</v>
      </c>
      <c r="E249" s="35">
        <v>0.16</v>
      </c>
      <c r="F249" s="97">
        <f t="shared" si="4"/>
        <v>1.3323565538980731E-4</v>
      </c>
    </row>
    <row r="250" spans="4:6" x14ac:dyDescent="0.25">
      <c r="D250" s="36">
        <v>40422</v>
      </c>
      <c r="E250" s="35">
        <v>0.15</v>
      </c>
      <c r="F250" s="97">
        <f t="shared" si="4"/>
        <v>1.2491414476678564E-4</v>
      </c>
    </row>
    <row r="251" spans="4:6" x14ac:dyDescent="0.25">
      <c r="D251" s="36">
        <v>40452</v>
      </c>
      <c r="E251" s="35">
        <v>0.13</v>
      </c>
      <c r="F251" s="97">
        <f t="shared" si="4"/>
        <v>1.0826883828274347E-4</v>
      </c>
    </row>
    <row r="252" spans="4:6" x14ac:dyDescent="0.25">
      <c r="D252" s="36">
        <v>40483</v>
      </c>
      <c r="E252" s="35">
        <v>0.14000000000000001</v>
      </c>
      <c r="F252" s="97">
        <f t="shared" si="4"/>
        <v>1.1659187244639213E-4</v>
      </c>
    </row>
    <row r="253" spans="4:6" x14ac:dyDescent="0.25">
      <c r="D253" s="36">
        <v>40513</v>
      </c>
      <c r="E253" s="35">
        <v>0.14000000000000001</v>
      </c>
      <c r="F253" s="97">
        <f t="shared" si="4"/>
        <v>1.1659187244639213E-4</v>
      </c>
    </row>
    <row r="254" spans="4:6" x14ac:dyDescent="0.25">
      <c r="D254" s="36">
        <v>40544</v>
      </c>
      <c r="E254" s="35">
        <v>0.15</v>
      </c>
      <c r="F254" s="97">
        <f t="shared" si="4"/>
        <v>1.2491414476678564E-4</v>
      </c>
    </row>
    <row r="255" spans="4:6" x14ac:dyDescent="0.25">
      <c r="D255" s="36">
        <v>40575</v>
      </c>
      <c r="E255" s="35">
        <v>0.13</v>
      </c>
      <c r="F255" s="97">
        <f t="shared" si="4"/>
        <v>1.0826883828274347E-4</v>
      </c>
    </row>
    <row r="256" spans="4:6" x14ac:dyDescent="0.25">
      <c r="D256" s="36">
        <v>40603</v>
      </c>
      <c r="E256" s="35">
        <v>0.1</v>
      </c>
      <c r="F256" s="97">
        <f t="shared" si="4"/>
        <v>8.3295163273211514E-5</v>
      </c>
    </row>
    <row r="257" spans="4:6" x14ac:dyDescent="0.25">
      <c r="D257" s="36">
        <v>40634</v>
      </c>
      <c r="E257" s="35">
        <v>0.06</v>
      </c>
      <c r="F257" s="97">
        <f t="shared" si="4"/>
        <v>4.99862552685304E-5</v>
      </c>
    </row>
    <row r="258" spans="4:6" x14ac:dyDescent="0.25">
      <c r="D258" s="36">
        <v>40664</v>
      </c>
      <c r="E258" s="35">
        <v>0.04</v>
      </c>
      <c r="F258" s="97">
        <f t="shared" si="4"/>
        <v>3.3327223783574667E-5</v>
      </c>
    </row>
    <row r="259" spans="4:6" x14ac:dyDescent="0.25">
      <c r="D259" s="36">
        <v>40695</v>
      </c>
      <c r="E259" s="35">
        <v>0.04</v>
      </c>
      <c r="F259" s="97">
        <f t="shared" ref="F259:F298" si="5">(1+E259/100)^(1/12)-1</f>
        <v>3.3327223783574667E-5</v>
      </c>
    </row>
    <row r="260" spans="4:6" x14ac:dyDescent="0.25">
      <c r="D260" s="36">
        <v>40725</v>
      </c>
      <c r="E260" s="35">
        <v>0.04</v>
      </c>
      <c r="F260" s="97">
        <f t="shared" si="5"/>
        <v>3.3327223783574667E-5</v>
      </c>
    </row>
    <row r="261" spans="4:6" x14ac:dyDescent="0.25">
      <c r="D261" s="36">
        <v>40756</v>
      </c>
      <c r="E261" s="35">
        <v>0.02</v>
      </c>
      <c r="F261" s="97">
        <f t="shared" si="5"/>
        <v>1.6665139084048874E-5</v>
      </c>
    </row>
    <row r="262" spans="4:6" x14ac:dyDescent="0.25">
      <c r="D262" s="36">
        <v>40787</v>
      </c>
      <c r="E262" s="35">
        <v>0.01</v>
      </c>
      <c r="F262" s="97">
        <f t="shared" si="5"/>
        <v>8.3329514133367866E-6</v>
      </c>
    </row>
    <row r="263" spans="4:6" x14ac:dyDescent="0.25">
      <c r="D263" s="36">
        <v>40817</v>
      </c>
      <c r="E263" s="35">
        <v>0.02</v>
      </c>
      <c r="F263" s="97">
        <f t="shared" si="5"/>
        <v>1.6665139084048874E-5</v>
      </c>
    </row>
    <row r="264" spans="4:6" x14ac:dyDescent="0.25">
      <c r="D264" s="36">
        <v>40848</v>
      </c>
      <c r="E264" s="35">
        <v>0.01</v>
      </c>
      <c r="F264" s="97">
        <f t="shared" si="5"/>
        <v>8.3329514133367866E-6</v>
      </c>
    </row>
    <row r="265" spans="4:6" x14ac:dyDescent="0.25">
      <c r="D265" s="36">
        <v>40878</v>
      </c>
      <c r="E265" s="35">
        <v>0.01</v>
      </c>
      <c r="F265" s="97">
        <f t="shared" si="5"/>
        <v>8.3329514133367866E-6</v>
      </c>
    </row>
    <row r="266" spans="4:6" x14ac:dyDescent="0.25">
      <c r="D266" s="36">
        <v>40909</v>
      </c>
      <c r="E266" s="35">
        <v>0.03</v>
      </c>
      <c r="F266" s="97">
        <f t="shared" si="5"/>
        <v>2.4996563158685703E-5</v>
      </c>
    </row>
    <row r="267" spans="4:6" x14ac:dyDescent="0.25">
      <c r="D267" s="36">
        <v>40940</v>
      </c>
      <c r="E267" s="35">
        <v>0.09</v>
      </c>
      <c r="F267" s="97">
        <f t="shared" si="5"/>
        <v>7.4969080277487166E-5</v>
      </c>
    </row>
    <row r="268" spans="4:6" x14ac:dyDescent="0.25">
      <c r="D268" s="36">
        <v>40969</v>
      </c>
      <c r="E268" s="35">
        <v>0.08</v>
      </c>
      <c r="F268" s="97">
        <f t="shared" si="5"/>
        <v>6.6642234708869097E-5</v>
      </c>
    </row>
    <row r="269" spans="4:6" x14ac:dyDescent="0.25">
      <c r="D269" s="36">
        <v>41000</v>
      </c>
      <c r="E269" s="35">
        <v>0.08</v>
      </c>
      <c r="F269" s="97">
        <f t="shared" si="5"/>
        <v>6.6642234708869097E-5</v>
      </c>
    </row>
    <row r="270" spans="4:6" x14ac:dyDescent="0.25">
      <c r="D270" s="36">
        <v>41030</v>
      </c>
      <c r="E270" s="35">
        <v>0.09</v>
      </c>
      <c r="F270" s="97">
        <f t="shared" si="5"/>
        <v>7.4969080277487166E-5</v>
      </c>
    </row>
    <row r="271" spans="4:6" x14ac:dyDescent="0.25">
      <c r="D271" s="36">
        <v>41061</v>
      </c>
      <c r="E271" s="35">
        <v>0.09</v>
      </c>
      <c r="F271" s="97">
        <f t="shared" si="5"/>
        <v>7.4969080277487166E-5</v>
      </c>
    </row>
    <row r="272" spans="4:6" x14ac:dyDescent="0.25">
      <c r="D272" s="36">
        <v>41091</v>
      </c>
      <c r="E272" s="35">
        <v>0.1</v>
      </c>
      <c r="F272" s="97">
        <f t="shared" si="5"/>
        <v>8.3295163273211514E-5</v>
      </c>
    </row>
    <row r="273" spans="4:6" x14ac:dyDescent="0.25">
      <c r="D273" s="36">
        <v>41122</v>
      </c>
      <c r="E273" s="35">
        <v>0.1</v>
      </c>
      <c r="F273" s="97">
        <f t="shared" si="5"/>
        <v>8.3295163273211514E-5</v>
      </c>
    </row>
    <row r="274" spans="4:6" x14ac:dyDescent="0.25">
      <c r="D274" s="36">
        <v>41153</v>
      </c>
      <c r="E274" s="35">
        <v>0.11</v>
      </c>
      <c r="F274" s="97">
        <f t="shared" si="5"/>
        <v>9.1620483841925449E-5</v>
      </c>
    </row>
    <row r="275" spans="4:6" x14ac:dyDescent="0.25">
      <c r="D275" s="36">
        <v>41183</v>
      </c>
      <c r="E275" s="35">
        <v>0.1</v>
      </c>
      <c r="F275" s="97">
        <f t="shared" si="5"/>
        <v>8.3295163273211514E-5</v>
      </c>
    </row>
    <row r="276" spans="4:6" x14ac:dyDescent="0.25">
      <c r="D276" s="36">
        <v>41214</v>
      </c>
      <c r="E276" s="35">
        <v>0.09</v>
      </c>
      <c r="F276" s="97">
        <f t="shared" si="5"/>
        <v>7.4969080277487166E-5</v>
      </c>
    </row>
    <row r="277" spans="4:6" x14ac:dyDescent="0.25">
      <c r="D277" s="36">
        <v>41244</v>
      </c>
      <c r="E277" s="35">
        <v>7.0000000000000007E-2</v>
      </c>
      <c r="F277" s="97">
        <f t="shared" si="5"/>
        <v>5.8314626421251958E-5</v>
      </c>
    </row>
    <row r="278" spans="4:6" x14ac:dyDescent="0.25">
      <c r="D278" s="36">
        <v>41275</v>
      </c>
      <c r="E278" s="35">
        <v>7.0000000000000007E-2</v>
      </c>
      <c r="F278" s="97">
        <f t="shared" si="5"/>
        <v>5.8314626421251958E-5</v>
      </c>
    </row>
    <row r="279" spans="4:6" x14ac:dyDescent="0.25">
      <c r="D279" s="36">
        <v>41306</v>
      </c>
      <c r="E279" s="35">
        <v>0.1</v>
      </c>
      <c r="F279" s="97">
        <f t="shared" si="5"/>
        <v>8.3295163273211514E-5</v>
      </c>
    </row>
    <row r="280" spans="4:6" x14ac:dyDescent="0.25">
      <c r="D280" s="36">
        <v>41334</v>
      </c>
      <c r="E280" s="35">
        <v>0.09</v>
      </c>
      <c r="F280" s="97">
        <f t="shared" si="5"/>
        <v>7.4969080277487166E-5</v>
      </c>
    </row>
    <row r="281" spans="4:6" x14ac:dyDescent="0.25">
      <c r="D281" s="36">
        <v>41365</v>
      </c>
      <c r="E281" s="35">
        <v>0.06</v>
      </c>
      <c r="F281" s="97">
        <f t="shared" si="5"/>
        <v>4.99862552685304E-5</v>
      </c>
    </row>
    <row r="282" spans="4:6" x14ac:dyDescent="0.25">
      <c r="D282" s="36">
        <v>41395</v>
      </c>
      <c r="E282" s="35">
        <v>0.04</v>
      </c>
      <c r="F282" s="97">
        <f t="shared" si="5"/>
        <v>3.3327223783574667E-5</v>
      </c>
    </row>
    <row r="283" spans="4:6" x14ac:dyDescent="0.25">
      <c r="D283" s="36">
        <v>41426</v>
      </c>
      <c r="E283" s="35">
        <v>0.05</v>
      </c>
      <c r="F283" s="97">
        <f t="shared" si="5"/>
        <v>4.1657121104599071E-5</v>
      </c>
    </row>
    <row r="284" spans="4:6" x14ac:dyDescent="0.25">
      <c r="D284" s="36">
        <v>41456</v>
      </c>
      <c r="E284" s="35">
        <v>0.04</v>
      </c>
      <c r="F284" s="97">
        <f t="shared" si="5"/>
        <v>3.3327223783574667E-5</v>
      </c>
    </row>
    <row r="285" spans="4:6" x14ac:dyDescent="0.25">
      <c r="D285" s="36">
        <v>41487</v>
      </c>
      <c r="E285" s="35">
        <v>0.04</v>
      </c>
      <c r="F285" s="97">
        <f t="shared" si="5"/>
        <v>3.3327223783574667E-5</v>
      </c>
    </row>
    <row r="286" spans="4:6" x14ac:dyDescent="0.25">
      <c r="D286" s="36">
        <v>41518</v>
      </c>
      <c r="E286" s="35">
        <v>0.02</v>
      </c>
      <c r="F286" s="97">
        <f t="shared" si="5"/>
        <v>1.6665139084048874E-5</v>
      </c>
    </row>
    <row r="287" spans="4:6" x14ac:dyDescent="0.25">
      <c r="D287" s="36">
        <v>41548</v>
      </c>
      <c r="E287" s="35">
        <v>0.05</v>
      </c>
      <c r="F287" s="97">
        <f t="shared" si="5"/>
        <v>4.1657121104599071E-5</v>
      </c>
    </row>
    <row r="288" spans="4:6" x14ac:dyDescent="0.25">
      <c r="D288" s="36">
        <v>41579</v>
      </c>
      <c r="E288" s="35">
        <v>7.0000000000000007E-2</v>
      </c>
      <c r="F288" s="97">
        <f t="shared" si="5"/>
        <v>5.8314626421251958E-5</v>
      </c>
    </row>
    <row r="289" spans="4:9" x14ac:dyDescent="0.25">
      <c r="D289" s="36">
        <v>41609</v>
      </c>
      <c r="E289" s="35">
        <v>7.0000000000000007E-2</v>
      </c>
      <c r="F289" s="97">
        <f t="shared" si="5"/>
        <v>5.8314626421251958E-5</v>
      </c>
    </row>
    <row r="290" spans="4:9" x14ac:dyDescent="0.25">
      <c r="D290" s="36">
        <v>41640</v>
      </c>
      <c r="E290" s="35">
        <v>0.04</v>
      </c>
      <c r="F290" s="97">
        <f t="shared" si="5"/>
        <v>3.3327223783574667E-5</v>
      </c>
    </row>
    <row r="291" spans="4:9" x14ac:dyDescent="0.25">
      <c r="D291" s="36">
        <v>41671</v>
      </c>
      <c r="E291" s="35">
        <v>0.05</v>
      </c>
      <c r="F291" s="97">
        <f t="shared" si="5"/>
        <v>4.1657121104599071E-5</v>
      </c>
    </row>
    <row r="292" spans="4:9" x14ac:dyDescent="0.25">
      <c r="D292" s="36">
        <v>41699</v>
      </c>
      <c r="E292" s="35">
        <v>0.05</v>
      </c>
      <c r="F292" s="97">
        <f t="shared" si="5"/>
        <v>4.1657121104599071E-5</v>
      </c>
    </row>
    <row r="293" spans="4:9" x14ac:dyDescent="0.25">
      <c r="D293" s="36">
        <v>41730</v>
      </c>
      <c r="E293" s="35">
        <v>0.03</v>
      </c>
      <c r="F293" s="97">
        <f t="shared" si="5"/>
        <v>2.4996563158685703E-5</v>
      </c>
    </row>
    <row r="294" spans="4:9" x14ac:dyDescent="0.25">
      <c r="D294" s="36">
        <v>41760</v>
      </c>
      <c r="E294" s="35">
        <v>0.03</v>
      </c>
      <c r="F294" s="97">
        <f t="shared" si="5"/>
        <v>2.4996563158685703E-5</v>
      </c>
    </row>
    <row r="295" spans="4:9" x14ac:dyDescent="0.25">
      <c r="D295" s="36">
        <v>41791</v>
      </c>
      <c r="E295" s="35">
        <v>0.04</v>
      </c>
      <c r="F295" s="97">
        <f t="shared" si="5"/>
        <v>3.3327223783574667E-5</v>
      </c>
    </row>
    <row r="296" spans="4:9" x14ac:dyDescent="0.25">
      <c r="D296" s="36">
        <v>41821</v>
      </c>
      <c r="E296" s="35">
        <v>0.03</v>
      </c>
      <c r="F296" s="97">
        <f t="shared" si="5"/>
        <v>2.4996563158685703E-5</v>
      </c>
    </row>
    <row r="297" spans="4:9" x14ac:dyDescent="0.25">
      <c r="D297" s="36">
        <v>41852</v>
      </c>
      <c r="E297" s="35">
        <v>0.03</v>
      </c>
      <c r="F297" s="97">
        <f t="shared" si="5"/>
        <v>2.4996563158685703E-5</v>
      </c>
    </row>
    <row r="298" spans="4:9" x14ac:dyDescent="0.25">
      <c r="D298" s="36">
        <v>41883</v>
      </c>
      <c r="E298" s="35">
        <v>0.02</v>
      </c>
      <c r="F298" s="97">
        <f t="shared" si="5"/>
        <v>1.6665139084048874E-5</v>
      </c>
    </row>
    <row r="299" spans="4:9" x14ac:dyDescent="0.25">
      <c r="I299" s="135"/>
    </row>
    <row r="300" spans="4:9" x14ac:dyDescent="0.25">
      <c r="I300" s="135"/>
    </row>
    <row r="301" spans="4:9" x14ac:dyDescent="0.25">
      <c r="I301" s="135"/>
    </row>
    <row r="302" spans="4:9" x14ac:dyDescent="0.25">
      <c r="I302" s="135"/>
    </row>
    <row r="303" spans="4:9" x14ac:dyDescent="0.25">
      <c r="I303" s="135"/>
    </row>
    <row r="304" spans="4:9" x14ac:dyDescent="0.25">
      <c r="I304" s="135"/>
    </row>
    <row r="305" spans="9:9" x14ac:dyDescent="0.25">
      <c r="I305" s="135"/>
    </row>
    <row r="306" spans="9:9" x14ac:dyDescent="0.25">
      <c r="I306" s="135"/>
    </row>
    <row r="307" spans="9:9" x14ac:dyDescent="0.25">
      <c r="I307" s="135"/>
    </row>
    <row r="308" spans="9:9" x14ac:dyDescent="0.25">
      <c r="I308" s="135"/>
    </row>
    <row r="309" spans="9:9" x14ac:dyDescent="0.25">
      <c r="I309" s="135"/>
    </row>
    <row r="310" spans="9:9" x14ac:dyDescent="0.25">
      <c r="I310" s="135"/>
    </row>
    <row r="311" spans="9:9" x14ac:dyDescent="0.25">
      <c r="I311" s="135"/>
    </row>
    <row r="312" spans="9:9" x14ac:dyDescent="0.25">
      <c r="I312" s="135"/>
    </row>
    <row r="313" spans="9:9" x14ac:dyDescent="0.25">
      <c r="I313" s="135"/>
    </row>
    <row r="314" spans="9:9" x14ac:dyDescent="0.25">
      <c r="I314" s="135"/>
    </row>
    <row r="315" spans="9:9" x14ac:dyDescent="0.25">
      <c r="I315" s="135"/>
    </row>
    <row r="316" spans="9:9" x14ac:dyDescent="0.25">
      <c r="I316" s="135"/>
    </row>
    <row r="317" spans="9:9" x14ac:dyDescent="0.25">
      <c r="I317" s="135"/>
    </row>
    <row r="318" spans="9:9" x14ac:dyDescent="0.25">
      <c r="I318" s="135"/>
    </row>
    <row r="319" spans="9:9" x14ac:dyDescent="0.25">
      <c r="I319" s="135"/>
    </row>
    <row r="320" spans="9:9" x14ac:dyDescent="0.25">
      <c r="I320" s="135"/>
    </row>
    <row r="321" spans="9:9" x14ac:dyDescent="0.25">
      <c r="I321" s="135"/>
    </row>
    <row r="322" spans="9:9" x14ac:dyDescent="0.25">
      <c r="I322" s="135"/>
    </row>
    <row r="323" spans="9:9" x14ac:dyDescent="0.25">
      <c r="I323" s="135"/>
    </row>
    <row r="324" spans="9:9" x14ac:dyDescent="0.25">
      <c r="I324" s="135"/>
    </row>
    <row r="325" spans="9:9" x14ac:dyDescent="0.25">
      <c r="I325" s="135"/>
    </row>
    <row r="326" spans="9:9" x14ac:dyDescent="0.25">
      <c r="I326" s="135"/>
    </row>
    <row r="327" spans="9:9" x14ac:dyDescent="0.25">
      <c r="I327" s="135"/>
    </row>
    <row r="328" spans="9:9" x14ac:dyDescent="0.25">
      <c r="I328" s="135"/>
    </row>
    <row r="329" spans="9:9" x14ac:dyDescent="0.25">
      <c r="I329" s="135"/>
    </row>
    <row r="330" spans="9:9" x14ac:dyDescent="0.25">
      <c r="I330" s="135"/>
    </row>
    <row r="331" spans="9:9" x14ac:dyDescent="0.25">
      <c r="I331" s="135"/>
    </row>
    <row r="332" spans="9:9" x14ac:dyDescent="0.25">
      <c r="I332" s="135"/>
    </row>
    <row r="333" spans="9:9" x14ac:dyDescent="0.25">
      <c r="I333" s="135"/>
    </row>
    <row r="334" spans="9:9" x14ac:dyDescent="0.25">
      <c r="I334" s="135"/>
    </row>
    <row r="335" spans="9:9" x14ac:dyDescent="0.25">
      <c r="I335" s="135"/>
    </row>
    <row r="336" spans="9:9" x14ac:dyDescent="0.25">
      <c r="I336" s="135"/>
    </row>
    <row r="337" spans="9:9" x14ac:dyDescent="0.25">
      <c r="I337" s="135"/>
    </row>
    <row r="338" spans="9:9" x14ac:dyDescent="0.25">
      <c r="I338" s="135"/>
    </row>
    <row r="339" spans="9:9" x14ac:dyDescent="0.25">
      <c r="I339" s="135"/>
    </row>
    <row r="340" spans="9:9" x14ac:dyDescent="0.25">
      <c r="I340" s="135"/>
    </row>
    <row r="341" spans="9:9" x14ac:dyDescent="0.25">
      <c r="I341" s="135"/>
    </row>
    <row r="342" spans="9:9" x14ac:dyDescent="0.25">
      <c r="I342" s="135"/>
    </row>
    <row r="343" spans="9:9" x14ac:dyDescent="0.25">
      <c r="I343" s="135"/>
    </row>
    <row r="344" spans="9:9" x14ac:dyDescent="0.25">
      <c r="I344" s="135"/>
    </row>
    <row r="345" spans="9:9" x14ac:dyDescent="0.25">
      <c r="I345" s="135"/>
    </row>
    <row r="346" spans="9:9" x14ac:dyDescent="0.25">
      <c r="I346" s="135"/>
    </row>
    <row r="347" spans="9:9" x14ac:dyDescent="0.25">
      <c r="I347" s="135"/>
    </row>
    <row r="348" spans="9:9" x14ac:dyDescent="0.25">
      <c r="I348" s="135"/>
    </row>
    <row r="349" spans="9:9" x14ac:dyDescent="0.25">
      <c r="I349" s="135"/>
    </row>
    <row r="350" spans="9:9" x14ac:dyDescent="0.25">
      <c r="I350" s="135"/>
    </row>
    <row r="351" spans="9:9" x14ac:dyDescent="0.25">
      <c r="I351" s="135"/>
    </row>
    <row r="352" spans="9:9" x14ac:dyDescent="0.25">
      <c r="I352" s="135"/>
    </row>
    <row r="353" spans="9:9" x14ac:dyDescent="0.25">
      <c r="I353" s="135"/>
    </row>
    <row r="354" spans="9:9" x14ac:dyDescent="0.25">
      <c r="I354" s="135"/>
    </row>
    <row r="355" spans="9:9" x14ac:dyDescent="0.25">
      <c r="I355" s="135"/>
    </row>
    <row r="356" spans="9:9" x14ac:dyDescent="0.25">
      <c r="I356" s="135"/>
    </row>
    <row r="357" spans="9:9" x14ac:dyDescent="0.25">
      <c r="I357" s="135"/>
    </row>
    <row r="358" spans="9:9" x14ac:dyDescent="0.25">
      <c r="I358" s="135"/>
    </row>
    <row r="359" spans="9:9" x14ac:dyDescent="0.25">
      <c r="I359" s="135"/>
    </row>
    <row r="360" spans="9:9" x14ac:dyDescent="0.25">
      <c r="I360" s="135"/>
    </row>
    <row r="361" spans="9:9" x14ac:dyDescent="0.25">
      <c r="I361" s="135"/>
    </row>
    <row r="362" spans="9:9" x14ac:dyDescent="0.25">
      <c r="I362" s="135"/>
    </row>
    <row r="363" spans="9:9" x14ac:dyDescent="0.25">
      <c r="I363" s="135"/>
    </row>
    <row r="364" spans="9:9" x14ac:dyDescent="0.25">
      <c r="I364" s="135"/>
    </row>
    <row r="365" spans="9:9" x14ac:dyDescent="0.25">
      <c r="I365" s="135"/>
    </row>
    <row r="366" spans="9:9" x14ac:dyDescent="0.25">
      <c r="I366" s="135"/>
    </row>
    <row r="367" spans="9:9" x14ac:dyDescent="0.25">
      <c r="I367" s="135"/>
    </row>
    <row r="368" spans="9:9" x14ac:dyDescent="0.25">
      <c r="I368" s="135"/>
    </row>
    <row r="369" spans="9:9" x14ac:dyDescent="0.25">
      <c r="I369" s="135"/>
    </row>
    <row r="370" spans="9:9" x14ac:dyDescent="0.25">
      <c r="I370" s="135"/>
    </row>
    <row r="371" spans="9:9" x14ac:dyDescent="0.25">
      <c r="I371" s="135"/>
    </row>
    <row r="372" spans="9:9" x14ac:dyDescent="0.25">
      <c r="I372" s="135"/>
    </row>
    <row r="373" spans="9:9" x14ac:dyDescent="0.25">
      <c r="I373" s="135"/>
    </row>
    <row r="374" spans="9:9" x14ac:dyDescent="0.25">
      <c r="I374" s="135"/>
    </row>
    <row r="375" spans="9:9" x14ac:dyDescent="0.25">
      <c r="I375" s="135"/>
    </row>
    <row r="376" spans="9:9" x14ac:dyDescent="0.25">
      <c r="I376" s="135"/>
    </row>
    <row r="377" spans="9:9" x14ac:dyDescent="0.25">
      <c r="I377" s="135"/>
    </row>
    <row r="378" spans="9:9" x14ac:dyDescent="0.25">
      <c r="I378" s="135"/>
    </row>
    <row r="379" spans="9:9" x14ac:dyDescent="0.25">
      <c r="I379" s="135"/>
    </row>
    <row r="380" spans="9:9" x14ac:dyDescent="0.25">
      <c r="I380" s="135"/>
    </row>
    <row r="381" spans="9:9" x14ac:dyDescent="0.25">
      <c r="I381" s="135"/>
    </row>
    <row r="382" spans="9:9" x14ac:dyDescent="0.25">
      <c r="I382" s="135"/>
    </row>
    <row r="383" spans="9:9" x14ac:dyDescent="0.25">
      <c r="I383" s="135"/>
    </row>
    <row r="384" spans="9:9" x14ac:dyDescent="0.25">
      <c r="I384" s="135"/>
    </row>
    <row r="385" spans="9:9" x14ac:dyDescent="0.25">
      <c r="I385" s="135"/>
    </row>
    <row r="386" spans="9:9" x14ac:dyDescent="0.25">
      <c r="I386" s="135"/>
    </row>
    <row r="387" spans="9:9" x14ac:dyDescent="0.25">
      <c r="I387" s="135"/>
    </row>
    <row r="388" spans="9:9" x14ac:dyDescent="0.25">
      <c r="I388" s="135"/>
    </row>
    <row r="389" spans="9:9" x14ac:dyDescent="0.25">
      <c r="I389" s="135"/>
    </row>
    <row r="390" spans="9:9" x14ac:dyDescent="0.25">
      <c r="I390" s="135"/>
    </row>
    <row r="391" spans="9:9" x14ac:dyDescent="0.25">
      <c r="I391" s="135"/>
    </row>
    <row r="392" spans="9:9" x14ac:dyDescent="0.25">
      <c r="I392" s="135"/>
    </row>
    <row r="393" spans="9:9" x14ac:dyDescent="0.25">
      <c r="I393" s="135"/>
    </row>
    <row r="394" spans="9:9" x14ac:dyDescent="0.25">
      <c r="I394" s="135"/>
    </row>
    <row r="395" spans="9:9" x14ac:dyDescent="0.25">
      <c r="I395" s="135"/>
    </row>
    <row r="396" spans="9:9" x14ac:dyDescent="0.25">
      <c r="I396" s="135"/>
    </row>
    <row r="397" spans="9:9" x14ac:dyDescent="0.25">
      <c r="I397" s="135"/>
    </row>
    <row r="398" spans="9:9" x14ac:dyDescent="0.25">
      <c r="I398" s="135"/>
    </row>
    <row r="399" spans="9:9" x14ac:dyDescent="0.25">
      <c r="I399" s="135"/>
    </row>
    <row r="400" spans="9:9" x14ac:dyDescent="0.25">
      <c r="I400" s="135"/>
    </row>
    <row r="401" spans="9:9" x14ac:dyDescent="0.25">
      <c r="I401" s="135"/>
    </row>
    <row r="402" spans="9:9" x14ac:dyDescent="0.25">
      <c r="I402" s="135"/>
    </row>
    <row r="403" spans="9:9" x14ac:dyDescent="0.25">
      <c r="I403" s="135"/>
    </row>
    <row r="404" spans="9:9" x14ac:dyDescent="0.25">
      <c r="I404" s="135"/>
    </row>
    <row r="405" spans="9:9" x14ac:dyDescent="0.25">
      <c r="I405" s="135"/>
    </row>
    <row r="406" spans="9:9" x14ac:dyDescent="0.25">
      <c r="I406" s="135"/>
    </row>
    <row r="407" spans="9:9" x14ac:dyDescent="0.25">
      <c r="I407" s="135"/>
    </row>
    <row r="408" spans="9:9" x14ac:dyDescent="0.25">
      <c r="I408" s="135"/>
    </row>
    <row r="409" spans="9:9" x14ac:dyDescent="0.25">
      <c r="I409" s="135"/>
    </row>
    <row r="410" spans="9:9" x14ac:dyDescent="0.25">
      <c r="I410" s="135"/>
    </row>
    <row r="411" spans="9:9" x14ac:dyDescent="0.25">
      <c r="I411" s="135"/>
    </row>
    <row r="412" spans="9:9" x14ac:dyDescent="0.25">
      <c r="I412" s="135"/>
    </row>
    <row r="413" spans="9:9" x14ac:dyDescent="0.25">
      <c r="I413" s="135"/>
    </row>
    <row r="414" spans="9:9" x14ac:dyDescent="0.25">
      <c r="I414" s="135"/>
    </row>
    <row r="415" spans="9:9" x14ac:dyDescent="0.25">
      <c r="I415" s="135"/>
    </row>
    <row r="416" spans="9:9" x14ac:dyDescent="0.25">
      <c r="I416" s="135"/>
    </row>
    <row r="417" spans="9:9" x14ac:dyDescent="0.25">
      <c r="I417" s="135"/>
    </row>
    <row r="418" spans="9:9" x14ac:dyDescent="0.25">
      <c r="I418" s="135"/>
    </row>
    <row r="419" spans="9:9" x14ac:dyDescent="0.25">
      <c r="I419" s="135"/>
    </row>
    <row r="420" spans="9:9" x14ac:dyDescent="0.25">
      <c r="I420" s="135"/>
    </row>
    <row r="421" spans="9:9" x14ac:dyDescent="0.25">
      <c r="I421" s="135"/>
    </row>
    <row r="422" spans="9:9" x14ac:dyDescent="0.25">
      <c r="I422" s="135"/>
    </row>
    <row r="423" spans="9:9" x14ac:dyDescent="0.25">
      <c r="I423" s="135"/>
    </row>
    <row r="424" spans="9:9" x14ac:dyDescent="0.25">
      <c r="I424" s="135"/>
    </row>
    <row r="425" spans="9:9" x14ac:dyDescent="0.25">
      <c r="I425" s="135"/>
    </row>
    <row r="426" spans="9:9" x14ac:dyDescent="0.25">
      <c r="I426" s="135"/>
    </row>
    <row r="427" spans="9:9" x14ac:dyDescent="0.25">
      <c r="I427" s="135"/>
    </row>
    <row r="428" spans="9:9" x14ac:dyDescent="0.25">
      <c r="I428" s="135"/>
    </row>
    <row r="429" spans="9:9" x14ac:dyDescent="0.25">
      <c r="I429" s="135"/>
    </row>
    <row r="430" spans="9:9" x14ac:dyDescent="0.25">
      <c r="I430" s="135"/>
    </row>
    <row r="431" spans="9:9" x14ac:dyDescent="0.25">
      <c r="I431" s="135"/>
    </row>
    <row r="432" spans="9:9" x14ac:dyDescent="0.25">
      <c r="I432" s="135"/>
    </row>
    <row r="433" spans="9:9" x14ac:dyDescent="0.25">
      <c r="I433" s="135"/>
    </row>
    <row r="434" spans="9:9" x14ac:dyDescent="0.25">
      <c r="I434" s="135"/>
    </row>
    <row r="435" spans="9:9" x14ac:dyDescent="0.25">
      <c r="I435" s="135"/>
    </row>
    <row r="436" spans="9:9" x14ac:dyDescent="0.25">
      <c r="I436" s="135"/>
    </row>
    <row r="437" spans="9:9" x14ac:dyDescent="0.25">
      <c r="I437" s="135"/>
    </row>
    <row r="438" spans="9:9" x14ac:dyDescent="0.25">
      <c r="I438" s="135"/>
    </row>
    <row r="439" spans="9:9" x14ac:dyDescent="0.25">
      <c r="I439" s="135"/>
    </row>
    <row r="440" spans="9:9" x14ac:dyDescent="0.25">
      <c r="I440" s="135"/>
    </row>
    <row r="441" spans="9:9" x14ac:dyDescent="0.25">
      <c r="I441" s="135"/>
    </row>
    <row r="442" spans="9:9" x14ac:dyDescent="0.25">
      <c r="I442" s="135"/>
    </row>
    <row r="443" spans="9:9" x14ac:dyDescent="0.25">
      <c r="I443" s="135"/>
    </row>
    <row r="444" spans="9:9" x14ac:dyDescent="0.25">
      <c r="I444" s="135"/>
    </row>
    <row r="445" spans="9:9" x14ac:dyDescent="0.25">
      <c r="I445" s="135"/>
    </row>
    <row r="446" spans="9:9" x14ac:dyDescent="0.25">
      <c r="I446" s="135"/>
    </row>
    <row r="447" spans="9:9" x14ac:dyDescent="0.25">
      <c r="I447" s="135"/>
    </row>
    <row r="448" spans="9:9" x14ac:dyDescent="0.25">
      <c r="I448" s="135"/>
    </row>
    <row r="449" spans="9:9" x14ac:dyDescent="0.25">
      <c r="I449" s="135"/>
    </row>
    <row r="450" spans="9:9" x14ac:dyDescent="0.25">
      <c r="I450" s="135"/>
    </row>
    <row r="451" spans="9:9" x14ac:dyDescent="0.25">
      <c r="I451" s="135"/>
    </row>
    <row r="452" spans="9:9" x14ac:dyDescent="0.25">
      <c r="I452" s="135"/>
    </row>
    <row r="453" spans="9:9" x14ac:dyDescent="0.25">
      <c r="I453" s="135"/>
    </row>
    <row r="454" spans="9:9" x14ac:dyDescent="0.25">
      <c r="I454" s="135"/>
    </row>
    <row r="455" spans="9:9" x14ac:dyDescent="0.25">
      <c r="I455" s="135"/>
    </row>
    <row r="456" spans="9:9" x14ac:dyDescent="0.25">
      <c r="I456" s="135"/>
    </row>
    <row r="457" spans="9:9" x14ac:dyDescent="0.25">
      <c r="I457" s="135"/>
    </row>
    <row r="458" spans="9:9" x14ac:dyDescent="0.25">
      <c r="I458" s="135"/>
    </row>
    <row r="459" spans="9:9" x14ac:dyDescent="0.25">
      <c r="I459" s="135"/>
    </row>
    <row r="460" spans="9:9" x14ac:dyDescent="0.25">
      <c r="I460" s="135"/>
    </row>
    <row r="461" spans="9:9" x14ac:dyDescent="0.25">
      <c r="I461" s="135"/>
    </row>
    <row r="462" spans="9:9" x14ac:dyDescent="0.25">
      <c r="I462" s="135"/>
    </row>
    <row r="463" spans="9:9" x14ac:dyDescent="0.25">
      <c r="I463" s="135"/>
    </row>
    <row r="464" spans="9:9" x14ac:dyDescent="0.25">
      <c r="I464" s="135"/>
    </row>
    <row r="465" spans="9:9" x14ac:dyDescent="0.25">
      <c r="I465" s="135"/>
    </row>
    <row r="466" spans="9:9" x14ac:dyDescent="0.25">
      <c r="I466" s="135"/>
    </row>
    <row r="467" spans="9:9" x14ac:dyDescent="0.25">
      <c r="I467" s="135"/>
    </row>
    <row r="468" spans="9:9" x14ac:dyDescent="0.25">
      <c r="I468" s="135"/>
    </row>
    <row r="469" spans="9:9" x14ac:dyDescent="0.25">
      <c r="I469" s="135"/>
    </row>
    <row r="470" spans="9:9" x14ac:dyDescent="0.25">
      <c r="I470" s="135"/>
    </row>
    <row r="471" spans="9:9" x14ac:dyDescent="0.25">
      <c r="I471" s="135"/>
    </row>
    <row r="472" spans="9:9" x14ac:dyDescent="0.25">
      <c r="I472" s="135"/>
    </row>
    <row r="473" spans="9:9" x14ac:dyDescent="0.25">
      <c r="I473" s="135"/>
    </row>
    <row r="474" spans="9:9" x14ac:dyDescent="0.25">
      <c r="I474" s="135"/>
    </row>
    <row r="475" spans="9:9" x14ac:dyDescent="0.25">
      <c r="I475" s="135"/>
    </row>
    <row r="476" spans="9:9" x14ac:dyDescent="0.25">
      <c r="I476" s="135"/>
    </row>
    <row r="477" spans="9:9" x14ac:dyDescent="0.25">
      <c r="I477" s="135"/>
    </row>
    <row r="478" spans="9:9" x14ac:dyDescent="0.25">
      <c r="I478" s="135"/>
    </row>
    <row r="479" spans="9:9" x14ac:dyDescent="0.25">
      <c r="I479" s="135"/>
    </row>
    <row r="480" spans="9:9" x14ac:dyDescent="0.25">
      <c r="I480" s="135"/>
    </row>
    <row r="481" spans="9:9" x14ac:dyDescent="0.25">
      <c r="I481" s="135"/>
    </row>
    <row r="482" spans="9:9" x14ac:dyDescent="0.25">
      <c r="I482" s="135"/>
    </row>
    <row r="483" spans="9:9" x14ac:dyDescent="0.25">
      <c r="I483" s="135"/>
    </row>
    <row r="484" spans="9:9" x14ac:dyDescent="0.25">
      <c r="I484" s="135"/>
    </row>
    <row r="485" spans="9:9" x14ac:dyDescent="0.25">
      <c r="I485" s="135"/>
    </row>
    <row r="486" spans="9:9" x14ac:dyDescent="0.25">
      <c r="I486" s="135"/>
    </row>
    <row r="487" spans="9:9" x14ac:dyDescent="0.25">
      <c r="I487" s="135"/>
    </row>
    <row r="488" spans="9:9" x14ac:dyDescent="0.25">
      <c r="I488" s="135"/>
    </row>
    <row r="489" spans="9:9" x14ac:dyDescent="0.25">
      <c r="I489" s="135"/>
    </row>
    <row r="490" spans="9:9" x14ac:dyDescent="0.25">
      <c r="I490" s="135"/>
    </row>
    <row r="491" spans="9:9" x14ac:dyDescent="0.25">
      <c r="I491" s="135"/>
    </row>
    <row r="492" spans="9:9" x14ac:dyDescent="0.25">
      <c r="I492" s="135"/>
    </row>
    <row r="493" spans="9:9" x14ac:dyDescent="0.25">
      <c r="I493" s="135"/>
    </row>
    <row r="494" spans="9:9" x14ac:dyDescent="0.25">
      <c r="I494" s="135"/>
    </row>
    <row r="495" spans="9:9" x14ac:dyDescent="0.25">
      <c r="I495" s="135"/>
    </row>
    <row r="496" spans="9:9" x14ac:dyDescent="0.25">
      <c r="I496" s="135"/>
    </row>
    <row r="497" spans="9:9" x14ac:dyDescent="0.25">
      <c r="I497" s="135"/>
    </row>
    <row r="498" spans="9:9" x14ac:dyDescent="0.25">
      <c r="I498" s="135"/>
    </row>
    <row r="499" spans="9:9" x14ac:dyDescent="0.25">
      <c r="I499" s="135"/>
    </row>
    <row r="500" spans="9:9" x14ac:dyDescent="0.25">
      <c r="I500" s="135"/>
    </row>
    <row r="501" spans="9:9" x14ac:dyDescent="0.25">
      <c r="I501" s="135"/>
    </row>
    <row r="502" spans="9:9" x14ac:dyDescent="0.25">
      <c r="I502" s="135"/>
    </row>
    <row r="503" spans="9:9" x14ac:dyDescent="0.25">
      <c r="I503" s="135"/>
    </row>
    <row r="504" spans="9:9" x14ac:dyDescent="0.25">
      <c r="I504" s="135"/>
    </row>
    <row r="505" spans="9:9" x14ac:dyDescent="0.25">
      <c r="I505" s="135"/>
    </row>
    <row r="506" spans="9:9" x14ac:dyDescent="0.25">
      <c r="I506" s="135"/>
    </row>
    <row r="507" spans="9:9" x14ac:dyDescent="0.25">
      <c r="I507" s="135"/>
    </row>
    <row r="508" spans="9:9" x14ac:dyDescent="0.25">
      <c r="I508" s="135"/>
    </row>
    <row r="509" spans="9:9" x14ac:dyDescent="0.25">
      <c r="I509" s="135"/>
    </row>
    <row r="510" spans="9:9" x14ac:dyDescent="0.25">
      <c r="I510" s="135"/>
    </row>
    <row r="511" spans="9:9" x14ac:dyDescent="0.25">
      <c r="I511" s="135"/>
    </row>
    <row r="512" spans="9:9" x14ac:dyDescent="0.25">
      <c r="I512" s="135"/>
    </row>
    <row r="513" spans="9:9" x14ac:dyDescent="0.25">
      <c r="I513" s="135"/>
    </row>
    <row r="514" spans="9:9" x14ac:dyDescent="0.25">
      <c r="I514" s="135"/>
    </row>
    <row r="515" spans="9:9" x14ac:dyDescent="0.25">
      <c r="I515" s="135"/>
    </row>
    <row r="516" spans="9:9" x14ac:dyDescent="0.25">
      <c r="I516" s="135"/>
    </row>
    <row r="517" spans="9:9" x14ac:dyDescent="0.25">
      <c r="I517" s="135"/>
    </row>
    <row r="518" spans="9:9" x14ac:dyDescent="0.25">
      <c r="I518" s="135"/>
    </row>
    <row r="519" spans="9:9" x14ac:dyDescent="0.25">
      <c r="I519" s="135"/>
    </row>
    <row r="520" spans="9:9" x14ac:dyDescent="0.25">
      <c r="I520" s="135"/>
    </row>
    <row r="521" spans="9:9" x14ac:dyDescent="0.25">
      <c r="I521" s="135"/>
    </row>
    <row r="522" spans="9:9" x14ac:dyDescent="0.25">
      <c r="I522" s="135"/>
    </row>
    <row r="523" spans="9:9" x14ac:dyDescent="0.25">
      <c r="I523" s="135"/>
    </row>
    <row r="524" spans="9:9" x14ac:dyDescent="0.25">
      <c r="I524" s="135"/>
    </row>
    <row r="525" spans="9:9" x14ac:dyDescent="0.25">
      <c r="I525" s="135"/>
    </row>
    <row r="526" spans="9:9" x14ac:dyDescent="0.25">
      <c r="I526" s="135"/>
    </row>
    <row r="527" spans="9:9" x14ac:dyDescent="0.25">
      <c r="I527" s="135"/>
    </row>
    <row r="528" spans="9:9" x14ac:dyDescent="0.25">
      <c r="I528" s="135"/>
    </row>
    <row r="529" spans="9:9" x14ac:dyDescent="0.25">
      <c r="I529" s="135"/>
    </row>
    <row r="530" spans="9:9" x14ac:dyDescent="0.25">
      <c r="I530" s="135"/>
    </row>
    <row r="531" spans="9:9" x14ac:dyDescent="0.25">
      <c r="I531" s="135"/>
    </row>
    <row r="532" spans="9:9" x14ac:dyDescent="0.25">
      <c r="I532" s="135"/>
    </row>
    <row r="533" spans="9:9" x14ac:dyDescent="0.25">
      <c r="I533" s="135"/>
    </row>
    <row r="534" spans="9:9" x14ac:dyDescent="0.25">
      <c r="I534" s="135"/>
    </row>
    <row r="535" spans="9:9" x14ac:dyDescent="0.25">
      <c r="I535" s="135"/>
    </row>
    <row r="536" spans="9:9" x14ac:dyDescent="0.25">
      <c r="I536" s="135"/>
    </row>
    <row r="537" spans="9:9" x14ac:dyDescent="0.25">
      <c r="I537" s="135"/>
    </row>
    <row r="538" spans="9:9" x14ac:dyDescent="0.25">
      <c r="I538" s="135"/>
    </row>
    <row r="539" spans="9:9" x14ac:dyDescent="0.25">
      <c r="I539" s="135"/>
    </row>
    <row r="540" spans="9:9" x14ac:dyDescent="0.25">
      <c r="I540" s="135"/>
    </row>
    <row r="541" spans="9:9" x14ac:dyDescent="0.25">
      <c r="I541" s="135"/>
    </row>
    <row r="542" spans="9:9" x14ac:dyDescent="0.25">
      <c r="I542" s="135"/>
    </row>
    <row r="543" spans="9:9" x14ac:dyDescent="0.25">
      <c r="I543" s="135"/>
    </row>
    <row r="544" spans="9:9" x14ac:dyDescent="0.25">
      <c r="I544" s="135"/>
    </row>
    <row r="545" spans="9:9" x14ac:dyDescent="0.25">
      <c r="I545" s="135"/>
    </row>
    <row r="546" spans="9:9" x14ac:dyDescent="0.25">
      <c r="I546" s="135"/>
    </row>
    <row r="547" spans="9:9" x14ac:dyDescent="0.25">
      <c r="I547" s="135"/>
    </row>
    <row r="548" spans="9:9" x14ac:dyDescent="0.25">
      <c r="I548" s="135"/>
    </row>
    <row r="549" spans="9:9" x14ac:dyDescent="0.25">
      <c r="I549" s="135"/>
    </row>
    <row r="550" spans="9:9" x14ac:dyDescent="0.25">
      <c r="I550" s="135"/>
    </row>
    <row r="551" spans="9:9" x14ac:dyDescent="0.25">
      <c r="I551" s="135"/>
    </row>
    <row r="552" spans="9:9" x14ac:dyDescent="0.25">
      <c r="I552" s="135"/>
    </row>
    <row r="553" spans="9:9" x14ac:dyDescent="0.25">
      <c r="I553" s="135"/>
    </row>
    <row r="554" spans="9:9" x14ac:dyDescent="0.25">
      <c r="I554" s="135"/>
    </row>
    <row r="555" spans="9:9" x14ac:dyDescent="0.25">
      <c r="I555" s="135"/>
    </row>
    <row r="556" spans="9:9" x14ac:dyDescent="0.25">
      <c r="I556" s="135"/>
    </row>
    <row r="557" spans="9:9" x14ac:dyDescent="0.25">
      <c r="I557" s="135"/>
    </row>
    <row r="558" spans="9:9" x14ac:dyDescent="0.25">
      <c r="I558" s="135"/>
    </row>
    <row r="559" spans="9:9" x14ac:dyDescent="0.25">
      <c r="I559" s="135"/>
    </row>
    <row r="560" spans="9:9" x14ac:dyDescent="0.25">
      <c r="I560" s="135"/>
    </row>
    <row r="561" spans="9:9" x14ac:dyDescent="0.25">
      <c r="I561" s="135"/>
    </row>
    <row r="562" spans="9:9" x14ac:dyDescent="0.25">
      <c r="I562" s="135"/>
    </row>
    <row r="563" spans="9:9" x14ac:dyDescent="0.25">
      <c r="I563" s="135"/>
    </row>
    <row r="564" spans="9:9" x14ac:dyDescent="0.25">
      <c r="I564" s="135"/>
    </row>
    <row r="565" spans="9:9" x14ac:dyDescent="0.25">
      <c r="I565" s="135"/>
    </row>
    <row r="566" spans="9:9" x14ac:dyDescent="0.25">
      <c r="I566" s="135"/>
    </row>
    <row r="567" spans="9:9" x14ac:dyDescent="0.25">
      <c r="I567" s="1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Monthly Returns</vt:lpstr>
      <vt:lpstr>Stats</vt:lpstr>
      <vt:lpstr>Rolling 12M</vt:lpstr>
      <vt:lpstr>Appendix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2014-10-14T15:49:41Z</dcterms:modified>
</cp:coreProperties>
</file>