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F386E3DF-B160-4633-B0A4-2ABEF8D1CF6D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OF ABARROTES" sheetId="29" r:id="rId1"/>
    <sheet name="Hoja1" sheetId="111" r:id="rId2"/>
  </sheets>
  <definedNames>
    <definedName name="_xlnm._FilterDatabase" localSheetId="0" hidden="1">'OF ABARROTES'!$A$1:$J$126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6" i="29" l="1"/>
  <c r="F77" i="29"/>
  <c r="F80" i="29"/>
  <c r="F81" i="29"/>
  <c r="F82" i="29"/>
  <c r="F83" i="29"/>
  <c r="F84" i="29"/>
  <c r="F92" i="29"/>
  <c r="F93" i="29"/>
  <c r="F94" i="29"/>
  <c r="F95" i="29"/>
  <c r="I62" i="29"/>
  <c r="I63" i="29"/>
  <c r="I64" i="29"/>
  <c r="I68" i="29"/>
  <c r="I69" i="29"/>
  <c r="I71" i="29"/>
  <c r="I72" i="29"/>
  <c r="I73" i="29"/>
  <c r="I74" i="29"/>
  <c r="I75" i="29"/>
  <c r="I76" i="29"/>
  <c r="I77" i="29"/>
  <c r="I78" i="29"/>
  <c r="I79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7" i="29"/>
  <c r="I108" i="29"/>
  <c r="I109" i="29"/>
  <c r="I110" i="29"/>
  <c r="I111" i="29"/>
  <c r="F65" i="29"/>
  <c r="F66" i="29"/>
  <c r="F67" i="29"/>
  <c r="F68" i="29"/>
  <c r="F69" i="29"/>
  <c r="F70" i="29"/>
  <c r="F75" i="29"/>
  <c r="D74" i="29"/>
  <c r="F74" i="29" s="1"/>
  <c r="D73" i="29"/>
  <c r="F73" i="29" s="1"/>
  <c r="D72" i="29"/>
  <c r="F72" i="29" s="1"/>
  <c r="D71" i="29"/>
  <c r="F71" i="29" s="1"/>
  <c r="G70" i="29"/>
  <c r="I70" i="29" s="1"/>
  <c r="G103" i="29" l="1"/>
  <c r="I103" i="29" s="1"/>
  <c r="G104" i="29"/>
  <c r="I104" i="29" s="1"/>
  <c r="G105" i="29"/>
  <c r="I105" i="29" s="1"/>
  <c r="G106" i="29"/>
  <c r="I106" i="29" s="1"/>
  <c r="G80" i="29"/>
  <c r="I80" i="29" s="1"/>
  <c r="D79" i="29"/>
  <c r="F79" i="29" s="1"/>
  <c r="D78" i="29"/>
  <c r="F78" i="29" s="1"/>
  <c r="G67" i="29"/>
  <c r="I67" i="29" s="1"/>
  <c r="G66" i="29"/>
  <c r="I66" i="29" s="1"/>
  <c r="G65" i="29"/>
  <c r="I65" i="29" s="1"/>
  <c r="J51" i="29"/>
  <c r="J52" i="29"/>
  <c r="J53" i="29"/>
  <c r="J54" i="29"/>
  <c r="J55" i="29"/>
  <c r="J56" i="29"/>
  <c r="J57" i="29"/>
  <c r="J58" i="29"/>
  <c r="J59" i="29"/>
  <c r="J60" i="29"/>
  <c r="J50" i="29"/>
  <c r="G41" i="29"/>
  <c r="J41" i="29"/>
  <c r="G40" i="29"/>
  <c r="J40" i="29" s="1"/>
  <c r="G39" i="29"/>
  <c r="G37" i="29"/>
  <c r="J37" i="29" s="1"/>
  <c r="G38" i="29"/>
  <c r="J38" i="29" s="1"/>
  <c r="G36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H30" i="29"/>
  <c r="H25" i="29"/>
  <c r="H20" i="29"/>
  <c r="J106" i="29" l="1"/>
  <c r="J80" i="29"/>
  <c r="J14" i="29"/>
  <c r="J15" i="29"/>
  <c r="D9" i="29"/>
  <c r="D8" i="29"/>
  <c r="J8" i="29" s="1"/>
  <c r="D7" i="29"/>
  <c r="G7" i="29" s="1"/>
  <c r="D6" i="29"/>
  <c r="D5" i="29"/>
  <c r="M9" i="29"/>
  <c r="M6" i="29"/>
  <c r="N6" i="29" s="1"/>
  <c r="M4" i="29"/>
  <c r="N4" i="29" s="1"/>
  <c r="I32" i="29" l="1"/>
  <c r="I33" i="29"/>
  <c r="I5" i="29" l="1"/>
  <c r="I6" i="29"/>
  <c r="I7" i="29"/>
  <c r="I8" i="29"/>
  <c r="I9" i="29"/>
  <c r="I10" i="29"/>
  <c r="I11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G13" i="29" l="1"/>
  <c r="I13" i="29" s="1"/>
  <c r="J11" i="29"/>
  <c r="G12" i="29" l="1"/>
  <c r="I12" i="29" s="1"/>
  <c r="D91" i="29" l="1"/>
  <c r="F91" i="29" s="1"/>
  <c r="D90" i="29"/>
  <c r="F90" i="29" s="1"/>
  <c r="D89" i="29"/>
  <c r="F89" i="29" s="1"/>
  <c r="D88" i="29"/>
  <c r="F88" i="29" s="1"/>
  <c r="D87" i="29"/>
  <c r="F87" i="29" s="1"/>
  <c r="D86" i="29"/>
  <c r="F86" i="29" s="1"/>
  <c r="J1107" i="29"/>
  <c r="I1107" i="29"/>
  <c r="F1107" i="29"/>
  <c r="I1106" i="29"/>
  <c r="F1106" i="29"/>
  <c r="I1105" i="29"/>
  <c r="F1105" i="29"/>
  <c r="I1104" i="29"/>
  <c r="F1104" i="29"/>
  <c r="J1103" i="29"/>
  <c r="I1103" i="29"/>
  <c r="F1103" i="29"/>
  <c r="G1102" i="29"/>
  <c r="J1102" i="29" s="1"/>
  <c r="F1102" i="29"/>
  <c r="I1101" i="29"/>
  <c r="F1101" i="29"/>
  <c r="I1100" i="29"/>
  <c r="F1100" i="29"/>
  <c r="I1099" i="29"/>
  <c r="F1099" i="29"/>
  <c r="I1098" i="29"/>
  <c r="F1098" i="29"/>
  <c r="I1097" i="29"/>
  <c r="F1097" i="29"/>
  <c r="I1096" i="29"/>
  <c r="F1096" i="29"/>
  <c r="I1095" i="29"/>
  <c r="F1095" i="29"/>
  <c r="I1094" i="29"/>
  <c r="F1094" i="29"/>
  <c r="I1093" i="29"/>
  <c r="D1093" i="29"/>
  <c r="F1093" i="29" s="1"/>
  <c r="I1092" i="29"/>
  <c r="F1092" i="29"/>
  <c r="I1091" i="29"/>
  <c r="F1091" i="29"/>
  <c r="I1090" i="29"/>
  <c r="F1090" i="29"/>
  <c r="I1089" i="29"/>
  <c r="F1089" i="29"/>
  <c r="I1088" i="29"/>
  <c r="F1088" i="29"/>
  <c r="I1087" i="29"/>
  <c r="F1087" i="29"/>
  <c r="J1086" i="29"/>
  <c r="I1086" i="29"/>
  <c r="F1086" i="29"/>
  <c r="J1085" i="29"/>
  <c r="I1085" i="29"/>
  <c r="F1085" i="29"/>
  <c r="J1084" i="29"/>
  <c r="I1084" i="29"/>
  <c r="F1084" i="29"/>
  <c r="I1083" i="29"/>
  <c r="D1083" i="29"/>
  <c r="F1083" i="29" s="1"/>
  <c r="J1082" i="29"/>
  <c r="I1082" i="29"/>
  <c r="F1082" i="29"/>
  <c r="I1081" i="29"/>
  <c r="D1081" i="29"/>
  <c r="F1081" i="29" s="1"/>
  <c r="I1080" i="29"/>
  <c r="F1080" i="29"/>
  <c r="J1079" i="29"/>
  <c r="I1079" i="29"/>
  <c r="F1079" i="29"/>
  <c r="J1078" i="29"/>
  <c r="I1078" i="29"/>
  <c r="F1078" i="29"/>
  <c r="I1077" i="29"/>
  <c r="F1077" i="29"/>
  <c r="I1076" i="29"/>
  <c r="F1076" i="29"/>
  <c r="I1075" i="29"/>
  <c r="F1075" i="29"/>
  <c r="J1074" i="29"/>
  <c r="I1074" i="29"/>
  <c r="F1074" i="29"/>
  <c r="J1073" i="29"/>
  <c r="I1073" i="29"/>
  <c r="F1073" i="29"/>
  <c r="J1072" i="29"/>
  <c r="I1072" i="29"/>
  <c r="F1072" i="29"/>
  <c r="J1071" i="29"/>
  <c r="I1071" i="29"/>
  <c r="F1071" i="29"/>
  <c r="D1070" i="29"/>
  <c r="F1070" i="29" s="1"/>
  <c r="J1069" i="29"/>
  <c r="I1069" i="29"/>
  <c r="F1069" i="29"/>
  <c r="J1068" i="29"/>
  <c r="I1068" i="29"/>
  <c r="F1068" i="29"/>
  <c r="J1067" i="29"/>
  <c r="I1067" i="29"/>
  <c r="F1067" i="29"/>
  <c r="I1066" i="29"/>
  <c r="F1066" i="29"/>
  <c r="I1065" i="29"/>
  <c r="F1065" i="29"/>
  <c r="J1064" i="29"/>
  <c r="I1064" i="29"/>
  <c r="F1064" i="29"/>
  <c r="J1063" i="29"/>
  <c r="I1063" i="29"/>
  <c r="F1063" i="29"/>
  <c r="G1062" i="29"/>
  <c r="J1062" i="29" s="1"/>
  <c r="F1062" i="29"/>
  <c r="G1061" i="29"/>
  <c r="J1061" i="29" s="1"/>
  <c r="F1061" i="29"/>
  <c r="I1060" i="29"/>
  <c r="F1060" i="29"/>
  <c r="J1059" i="29"/>
  <c r="I1059" i="29"/>
  <c r="F1059" i="29"/>
  <c r="J1058" i="29"/>
  <c r="I1058" i="29"/>
  <c r="F1058" i="29"/>
  <c r="I1057" i="29"/>
  <c r="F1057" i="29"/>
  <c r="I1056" i="29"/>
  <c r="F1056" i="29"/>
  <c r="I1055" i="29"/>
  <c r="D1055" i="29"/>
  <c r="J1055" i="29" s="1"/>
  <c r="I1054" i="29"/>
  <c r="D1054" i="29"/>
  <c r="J1054" i="29" s="1"/>
  <c r="I1053" i="29"/>
  <c r="D1053" i="29"/>
  <c r="J1053" i="29" s="1"/>
  <c r="J1052" i="29"/>
  <c r="I1052" i="29"/>
  <c r="F1052" i="29"/>
  <c r="I1051" i="29"/>
  <c r="D1051" i="29"/>
  <c r="J1051" i="29" s="1"/>
  <c r="J1050" i="29"/>
  <c r="I1050" i="29"/>
  <c r="F1050" i="29"/>
  <c r="J1049" i="29"/>
  <c r="I1049" i="29"/>
  <c r="F1049" i="29"/>
  <c r="J1048" i="29"/>
  <c r="I1048" i="29"/>
  <c r="F1048" i="29"/>
  <c r="I1047" i="29"/>
  <c r="F1047" i="29"/>
  <c r="I1046" i="29"/>
  <c r="F1046" i="29"/>
  <c r="I1045" i="29"/>
  <c r="F1045" i="29"/>
  <c r="I1044" i="29"/>
  <c r="F1044" i="29"/>
  <c r="I1043" i="29"/>
  <c r="F1043" i="29"/>
  <c r="J1042" i="29"/>
  <c r="I1042" i="29"/>
  <c r="F1042" i="29"/>
  <c r="J1041" i="29"/>
  <c r="I1041" i="29"/>
  <c r="F1041" i="29"/>
  <c r="J1040" i="29"/>
  <c r="I1040" i="29"/>
  <c r="F1040" i="29"/>
  <c r="J1039" i="29"/>
  <c r="I1039" i="29"/>
  <c r="F1039" i="29"/>
  <c r="J1038" i="29"/>
  <c r="I1038" i="29"/>
  <c r="F1038" i="29"/>
  <c r="J1037" i="29"/>
  <c r="I1037" i="29"/>
  <c r="F1037" i="29"/>
  <c r="J1036" i="29"/>
  <c r="I1036" i="29"/>
  <c r="F1036" i="29"/>
  <c r="J1035" i="29"/>
  <c r="I1035" i="29"/>
  <c r="F1035" i="29"/>
  <c r="J1034" i="29"/>
  <c r="I1034" i="29"/>
  <c r="F1034" i="29"/>
  <c r="J1033" i="29"/>
  <c r="I1033" i="29"/>
  <c r="F1033" i="29"/>
  <c r="J1032" i="29"/>
  <c r="I1032" i="29"/>
  <c r="F1032" i="29"/>
  <c r="J1031" i="29"/>
  <c r="I1031" i="29"/>
  <c r="F1031" i="29"/>
  <c r="J1030" i="29"/>
  <c r="I1030" i="29"/>
  <c r="F1030" i="29"/>
  <c r="J1029" i="29"/>
  <c r="I1029" i="29"/>
  <c r="F1029" i="29"/>
  <c r="J1028" i="29"/>
  <c r="I1028" i="29"/>
  <c r="F1028" i="29"/>
  <c r="J1027" i="29"/>
  <c r="I1027" i="29"/>
  <c r="F1027" i="29"/>
  <c r="F1053" i="29" l="1"/>
  <c r="F1054" i="29"/>
  <c r="F1055" i="29"/>
  <c r="J1083" i="29"/>
  <c r="G1070" i="29"/>
  <c r="I1070" i="29" s="1"/>
  <c r="F1051" i="29"/>
  <c r="I1061" i="29"/>
  <c r="I1062" i="29"/>
  <c r="I1102" i="29"/>
  <c r="J1070" i="29" l="1"/>
  <c r="J5" i="29" l="1"/>
  <c r="J6" i="29"/>
  <c r="J7" i="29"/>
  <c r="J9" i="29"/>
  <c r="J10" i="29"/>
  <c r="J12" i="29"/>
  <c r="J13" i="29"/>
  <c r="J36" i="29"/>
  <c r="J39" i="29"/>
  <c r="J43" i="29"/>
  <c r="J45" i="29"/>
  <c r="J63" i="29"/>
  <c r="J75" i="29"/>
  <c r="J76" i="29"/>
  <c r="J77" i="29"/>
  <c r="J81" i="29"/>
  <c r="J82" i="29"/>
  <c r="J84" i="29"/>
  <c r="I4" i="29" l="1"/>
  <c r="J4" i="29" l="1"/>
  <c r="F108" i="29" l="1"/>
  <c r="D85" i="29" l="1"/>
  <c r="F85" i="29" s="1"/>
  <c r="J85" i="29" l="1"/>
  <c r="J65" i="29"/>
  <c r="J66" i="29"/>
  <c r="D44" i="29"/>
  <c r="F44" i="29" s="1"/>
  <c r="J44" i="29" l="1"/>
  <c r="J1017" i="29" l="1"/>
  <c r="I1017" i="29"/>
  <c r="F1017" i="29"/>
  <c r="J1016" i="29"/>
  <c r="I1016" i="29"/>
  <c r="F1016" i="29"/>
  <c r="G1015" i="29"/>
  <c r="J1015" i="29" s="1"/>
  <c r="F1015" i="29"/>
  <c r="I1014" i="29"/>
  <c r="F1014" i="29"/>
  <c r="G1013" i="29"/>
  <c r="J1013" i="29" s="1"/>
  <c r="F1013" i="29"/>
  <c r="J1012" i="29"/>
  <c r="I1012" i="29"/>
  <c r="F1012" i="29"/>
  <c r="G1011" i="29"/>
  <c r="I1011" i="29" s="1"/>
  <c r="F1011" i="29"/>
  <c r="G1010" i="29"/>
  <c r="J1010" i="29" s="1"/>
  <c r="F1010" i="29"/>
  <c r="G1009" i="29"/>
  <c r="I1009" i="29" s="1"/>
  <c r="F1009" i="29"/>
  <c r="I1008" i="29"/>
  <c r="D1008" i="29"/>
  <c r="F1008" i="29" s="1"/>
  <c r="G1007" i="29"/>
  <c r="I1007" i="29" s="1"/>
  <c r="F1007" i="29"/>
  <c r="G1006" i="29"/>
  <c r="I1006" i="29" s="1"/>
  <c r="F1006" i="29"/>
  <c r="I1005" i="29"/>
  <c r="F1005" i="29"/>
  <c r="G1004" i="29"/>
  <c r="I1004" i="29" s="1"/>
  <c r="F1004" i="29"/>
  <c r="G1003" i="29"/>
  <c r="I1003" i="29" s="1"/>
  <c r="F1003" i="29"/>
  <c r="I1002" i="29"/>
  <c r="F1002" i="29"/>
  <c r="I1000" i="29"/>
  <c r="F1000" i="29"/>
  <c r="I999" i="29"/>
  <c r="F999" i="29"/>
  <c r="I998" i="29"/>
  <c r="F998" i="29"/>
  <c r="I997" i="29"/>
  <c r="F997" i="29"/>
  <c r="I996" i="29"/>
  <c r="F996" i="29"/>
  <c r="G995" i="29"/>
  <c r="I995" i="29" s="1"/>
  <c r="D995" i="29"/>
  <c r="F995" i="29" s="1"/>
  <c r="G994" i="29"/>
  <c r="I994" i="29" s="1"/>
  <c r="D994" i="29"/>
  <c r="F994" i="29" s="1"/>
  <c r="G993" i="29"/>
  <c r="I993" i="29" s="1"/>
  <c r="D993" i="29"/>
  <c r="F993" i="29" s="1"/>
  <c r="G992" i="29"/>
  <c r="I992" i="29" s="1"/>
  <c r="D992" i="29"/>
  <c r="F992" i="29" s="1"/>
  <c r="G991" i="29"/>
  <c r="I991" i="29" s="1"/>
  <c r="D991" i="29"/>
  <c r="F991" i="29" s="1"/>
  <c r="G990" i="29"/>
  <c r="I990" i="29" s="1"/>
  <c r="D990" i="29"/>
  <c r="F990" i="29" s="1"/>
  <c r="I989" i="29"/>
  <c r="F989" i="29"/>
  <c r="I988" i="29"/>
  <c r="D988" i="29"/>
  <c r="J988" i="29" s="1"/>
  <c r="I987" i="29"/>
  <c r="D987" i="29"/>
  <c r="J987" i="29" s="1"/>
  <c r="I986" i="29"/>
  <c r="D986" i="29"/>
  <c r="J986" i="29" s="1"/>
  <c r="I985" i="29"/>
  <c r="D985" i="29"/>
  <c r="J985" i="29" s="1"/>
  <c r="I984" i="29"/>
  <c r="D984" i="29"/>
  <c r="J984" i="29" s="1"/>
  <c r="J983" i="29"/>
  <c r="I983" i="29"/>
  <c r="F983" i="29"/>
  <c r="I982" i="29"/>
  <c r="D982" i="29"/>
  <c r="F982" i="29" s="1"/>
  <c r="I981" i="29"/>
  <c r="D981" i="29"/>
  <c r="F981" i="29" s="1"/>
  <c r="I980" i="29"/>
  <c r="F980" i="29"/>
  <c r="J979" i="29"/>
  <c r="I979" i="29"/>
  <c r="F979" i="29"/>
  <c r="J978" i="29"/>
  <c r="I978" i="29"/>
  <c r="F978" i="29"/>
  <c r="I977" i="29"/>
  <c r="F977" i="29"/>
  <c r="I976" i="29"/>
  <c r="F976" i="29"/>
  <c r="I975" i="29"/>
  <c r="D975" i="29"/>
  <c r="F975" i="29" s="1"/>
  <c r="I974" i="29"/>
  <c r="D974" i="29"/>
  <c r="F974" i="29" s="1"/>
  <c r="I973" i="29"/>
  <c r="D973" i="29"/>
  <c r="F973" i="29" s="1"/>
  <c r="J972" i="29"/>
  <c r="I972" i="29"/>
  <c r="F972" i="29"/>
  <c r="G971" i="29"/>
  <c r="I971" i="29" s="1"/>
  <c r="F971" i="29"/>
  <c r="G970" i="29"/>
  <c r="I970" i="29" s="1"/>
  <c r="F970" i="29"/>
  <c r="G969" i="29"/>
  <c r="I969" i="29" s="1"/>
  <c r="F969" i="29"/>
  <c r="G968" i="29"/>
  <c r="I968" i="29" s="1"/>
  <c r="F968" i="29"/>
  <c r="G967" i="29"/>
  <c r="I967" i="29" s="1"/>
  <c r="F967" i="29"/>
  <c r="G966" i="29"/>
  <c r="I966" i="29" s="1"/>
  <c r="F966" i="29"/>
  <c r="G965" i="29"/>
  <c r="I965" i="29" s="1"/>
  <c r="F965" i="29"/>
  <c r="I964" i="29"/>
  <c r="F964" i="29"/>
  <c r="G963" i="29"/>
  <c r="I963" i="29" s="1"/>
  <c r="F963" i="29"/>
  <c r="G962" i="29"/>
  <c r="I962" i="29" s="1"/>
  <c r="F962" i="29"/>
  <c r="G961" i="29"/>
  <c r="I961" i="29" s="1"/>
  <c r="F961" i="29"/>
  <c r="G960" i="29"/>
  <c r="I960" i="29" s="1"/>
  <c r="F960" i="29"/>
  <c r="G959" i="29"/>
  <c r="I959" i="29" s="1"/>
  <c r="F959" i="29"/>
  <c r="G958" i="29"/>
  <c r="I958" i="29" s="1"/>
  <c r="F958" i="29"/>
  <c r="G957" i="29"/>
  <c r="I957" i="29" s="1"/>
  <c r="F957" i="29"/>
  <c r="G956" i="29"/>
  <c r="I956" i="29" s="1"/>
  <c r="F956" i="29"/>
  <c r="I955" i="29"/>
  <c r="F955" i="29"/>
  <c r="G954" i="29"/>
  <c r="J954" i="29" s="1"/>
  <c r="F954" i="29"/>
  <c r="I953" i="29"/>
  <c r="F953" i="29"/>
  <c r="H952" i="29"/>
  <c r="I952" i="29" s="1"/>
  <c r="F952" i="29"/>
  <c r="G951" i="29"/>
  <c r="I951" i="29" s="1"/>
  <c r="F951" i="29"/>
  <c r="G950" i="29"/>
  <c r="I950" i="29" s="1"/>
  <c r="F950" i="29"/>
  <c r="G949" i="29"/>
  <c r="I949" i="29" s="1"/>
  <c r="F949" i="29"/>
  <c r="G948" i="29"/>
  <c r="I948" i="29" s="1"/>
  <c r="F948" i="29"/>
  <c r="J947" i="29"/>
  <c r="I947" i="29"/>
  <c r="F947" i="29"/>
  <c r="D946" i="29"/>
  <c r="F946" i="29" s="1"/>
  <c r="D945" i="29"/>
  <c r="G945" i="29" s="1"/>
  <c r="I945" i="29" s="1"/>
  <c r="D944" i="29"/>
  <c r="F944" i="29" s="1"/>
  <c r="D943" i="29"/>
  <c r="D942" i="29"/>
  <c r="F942" i="29" s="1"/>
  <c r="D941" i="29"/>
  <c r="G941" i="29" s="1"/>
  <c r="I941" i="29" s="1"/>
  <c r="D940" i="29"/>
  <c r="D939" i="29"/>
  <c r="F939" i="29" s="1"/>
  <c r="D938" i="29"/>
  <c r="F938" i="29" s="1"/>
  <c r="D937" i="29"/>
  <c r="G937" i="29" s="1"/>
  <c r="I937" i="29" s="1"/>
  <c r="G936" i="29"/>
  <c r="I936" i="29" s="1"/>
  <c r="F936" i="29"/>
  <c r="D935" i="29"/>
  <c r="I934" i="29"/>
  <c r="D934" i="29"/>
  <c r="J934" i="29" s="1"/>
  <c r="J933" i="29"/>
  <c r="I933" i="29"/>
  <c r="F933" i="29"/>
  <c r="G932" i="29"/>
  <c r="I932" i="29" s="1"/>
  <c r="F932" i="29"/>
  <c r="G931" i="29"/>
  <c r="I931" i="29" s="1"/>
  <c r="F931" i="29"/>
  <c r="J930" i="29"/>
  <c r="I930" i="29"/>
  <c r="F930" i="29"/>
  <c r="I929" i="29"/>
  <c r="F929" i="29"/>
  <c r="J928" i="29"/>
  <c r="I928" i="29"/>
  <c r="F928" i="29"/>
  <c r="I927" i="29"/>
  <c r="I926" i="29"/>
  <c r="I925" i="29"/>
  <c r="J924" i="29"/>
  <c r="I924" i="29"/>
  <c r="F924" i="29"/>
  <c r="J923" i="29"/>
  <c r="I923" i="29"/>
  <c r="F923" i="29"/>
  <c r="J963" i="29" l="1"/>
  <c r="J959" i="29"/>
  <c r="G942" i="29"/>
  <c r="I942" i="29" s="1"/>
  <c r="J974" i="29"/>
  <c r="G938" i="29"/>
  <c r="I938" i="29" s="1"/>
  <c r="J958" i="29"/>
  <c r="J973" i="29"/>
  <c r="J932" i="29"/>
  <c r="J962" i="29"/>
  <c r="J975" i="29"/>
  <c r="J931" i="29"/>
  <c r="F943" i="29"/>
  <c r="J957" i="29"/>
  <c r="G943" i="29"/>
  <c r="I943" i="29" s="1"/>
  <c r="G946" i="29"/>
  <c r="I946" i="29" s="1"/>
  <c r="J956" i="29"/>
  <c r="J960" i="29"/>
  <c r="I1013" i="29"/>
  <c r="J936" i="29"/>
  <c r="J961" i="29"/>
  <c r="G939" i="29"/>
  <c r="I939" i="29" s="1"/>
  <c r="F934" i="29"/>
  <c r="F935" i="29"/>
  <c r="F940" i="29"/>
  <c r="J941" i="29"/>
  <c r="I954" i="29"/>
  <c r="F985" i="29"/>
  <c r="I1010" i="29"/>
  <c r="G935" i="29"/>
  <c r="I935" i="29" s="1"/>
  <c r="F937" i="29"/>
  <c r="G940" i="29"/>
  <c r="I940" i="29" s="1"/>
  <c r="F941" i="29"/>
  <c r="G944" i="29"/>
  <c r="I944" i="29" s="1"/>
  <c r="F945" i="29"/>
  <c r="J1009" i="29"/>
  <c r="J1011" i="29"/>
  <c r="I1015" i="29"/>
  <c r="J937" i="29"/>
  <c r="J945" i="29"/>
  <c r="F984" i="29"/>
  <c r="F986" i="29"/>
  <c r="F987" i="29"/>
  <c r="F988" i="29"/>
  <c r="J938" i="29" l="1"/>
  <c r="J942" i="29"/>
  <c r="J943" i="29"/>
  <c r="J946" i="29"/>
  <c r="J939" i="29"/>
  <c r="J935" i="29"/>
  <c r="J944" i="29"/>
  <c r="J940" i="29"/>
  <c r="G425" i="29" l="1"/>
  <c r="G424" i="29"/>
  <c r="G423" i="29"/>
  <c r="G422" i="29"/>
  <c r="G421" i="29"/>
  <c r="G420" i="29"/>
  <c r="J914" i="29" l="1"/>
  <c r="I914" i="29"/>
  <c r="F914" i="29"/>
  <c r="J913" i="29"/>
  <c r="I913" i="29"/>
  <c r="F913" i="29"/>
  <c r="G912" i="29"/>
  <c r="I912" i="29" s="1"/>
  <c r="F912" i="29"/>
  <c r="I911" i="29"/>
  <c r="F911" i="29"/>
  <c r="G910" i="29"/>
  <c r="J910" i="29" s="1"/>
  <c r="F910" i="29"/>
  <c r="J909" i="29"/>
  <c r="I909" i="29"/>
  <c r="F909" i="29"/>
  <c r="I908" i="29"/>
  <c r="F908" i="29"/>
  <c r="I907" i="29"/>
  <c r="F907" i="29"/>
  <c r="I906" i="29"/>
  <c r="F906" i="29"/>
  <c r="I905" i="29"/>
  <c r="D905" i="29"/>
  <c r="F905" i="29" s="1"/>
  <c r="G904" i="29"/>
  <c r="I904" i="29" s="1"/>
  <c r="F904" i="29"/>
  <c r="G903" i="29"/>
  <c r="I903" i="29" s="1"/>
  <c r="F903" i="29"/>
  <c r="I902" i="29"/>
  <c r="F902" i="29"/>
  <c r="G901" i="29"/>
  <c r="I901" i="29" s="1"/>
  <c r="F901" i="29"/>
  <c r="G900" i="29"/>
  <c r="I900" i="29" s="1"/>
  <c r="F900" i="29"/>
  <c r="I899" i="29"/>
  <c r="F899" i="29"/>
  <c r="J898" i="29"/>
  <c r="I898" i="29"/>
  <c r="F898" i="29"/>
  <c r="J897" i="29"/>
  <c r="I897" i="29"/>
  <c r="F897" i="29"/>
  <c r="J896" i="29"/>
  <c r="I896" i="29"/>
  <c r="F896" i="29"/>
  <c r="J895" i="29"/>
  <c r="I895" i="29"/>
  <c r="F895" i="29"/>
  <c r="J894" i="29"/>
  <c r="I894" i="29"/>
  <c r="F894" i="29"/>
  <c r="J893" i="29"/>
  <c r="I893" i="29"/>
  <c r="F893" i="29"/>
  <c r="J892" i="29"/>
  <c r="I892" i="29"/>
  <c r="F892" i="29"/>
  <c r="I891" i="29"/>
  <c r="D891" i="29"/>
  <c r="J891" i="29" s="1"/>
  <c r="I890" i="29"/>
  <c r="D890" i="29"/>
  <c r="J890" i="29" s="1"/>
  <c r="I889" i="29"/>
  <c r="D889" i="29"/>
  <c r="J889" i="29" s="1"/>
  <c r="I888" i="29"/>
  <c r="D888" i="29"/>
  <c r="J888" i="29" s="1"/>
  <c r="I887" i="29"/>
  <c r="D887" i="29"/>
  <c r="J887" i="29" s="1"/>
  <c r="I886" i="29"/>
  <c r="D886" i="29"/>
  <c r="J886" i="29" s="1"/>
  <c r="J885" i="29"/>
  <c r="I885" i="29"/>
  <c r="F885" i="29"/>
  <c r="J884" i="29"/>
  <c r="I884" i="29"/>
  <c r="F884" i="29"/>
  <c r="J883" i="29"/>
  <c r="I883" i="29"/>
  <c r="F883" i="29"/>
  <c r="J882" i="29"/>
  <c r="I882" i="29"/>
  <c r="F882" i="29"/>
  <c r="I881" i="29"/>
  <c r="F881" i="29"/>
  <c r="G880" i="29"/>
  <c r="I880" i="29" s="1"/>
  <c r="F880" i="29"/>
  <c r="I879" i="29"/>
  <c r="F879" i="29"/>
  <c r="J878" i="29"/>
  <c r="I878" i="29"/>
  <c r="F878" i="29"/>
  <c r="J877" i="29"/>
  <c r="I877" i="29"/>
  <c r="F877" i="29"/>
  <c r="D876" i="29"/>
  <c r="G876" i="29" s="1"/>
  <c r="I876" i="29" s="1"/>
  <c r="D875" i="29"/>
  <c r="G875" i="29" s="1"/>
  <c r="I875" i="29" s="1"/>
  <c r="I874" i="29"/>
  <c r="F874" i="29"/>
  <c r="I873" i="29"/>
  <c r="F873" i="29"/>
  <c r="J872" i="29"/>
  <c r="I872" i="29"/>
  <c r="F872" i="29"/>
  <c r="I871" i="29"/>
  <c r="F871" i="29"/>
  <c r="G870" i="29"/>
  <c r="J870" i="29" s="1"/>
  <c r="F870" i="29"/>
  <c r="G869" i="29"/>
  <c r="J869" i="29" s="1"/>
  <c r="F869" i="29"/>
  <c r="I868" i="29"/>
  <c r="F868" i="29"/>
  <c r="J867" i="29"/>
  <c r="I867" i="29"/>
  <c r="F867" i="29"/>
  <c r="J866" i="29"/>
  <c r="I866" i="29"/>
  <c r="F866" i="29"/>
  <c r="I865" i="29"/>
  <c r="F865" i="29"/>
  <c r="I864" i="29"/>
  <c r="F864" i="29"/>
  <c r="G863" i="29"/>
  <c r="I863" i="29" s="1"/>
  <c r="F863" i="29"/>
  <c r="G862" i="29"/>
  <c r="I862" i="29" s="1"/>
  <c r="F862" i="29"/>
  <c r="G861" i="29"/>
  <c r="I861" i="29" s="1"/>
  <c r="F861" i="29"/>
  <c r="G860" i="29"/>
  <c r="I860" i="29" s="1"/>
  <c r="F860" i="29"/>
  <c r="I859" i="29"/>
  <c r="F859" i="29"/>
  <c r="I858" i="29"/>
  <c r="D858" i="29"/>
  <c r="J858" i="29" s="1"/>
  <c r="I857" i="29"/>
  <c r="D857" i="29"/>
  <c r="J857" i="29" s="1"/>
  <c r="J856" i="29"/>
  <c r="I856" i="29"/>
  <c r="F856" i="29"/>
  <c r="J855" i="29"/>
  <c r="I855" i="29"/>
  <c r="F855" i="29"/>
  <c r="J854" i="29"/>
  <c r="I854" i="29"/>
  <c r="F854" i="29"/>
  <c r="J853" i="29"/>
  <c r="I853" i="29"/>
  <c r="F853" i="29"/>
  <c r="I852" i="29"/>
  <c r="F852" i="29"/>
  <c r="I851" i="29"/>
  <c r="D851" i="29"/>
  <c r="F851" i="29" s="1"/>
  <c r="I850" i="29"/>
  <c r="D850" i="29"/>
  <c r="F850" i="29" s="1"/>
  <c r="I849" i="29"/>
  <c r="D849" i="29"/>
  <c r="F849" i="29" s="1"/>
  <c r="D848" i="29"/>
  <c r="F848" i="29" s="1"/>
  <c r="I847" i="29"/>
  <c r="F847" i="29"/>
  <c r="I846" i="29"/>
  <c r="D846" i="29"/>
  <c r="J846" i="29" s="1"/>
  <c r="J845" i="29"/>
  <c r="I845" i="29"/>
  <c r="F845" i="29"/>
  <c r="J844" i="29"/>
  <c r="I844" i="29"/>
  <c r="F844" i="29"/>
  <c r="J850" i="29" l="1"/>
  <c r="J912" i="29"/>
  <c r="J851" i="29"/>
  <c r="J849" i="29"/>
  <c r="G848" i="29"/>
  <c r="I848" i="29" s="1"/>
  <c r="F846" i="29"/>
  <c r="F857" i="29"/>
  <c r="F858" i="29"/>
  <c r="F886" i="29"/>
  <c r="F887" i="29"/>
  <c r="F888" i="29"/>
  <c r="F889" i="29"/>
  <c r="F890" i="29"/>
  <c r="F891" i="29"/>
  <c r="J876" i="29"/>
  <c r="I869" i="29"/>
  <c r="I870" i="29"/>
  <c r="F875" i="29"/>
  <c r="F876" i="29"/>
  <c r="I910" i="29"/>
  <c r="J837" i="29"/>
  <c r="I837" i="29"/>
  <c r="F837" i="29"/>
  <c r="J836" i="29"/>
  <c r="I836" i="29"/>
  <c r="F836" i="29"/>
  <c r="G835" i="29"/>
  <c r="J835" i="29" s="1"/>
  <c r="F835" i="29"/>
  <c r="I834" i="29"/>
  <c r="F834" i="29"/>
  <c r="G833" i="29"/>
  <c r="I833" i="29" s="1"/>
  <c r="F833" i="29"/>
  <c r="J832" i="29"/>
  <c r="I832" i="29"/>
  <c r="F832" i="29"/>
  <c r="I831" i="29"/>
  <c r="F831" i="29"/>
  <c r="I830" i="29"/>
  <c r="F830" i="29"/>
  <c r="I829" i="29"/>
  <c r="F829" i="29"/>
  <c r="I828" i="29"/>
  <c r="D828" i="29"/>
  <c r="F828" i="29" s="1"/>
  <c r="G827" i="29"/>
  <c r="I827" i="29" s="1"/>
  <c r="F827" i="29"/>
  <c r="G826" i="29"/>
  <c r="I826" i="29" s="1"/>
  <c r="F826" i="29"/>
  <c r="I825" i="29"/>
  <c r="F825" i="29"/>
  <c r="G824" i="29"/>
  <c r="I824" i="29" s="1"/>
  <c r="F824" i="29"/>
  <c r="G823" i="29"/>
  <c r="I823" i="29" s="1"/>
  <c r="F823" i="29"/>
  <c r="I822" i="29"/>
  <c r="F822" i="29"/>
  <c r="J821" i="29"/>
  <c r="I821" i="29"/>
  <c r="F821" i="29"/>
  <c r="J820" i="29"/>
  <c r="I820" i="29"/>
  <c r="F820" i="29"/>
  <c r="J819" i="29"/>
  <c r="I819" i="29"/>
  <c r="F819" i="29"/>
  <c r="J818" i="29"/>
  <c r="I818" i="29"/>
  <c r="F818" i="29"/>
  <c r="J817" i="29"/>
  <c r="I817" i="29"/>
  <c r="F817" i="29"/>
  <c r="J816" i="29"/>
  <c r="I816" i="29"/>
  <c r="F816" i="29"/>
  <c r="J815" i="29"/>
  <c r="I815" i="29"/>
  <c r="F815" i="29"/>
  <c r="I814" i="29"/>
  <c r="D814" i="29"/>
  <c r="J814" i="29" s="1"/>
  <c r="I813" i="29"/>
  <c r="D813" i="29"/>
  <c r="J813" i="29" s="1"/>
  <c r="I812" i="29"/>
  <c r="D812" i="29"/>
  <c r="J812" i="29" s="1"/>
  <c r="I811" i="29"/>
  <c r="D811" i="29"/>
  <c r="J811" i="29" s="1"/>
  <c r="I810" i="29"/>
  <c r="D810" i="29"/>
  <c r="J810" i="29" s="1"/>
  <c r="I809" i="29"/>
  <c r="D809" i="29"/>
  <c r="J809" i="29" s="1"/>
  <c r="J808" i="29"/>
  <c r="I808" i="29"/>
  <c r="F808" i="29"/>
  <c r="J807" i="29"/>
  <c r="I807" i="29"/>
  <c r="F807" i="29"/>
  <c r="J806" i="29"/>
  <c r="I806" i="29"/>
  <c r="F806" i="29"/>
  <c r="J805" i="29"/>
  <c r="I805" i="29"/>
  <c r="F805" i="29"/>
  <c r="I804" i="29"/>
  <c r="F804" i="29"/>
  <c r="G803" i="29"/>
  <c r="I803" i="29" s="1"/>
  <c r="F803" i="29"/>
  <c r="I802" i="29"/>
  <c r="F802" i="29"/>
  <c r="J801" i="29"/>
  <c r="I801" i="29"/>
  <c r="F801" i="29"/>
  <c r="J800" i="29"/>
  <c r="I800" i="29"/>
  <c r="F800" i="29"/>
  <c r="D799" i="29"/>
  <c r="F799" i="29" s="1"/>
  <c r="D798" i="29"/>
  <c r="F798" i="29" s="1"/>
  <c r="I797" i="29"/>
  <c r="F797" i="29"/>
  <c r="I796" i="29"/>
  <c r="F796" i="29"/>
  <c r="J795" i="29"/>
  <c r="I795" i="29"/>
  <c r="F795" i="29"/>
  <c r="I794" i="29"/>
  <c r="F794" i="29"/>
  <c r="G793" i="29"/>
  <c r="I793" i="29" s="1"/>
  <c r="F793" i="29"/>
  <c r="G792" i="29"/>
  <c r="I792" i="29" s="1"/>
  <c r="F792" i="29"/>
  <c r="I791" i="29"/>
  <c r="F791" i="29"/>
  <c r="J790" i="29"/>
  <c r="I790" i="29"/>
  <c r="F790" i="29"/>
  <c r="J789" i="29"/>
  <c r="I789" i="29"/>
  <c r="F789" i="29"/>
  <c r="I788" i="29"/>
  <c r="F788" i="29"/>
  <c r="I787" i="29"/>
  <c r="F787" i="29"/>
  <c r="G786" i="29"/>
  <c r="I786" i="29" s="1"/>
  <c r="F786" i="29"/>
  <c r="G785" i="29"/>
  <c r="I785" i="29" s="1"/>
  <c r="F785" i="29"/>
  <c r="G784" i="29"/>
  <c r="I784" i="29" s="1"/>
  <c r="F784" i="29"/>
  <c r="G783" i="29"/>
  <c r="I783" i="29" s="1"/>
  <c r="F783" i="29"/>
  <c r="I782" i="29"/>
  <c r="F782" i="29"/>
  <c r="I781" i="29"/>
  <c r="D781" i="29"/>
  <c r="J781" i="29" s="1"/>
  <c r="I780" i="29"/>
  <c r="D780" i="29"/>
  <c r="J780" i="29" s="1"/>
  <c r="J779" i="29"/>
  <c r="I779" i="29"/>
  <c r="F779" i="29"/>
  <c r="J778" i="29"/>
  <c r="I778" i="29"/>
  <c r="F778" i="29"/>
  <c r="J777" i="29"/>
  <c r="I777" i="29"/>
  <c r="F777" i="29"/>
  <c r="J776" i="29"/>
  <c r="I776" i="29"/>
  <c r="F776" i="29"/>
  <c r="I775" i="29"/>
  <c r="F775" i="29"/>
  <c r="I774" i="29"/>
  <c r="D774" i="29"/>
  <c r="F774" i="29" s="1"/>
  <c r="I773" i="29"/>
  <c r="D773" i="29"/>
  <c r="F773" i="29" s="1"/>
  <c r="I772" i="29"/>
  <c r="D772" i="29"/>
  <c r="F772" i="29" s="1"/>
  <c r="D771" i="29"/>
  <c r="G771" i="29" s="1"/>
  <c r="I771" i="29" s="1"/>
  <c r="I770" i="29"/>
  <c r="F770" i="29"/>
  <c r="I769" i="29"/>
  <c r="D769" i="29"/>
  <c r="F769" i="29" s="1"/>
  <c r="J768" i="29"/>
  <c r="I768" i="29"/>
  <c r="F768" i="29"/>
  <c r="J767" i="29"/>
  <c r="I767" i="29"/>
  <c r="F767" i="29"/>
  <c r="J769" i="29" l="1"/>
  <c r="F771" i="29"/>
  <c r="J772" i="29"/>
  <c r="J773" i="29"/>
  <c r="J774" i="29"/>
  <c r="F780" i="29"/>
  <c r="F781" i="29"/>
  <c r="J833" i="29"/>
  <c r="J792" i="29"/>
  <c r="J793" i="29"/>
  <c r="G798" i="29"/>
  <c r="I798" i="29" s="1"/>
  <c r="G799" i="29"/>
  <c r="I799" i="29" s="1"/>
  <c r="F809" i="29"/>
  <c r="F810" i="29"/>
  <c r="F811" i="29"/>
  <c r="F812" i="29"/>
  <c r="F813" i="29"/>
  <c r="F814" i="29"/>
  <c r="I835" i="29"/>
  <c r="J799" i="29" l="1"/>
  <c r="F109" i="29" l="1"/>
  <c r="J103" i="29" l="1"/>
  <c r="J759" i="29" l="1"/>
  <c r="I759" i="29"/>
  <c r="F759" i="29"/>
  <c r="J758" i="29"/>
  <c r="I758" i="29"/>
  <c r="F758" i="29"/>
  <c r="J757" i="29"/>
  <c r="I757" i="29"/>
  <c r="F757" i="29"/>
  <c r="I756" i="29"/>
  <c r="F756" i="29"/>
  <c r="J755" i="29"/>
  <c r="I755" i="29"/>
  <c r="F755" i="29"/>
  <c r="J754" i="29"/>
  <c r="I754" i="29"/>
  <c r="F754" i="29"/>
  <c r="I753" i="29"/>
  <c r="F753" i="29"/>
  <c r="G752" i="29"/>
  <c r="J752" i="29" s="1"/>
  <c r="F752" i="29"/>
  <c r="G751" i="29"/>
  <c r="J751" i="29" s="1"/>
  <c r="F751" i="29"/>
  <c r="G750" i="29"/>
  <c r="J750" i="29" s="1"/>
  <c r="F750" i="29"/>
  <c r="J749" i="29"/>
  <c r="I749" i="29"/>
  <c r="F749" i="29"/>
  <c r="J748" i="29"/>
  <c r="I748" i="29"/>
  <c r="F748" i="29"/>
  <c r="J747" i="29"/>
  <c r="I747" i="29"/>
  <c r="F747" i="29"/>
  <c r="J746" i="29"/>
  <c r="I746" i="29"/>
  <c r="F746" i="29"/>
  <c r="J745" i="29"/>
  <c r="I745" i="29"/>
  <c r="F745" i="29"/>
  <c r="J744" i="29"/>
  <c r="I744" i="29"/>
  <c r="F744" i="29"/>
  <c r="J743" i="29"/>
  <c r="I743" i="29"/>
  <c r="F743" i="29"/>
  <c r="I742" i="29"/>
  <c r="D742" i="29"/>
  <c r="F742" i="29" s="1"/>
  <c r="I741" i="29"/>
  <c r="D741" i="29"/>
  <c r="F741" i="29" s="1"/>
  <c r="I740" i="29"/>
  <c r="D740" i="29"/>
  <c r="F740" i="29" s="1"/>
  <c r="I739" i="29"/>
  <c r="D739" i="29"/>
  <c r="F739" i="29" s="1"/>
  <c r="I738" i="29"/>
  <c r="D738" i="29"/>
  <c r="F738" i="29" s="1"/>
  <c r="I737" i="29"/>
  <c r="D737" i="29"/>
  <c r="F737" i="29" s="1"/>
  <c r="I736" i="29"/>
  <c r="F736" i="29"/>
  <c r="I735" i="29"/>
  <c r="D735" i="29"/>
  <c r="F735" i="29" s="1"/>
  <c r="I734" i="29"/>
  <c r="D734" i="29"/>
  <c r="F734" i="29" s="1"/>
  <c r="I733" i="29"/>
  <c r="D733" i="29"/>
  <c r="F733" i="29" s="1"/>
  <c r="I732" i="29"/>
  <c r="D732" i="29"/>
  <c r="F732" i="29" s="1"/>
  <c r="I731" i="29"/>
  <c r="D731" i="29"/>
  <c r="F731" i="29" s="1"/>
  <c r="I730" i="29"/>
  <c r="D730" i="29"/>
  <c r="F730" i="29" s="1"/>
  <c r="I729" i="29"/>
  <c r="D729" i="29"/>
  <c r="F729" i="29" s="1"/>
  <c r="I728" i="29"/>
  <c r="D728" i="29"/>
  <c r="F728" i="29" s="1"/>
  <c r="J727" i="29"/>
  <c r="I727" i="29"/>
  <c r="F727" i="29"/>
  <c r="J726" i="29"/>
  <c r="I726" i="29"/>
  <c r="F726" i="29"/>
  <c r="J725" i="29"/>
  <c r="I725" i="29"/>
  <c r="F725" i="29"/>
  <c r="J724" i="29"/>
  <c r="I724" i="29"/>
  <c r="F724" i="29"/>
  <c r="J723" i="29"/>
  <c r="I723" i="29"/>
  <c r="F723" i="29"/>
  <c r="J722" i="29"/>
  <c r="I722" i="29"/>
  <c r="F722" i="29"/>
  <c r="I721" i="29"/>
  <c r="D721" i="29"/>
  <c r="F721" i="29" s="1"/>
  <c r="I720" i="29"/>
  <c r="F720" i="29"/>
  <c r="I719" i="29"/>
  <c r="D719" i="29"/>
  <c r="F719" i="29" s="1"/>
  <c r="I718" i="29"/>
  <c r="D718" i="29"/>
  <c r="F718" i="29" s="1"/>
  <c r="J717" i="29"/>
  <c r="I717" i="29"/>
  <c r="F717" i="29"/>
  <c r="J716" i="29"/>
  <c r="I716" i="29"/>
  <c r="F716" i="29"/>
  <c r="G715" i="29"/>
  <c r="I715" i="29" s="1"/>
  <c r="F715" i="29"/>
  <c r="G714" i="29"/>
  <c r="I714" i="29" s="1"/>
  <c r="F714" i="29"/>
  <c r="G713" i="29"/>
  <c r="J713" i="29" s="1"/>
  <c r="F713" i="29"/>
  <c r="G712" i="29"/>
  <c r="J712" i="29" s="1"/>
  <c r="F712" i="29"/>
  <c r="J711" i="29"/>
  <c r="I711" i="29"/>
  <c r="F711" i="29"/>
  <c r="I710" i="29"/>
  <c r="F710" i="29"/>
  <c r="I709" i="29"/>
  <c r="F709" i="29"/>
  <c r="I708" i="29"/>
  <c r="F708" i="29"/>
  <c r="I707" i="29"/>
  <c r="F707" i="29"/>
  <c r="D706" i="29"/>
  <c r="F706" i="29" s="1"/>
  <c r="D705" i="29"/>
  <c r="G705" i="29" s="1"/>
  <c r="I705" i="29" s="1"/>
  <c r="D704" i="29"/>
  <c r="D703" i="29"/>
  <c r="F703" i="29" s="1"/>
  <c r="D702" i="29"/>
  <c r="F702" i="29" s="1"/>
  <c r="D701" i="29"/>
  <c r="G701" i="29" s="1"/>
  <c r="I701" i="29" s="1"/>
  <c r="D700" i="29"/>
  <c r="D699" i="29"/>
  <c r="G699" i="29" s="1"/>
  <c r="I699" i="29" s="1"/>
  <c r="D698" i="29"/>
  <c r="F698" i="29" s="1"/>
  <c r="D697" i="29"/>
  <c r="G697" i="29" s="1"/>
  <c r="I697" i="29" s="1"/>
  <c r="G696" i="29"/>
  <c r="I696" i="29" s="1"/>
  <c r="F696" i="29"/>
  <c r="G695" i="29"/>
  <c r="I695" i="29" s="1"/>
  <c r="F695" i="29"/>
  <c r="D694" i="29"/>
  <c r="G694" i="29" s="1"/>
  <c r="I694" i="29" s="1"/>
  <c r="J693" i="29"/>
  <c r="I693" i="29"/>
  <c r="F693" i="29"/>
  <c r="G692" i="29"/>
  <c r="I692" i="29" s="1"/>
  <c r="F692" i="29"/>
  <c r="G691" i="29"/>
  <c r="I691" i="29" s="1"/>
  <c r="F691" i="29"/>
  <c r="J690" i="29"/>
  <c r="I690" i="29"/>
  <c r="F690" i="29"/>
  <c r="G689" i="29"/>
  <c r="J689" i="29" s="1"/>
  <c r="F689" i="29"/>
  <c r="I688" i="29"/>
  <c r="F688" i="29"/>
  <c r="I687" i="29"/>
  <c r="F687" i="29"/>
  <c r="I686" i="29"/>
  <c r="F686" i="29"/>
  <c r="I685" i="29"/>
  <c r="D685" i="29"/>
  <c r="J685" i="29" s="1"/>
  <c r="D684" i="29"/>
  <c r="F684" i="29" s="1"/>
  <c r="I683" i="29"/>
  <c r="F683" i="29"/>
  <c r="I682" i="29"/>
  <c r="D682" i="29"/>
  <c r="F682" i="29" s="1"/>
  <c r="I681" i="29"/>
  <c r="D681" i="29"/>
  <c r="F681" i="29" s="1"/>
  <c r="I680" i="29"/>
  <c r="D680" i="29"/>
  <c r="F680" i="29" s="1"/>
  <c r="I679" i="29"/>
  <c r="F679" i="29"/>
  <c r="I678" i="29"/>
  <c r="D678" i="29"/>
  <c r="J678" i="29" s="1"/>
  <c r="I677" i="29"/>
  <c r="D677" i="29"/>
  <c r="J677" i="29" s="1"/>
  <c r="I676" i="29"/>
  <c r="D676" i="29"/>
  <c r="J676" i="29" s="1"/>
  <c r="I675" i="29"/>
  <c r="D675" i="29"/>
  <c r="J675" i="29" s="1"/>
  <c r="I674" i="29"/>
  <c r="D674" i="29"/>
  <c r="J674" i="29" s="1"/>
  <c r="I673" i="29"/>
  <c r="D673" i="29"/>
  <c r="J673" i="29" s="1"/>
  <c r="J672" i="29"/>
  <c r="I672" i="29"/>
  <c r="F672" i="29"/>
  <c r="J671" i="29"/>
  <c r="I671" i="29"/>
  <c r="F671" i="29"/>
  <c r="G670" i="29"/>
  <c r="I670" i="29" s="1"/>
  <c r="F670" i="29"/>
  <c r="G669" i="29"/>
  <c r="I669" i="29" s="1"/>
  <c r="F669" i="29"/>
  <c r="J733" i="29" l="1"/>
  <c r="J728" i="29"/>
  <c r="J718" i="29"/>
  <c r="G702" i="29"/>
  <c r="I702" i="29" s="1"/>
  <c r="J696" i="29"/>
  <c r="J680" i="29"/>
  <c r="J719" i="29"/>
  <c r="J732" i="29"/>
  <c r="J669" i="29"/>
  <c r="I689" i="29"/>
  <c r="J692" i="29"/>
  <c r="J670" i="29"/>
  <c r="F673" i="29"/>
  <c r="F674" i="29"/>
  <c r="F675" i="29"/>
  <c r="F676" i="29"/>
  <c r="F677" i="29"/>
  <c r="F678" i="29"/>
  <c r="J691" i="29"/>
  <c r="G698" i="29"/>
  <c r="I698" i="29" s="1"/>
  <c r="I712" i="29"/>
  <c r="I713" i="29"/>
  <c r="J731" i="29"/>
  <c r="J735" i="29"/>
  <c r="I750" i="29"/>
  <c r="I751" i="29"/>
  <c r="I752" i="29"/>
  <c r="J682" i="29"/>
  <c r="J699" i="29"/>
  <c r="J730" i="29"/>
  <c r="J734" i="29"/>
  <c r="J681" i="29"/>
  <c r="G684" i="29"/>
  <c r="I684" i="29" s="1"/>
  <c r="J695" i="29"/>
  <c r="F699" i="29"/>
  <c r="G703" i="29"/>
  <c r="I703" i="29" s="1"/>
  <c r="G706" i="29"/>
  <c r="I706" i="29" s="1"/>
  <c r="J729" i="29"/>
  <c r="J694" i="29"/>
  <c r="F685" i="29"/>
  <c r="F694" i="29"/>
  <c r="J697" i="29"/>
  <c r="F700" i="29"/>
  <c r="J701" i="29"/>
  <c r="F704" i="29"/>
  <c r="J705" i="29"/>
  <c r="F697" i="29"/>
  <c r="J698" i="29"/>
  <c r="G700" i="29"/>
  <c r="I700" i="29" s="1"/>
  <c r="F701" i="29"/>
  <c r="G704" i="29"/>
  <c r="I704" i="29" s="1"/>
  <c r="F705" i="29"/>
  <c r="J706" i="29"/>
  <c r="J702" i="29" l="1"/>
  <c r="J684" i="29"/>
  <c r="J703" i="29"/>
  <c r="J704" i="29"/>
  <c r="J700" i="29"/>
  <c r="J108" i="29" l="1"/>
  <c r="J109" i="29"/>
  <c r="I658" i="29"/>
  <c r="F658" i="29"/>
  <c r="I657" i="29"/>
  <c r="F657" i="29"/>
  <c r="I656" i="29"/>
  <c r="F656" i="29"/>
  <c r="I655" i="29"/>
  <c r="F655" i="29"/>
  <c r="J654" i="29"/>
  <c r="I654" i="29"/>
  <c r="F654" i="29"/>
  <c r="I653" i="29"/>
  <c r="F653" i="29"/>
  <c r="I652" i="29"/>
  <c r="F652" i="29"/>
  <c r="I651" i="29"/>
  <c r="F651" i="29"/>
  <c r="J650" i="29"/>
  <c r="I650" i="29"/>
  <c r="F650" i="29"/>
  <c r="I649" i="29"/>
  <c r="I648" i="29"/>
  <c r="I647" i="29"/>
  <c r="I646" i="29"/>
  <c r="I645" i="29"/>
  <c r="I644" i="29"/>
  <c r="F644" i="29"/>
  <c r="I643" i="29"/>
  <c r="F643" i="29"/>
  <c r="I642" i="29"/>
  <c r="F642" i="29"/>
  <c r="I641" i="29"/>
  <c r="F641" i="29"/>
  <c r="I640" i="29"/>
  <c r="F640" i="29"/>
  <c r="I639" i="29"/>
  <c r="D639" i="29"/>
  <c r="J639" i="29" s="1"/>
  <c r="I638" i="29"/>
  <c r="F638" i="29"/>
  <c r="I637" i="29"/>
  <c r="D637" i="29"/>
  <c r="F637" i="29" s="1"/>
  <c r="I636" i="29"/>
  <c r="D636" i="29"/>
  <c r="F636" i="29" s="1"/>
  <c r="I635" i="29"/>
  <c r="D635" i="29"/>
  <c r="F635" i="29" s="1"/>
  <c r="I634" i="29"/>
  <c r="D634" i="29"/>
  <c r="F634" i="29" s="1"/>
  <c r="J633" i="29"/>
  <c r="I633" i="29"/>
  <c r="F633" i="29"/>
  <c r="I632" i="29"/>
  <c r="D632" i="29"/>
  <c r="J632" i="29" s="1"/>
  <c r="I631" i="29"/>
  <c r="D631" i="29"/>
  <c r="J631" i="29" s="1"/>
  <c r="I630" i="29"/>
  <c r="D630" i="29"/>
  <c r="J630" i="29" s="1"/>
  <c r="I629" i="29"/>
  <c r="D629" i="29"/>
  <c r="J629" i="29" s="1"/>
  <c r="I628" i="29"/>
  <c r="D628" i="29"/>
  <c r="J628" i="29" s="1"/>
  <c r="J627" i="29"/>
  <c r="I627" i="29"/>
  <c r="F627" i="29"/>
  <c r="J626" i="29"/>
  <c r="I626" i="29"/>
  <c r="F626" i="29"/>
  <c r="I625" i="29"/>
  <c r="F625" i="29"/>
  <c r="G624" i="29"/>
  <c r="J624" i="29" s="1"/>
  <c r="F624" i="29"/>
  <c r="G623" i="29"/>
  <c r="J623" i="29" s="1"/>
  <c r="F623" i="29"/>
  <c r="I622" i="29"/>
  <c r="F622" i="29"/>
  <c r="J621" i="29"/>
  <c r="I621" i="29"/>
  <c r="F621" i="29"/>
  <c r="I620" i="29"/>
  <c r="D620" i="29"/>
  <c r="F620" i="29" s="1"/>
  <c r="I619" i="29"/>
  <c r="D619" i="29"/>
  <c r="F619" i="29" s="1"/>
  <c r="I618" i="29"/>
  <c r="D618" i="29"/>
  <c r="F618" i="29" s="1"/>
  <c r="D617" i="29"/>
  <c r="G617" i="29" s="1"/>
  <c r="I617" i="29" s="1"/>
  <c r="D616" i="29"/>
  <c r="G616" i="29" s="1"/>
  <c r="I616" i="29" s="1"/>
  <c r="D615" i="29"/>
  <c r="F615" i="29" s="1"/>
  <c r="J614" i="29"/>
  <c r="I614" i="29"/>
  <c r="F614" i="29"/>
  <c r="D613" i="29"/>
  <c r="F613" i="29" s="1"/>
  <c r="D612" i="29"/>
  <c r="F612" i="29" s="1"/>
  <c r="D611" i="29"/>
  <c r="G611" i="29" s="1"/>
  <c r="I611" i="29" s="1"/>
  <c r="D610" i="29"/>
  <c r="F610" i="29" s="1"/>
  <c r="I609" i="29"/>
  <c r="D609" i="29"/>
  <c r="J609" i="29" s="1"/>
  <c r="G608" i="29"/>
  <c r="I608" i="29" s="1"/>
  <c r="D608" i="29"/>
  <c r="F608" i="29" s="1"/>
  <c r="I607" i="29"/>
  <c r="F607" i="29"/>
  <c r="J606" i="29"/>
  <c r="I606" i="29"/>
  <c r="F606" i="29"/>
  <c r="G605" i="29"/>
  <c r="J605" i="29" s="1"/>
  <c r="F605" i="29"/>
  <c r="G604" i="29"/>
  <c r="J604" i="29" s="1"/>
  <c r="F604" i="29"/>
  <c r="I603" i="29"/>
  <c r="F603" i="29"/>
  <c r="I602" i="29"/>
  <c r="F602" i="29"/>
  <c r="J601" i="29"/>
  <c r="I601" i="29"/>
  <c r="F601" i="29"/>
  <c r="J600" i="29"/>
  <c r="I600" i="29"/>
  <c r="F600" i="29"/>
  <c r="J599" i="29"/>
  <c r="I599" i="29"/>
  <c r="F599" i="29"/>
  <c r="G598" i="29"/>
  <c r="I598" i="29" s="1"/>
  <c r="D598" i="29"/>
  <c r="F598" i="29" s="1"/>
  <c r="G597" i="29"/>
  <c r="I597" i="29" s="1"/>
  <c r="D597" i="29"/>
  <c r="F597" i="29" s="1"/>
  <c r="G596" i="29"/>
  <c r="I596" i="29" s="1"/>
  <c r="D596" i="29"/>
  <c r="F596" i="29" s="1"/>
  <c r="G595" i="29"/>
  <c r="I595" i="29" s="1"/>
  <c r="D595" i="29"/>
  <c r="F595" i="29" s="1"/>
  <c r="I594" i="29"/>
  <c r="D594" i="29"/>
  <c r="J594" i="29" s="1"/>
  <c r="I593" i="29"/>
  <c r="F593" i="29"/>
  <c r="I592" i="29"/>
  <c r="F592" i="29"/>
  <c r="I591" i="29"/>
  <c r="J590" i="29"/>
  <c r="I590" i="29"/>
  <c r="F590" i="29"/>
  <c r="I589" i="29"/>
  <c r="F589" i="29"/>
  <c r="I588" i="29"/>
  <c r="G587" i="29"/>
  <c r="I587" i="29" s="1"/>
  <c r="D587" i="29"/>
  <c r="G586" i="29"/>
  <c r="I586" i="29" s="1"/>
  <c r="D586" i="29"/>
  <c r="F586" i="29" s="1"/>
  <c r="I585" i="29"/>
  <c r="D585" i="29"/>
  <c r="F585" i="29" s="1"/>
  <c r="I584" i="29"/>
  <c r="D584" i="29"/>
  <c r="F584" i="29" s="1"/>
  <c r="I583" i="29"/>
  <c r="F583" i="29"/>
  <c r="I582" i="29"/>
  <c r="F582" i="29"/>
  <c r="J581" i="29"/>
  <c r="I581" i="29"/>
  <c r="F581" i="29"/>
  <c r="J580" i="29"/>
  <c r="I580" i="29"/>
  <c r="F580" i="29"/>
  <c r="F617" i="29" l="1"/>
  <c r="G610" i="29"/>
  <c r="I610" i="29" s="1"/>
  <c r="J587" i="29"/>
  <c r="F594" i="29"/>
  <c r="F609" i="29"/>
  <c r="F639" i="29"/>
  <c r="F611" i="29"/>
  <c r="F587" i="29"/>
  <c r="I605" i="29"/>
  <c r="I623" i="29"/>
  <c r="I604" i="29"/>
  <c r="G612" i="29"/>
  <c r="I612" i="29" s="1"/>
  <c r="I624" i="29"/>
  <c r="J616" i="29"/>
  <c r="J584" i="29"/>
  <c r="J585" i="29"/>
  <c r="J611" i="29"/>
  <c r="G613" i="29"/>
  <c r="I613" i="29" s="1"/>
  <c r="G615" i="29"/>
  <c r="I615" i="29" s="1"/>
  <c r="F616" i="29"/>
  <c r="J617" i="29"/>
  <c r="F628" i="29"/>
  <c r="F629" i="29"/>
  <c r="F630" i="29"/>
  <c r="F631" i="29"/>
  <c r="F632" i="29"/>
  <c r="J586" i="29"/>
  <c r="J612" i="29" l="1"/>
  <c r="J615" i="29"/>
  <c r="J613" i="29"/>
  <c r="I659" i="29" l="1"/>
  <c r="F659" i="29"/>
  <c r="I563" i="29" l="1"/>
  <c r="I562" i="29"/>
  <c r="I561" i="29"/>
  <c r="I560" i="29"/>
  <c r="I559" i="29"/>
  <c r="I558" i="29"/>
  <c r="I557" i="29"/>
  <c r="I556" i="29"/>
  <c r="I555" i="29"/>
  <c r="J554" i="29"/>
  <c r="I554" i="29"/>
  <c r="F554" i="29"/>
  <c r="I553" i="29"/>
  <c r="F553" i="29"/>
  <c r="I552" i="29"/>
  <c r="F552" i="29"/>
  <c r="I551" i="29"/>
  <c r="F551" i="29"/>
  <c r="I550" i="29"/>
  <c r="F550" i="29"/>
  <c r="I549" i="29"/>
  <c r="F549" i="29"/>
  <c r="G548" i="29"/>
  <c r="I548" i="29" s="1"/>
  <c r="F548" i="29"/>
  <c r="J547" i="29"/>
  <c r="I547" i="29"/>
  <c r="F547" i="29"/>
  <c r="I546" i="29"/>
  <c r="F546" i="29"/>
  <c r="I545" i="29"/>
  <c r="F545" i="29"/>
  <c r="I544" i="29"/>
  <c r="F544" i="29"/>
  <c r="J543" i="29"/>
  <c r="I543" i="29"/>
  <c r="F543" i="29"/>
  <c r="I542" i="29"/>
  <c r="D542" i="29"/>
  <c r="F542" i="29" s="1"/>
  <c r="G541" i="29"/>
  <c r="I541" i="29" s="1"/>
  <c r="F541" i="29"/>
  <c r="G540" i="29"/>
  <c r="I540" i="29" s="1"/>
  <c r="F540" i="29"/>
  <c r="I539" i="29"/>
  <c r="F539" i="29"/>
  <c r="G538" i="29"/>
  <c r="I538" i="29" s="1"/>
  <c r="F538" i="29"/>
  <c r="I537" i="29"/>
  <c r="F537" i="29"/>
  <c r="I536" i="29"/>
  <c r="F536" i="29"/>
  <c r="I535" i="29"/>
  <c r="I534" i="29"/>
  <c r="I533" i="29"/>
  <c r="I532" i="29"/>
  <c r="J531" i="29"/>
  <c r="I531" i="29"/>
  <c r="F531" i="29"/>
  <c r="I530" i="29"/>
  <c r="D530" i="29"/>
  <c r="F530" i="29" s="1"/>
  <c r="I529" i="29"/>
  <c r="D529" i="29"/>
  <c r="F529" i="29" s="1"/>
  <c r="I528" i="29"/>
  <c r="D528" i="29"/>
  <c r="F528" i="29" s="1"/>
  <c r="J527" i="29"/>
  <c r="I527" i="29"/>
  <c r="F527" i="29"/>
  <c r="G526" i="29"/>
  <c r="I526" i="29" s="1"/>
  <c r="D526" i="29"/>
  <c r="F526" i="29" s="1"/>
  <c r="G525" i="29"/>
  <c r="I525" i="29" s="1"/>
  <c r="D525" i="29"/>
  <c r="F525" i="29" s="1"/>
  <c r="G524" i="29"/>
  <c r="I524" i="29" s="1"/>
  <c r="D524" i="29"/>
  <c r="F524" i="29" s="1"/>
  <c r="G523" i="29"/>
  <c r="I523" i="29" s="1"/>
  <c r="D523" i="29"/>
  <c r="F523" i="29" s="1"/>
  <c r="J522" i="29"/>
  <c r="I522" i="29"/>
  <c r="F522" i="29"/>
  <c r="J521" i="29"/>
  <c r="I521" i="29"/>
  <c r="F521" i="29"/>
  <c r="J520" i="29"/>
  <c r="I520" i="29"/>
  <c r="F520" i="29"/>
  <c r="I519" i="29"/>
  <c r="F519" i="29"/>
  <c r="I518" i="29"/>
  <c r="F518" i="29"/>
  <c r="I517" i="29"/>
  <c r="F517" i="29"/>
  <c r="J516" i="29"/>
  <c r="I516" i="29"/>
  <c r="F516" i="29"/>
  <c r="I515" i="29"/>
  <c r="D515" i="29"/>
  <c r="F515" i="29" s="1"/>
  <c r="I514" i="29"/>
  <c r="D514" i="29"/>
  <c r="F514" i="29" s="1"/>
  <c r="I513" i="29"/>
  <c r="F513" i="29"/>
  <c r="D512" i="29"/>
  <c r="G512" i="29" s="1"/>
  <c r="I512" i="29" s="1"/>
  <c r="D511" i="29"/>
  <c r="F511" i="29" s="1"/>
  <c r="D510" i="29"/>
  <c r="G510" i="29" s="1"/>
  <c r="I510" i="29" s="1"/>
  <c r="I509" i="29"/>
  <c r="F509" i="29"/>
  <c r="I508" i="29"/>
  <c r="D508" i="29"/>
  <c r="F508" i="29" s="1"/>
  <c r="I507" i="29"/>
  <c r="D507" i="29"/>
  <c r="F507" i="29" s="1"/>
  <c r="I506" i="29"/>
  <c r="D506" i="29"/>
  <c r="J506" i="29" s="1"/>
  <c r="I505" i="29"/>
  <c r="D505" i="29"/>
  <c r="J505" i="29" s="1"/>
  <c r="I504" i="29"/>
  <c r="D504" i="29"/>
  <c r="J504" i="29" s="1"/>
  <c r="I503" i="29"/>
  <c r="F503" i="29"/>
  <c r="J502" i="29"/>
  <c r="I502" i="29"/>
  <c r="D501" i="29"/>
  <c r="G501" i="29" s="1"/>
  <c r="I501" i="29" s="1"/>
  <c r="G500" i="29"/>
  <c r="J500" i="29" s="1"/>
  <c r="F500" i="29"/>
  <c r="I499" i="29"/>
  <c r="F499" i="29"/>
  <c r="J498" i="29"/>
  <c r="I498" i="29"/>
  <c r="J497" i="29"/>
  <c r="I497" i="29"/>
  <c r="J496" i="29"/>
  <c r="I496" i="29"/>
  <c r="F496" i="29"/>
  <c r="J495" i="29"/>
  <c r="I495" i="29"/>
  <c r="J494" i="29"/>
  <c r="I494" i="29"/>
  <c r="J493" i="29"/>
  <c r="I493" i="29"/>
  <c r="J492" i="29"/>
  <c r="I492" i="29"/>
  <c r="F492" i="29"/>
  <c r="J491" i="29"/>
  <c r="I491" i="29"/>
  <c r="F491" i="29"/>
  <c r="J490" i="29"/>
  <c r="I490" i="29"/>
  <c r="F490" i="29"/>
  <c r="J489" i="29"/>
  <c r="I489" i="29"/>
  <c r="F489" i="29"/>
  <c r="J488" i="29"/>
  <c r="I488" i="29"/>
  <c r="F488" i="29"/>
  <c r="I487" i="29"/>
  <c r="D487" i="29"/>
  <c r="F487" i="29" s="1"/>
  <c r="J486" i="29"/>
  <c r="I486" i="29"/>
  <c r="F486" i="29"/>
  <c r="I485" i="29"/>
  <c r="F485" i="29"/>
  <c r="G484" i="29"/>
  <c r="J484" i="29" s="1"/>
  <c r="F484" i="29"/>
  <c r="G483" i="29"/>
  <c r="J483" i="29" s="1"/>
  <c r="F483" i="29"/>
  <c r="J482" i="29"/>
  <c r="I482" i="29"/>
  <c r="F482" i="29"/>
  <c r="I481" i="29"/>
  <c r="F481" i="29"/>
  <c r="G480" i="29"/>
  <c r="J480" i="29" s="1"/>
  <c r="F480" i="29"/>
  <c r="J479" i="29"/>
  <c r="I479" i="29"/>
  <c r="F479" i="29"/>
  <c r="I478" i="29"/>
  <c r="F478" i="29"/>
  <c r="D477" i="29"/>
  <c r="G477" i="29" s="1"/>
  <c r="I477" i="29" s="1"/>
  <c r="I476" i="29"/>
  <c r="J475" i="29"/>
  <c r="I475" i="29"/>
  <c r="F475" i="29"/>
  <c r="J474" i="29"/>
  <c r="I474" i="29"/>
  <c r="J473" i="29"/>
  <c r="I473" i="29"/>
  <c r="I472" i="29"/>
  <c r="I471" i="29"/>
  <c r="I470" i="29"/>
  <c r="F470" i="29"/>
  <c r="J469" i="29"/>
  <c r="I469" i="29"/>
  <c r="J468" i="29"/>
  <c r="I468" i="29"/>
  <c r="F468" i="29"/>
  <c r="J467" i="29"/>
  <c r="I467" i="29"/>
  <c r="F467" i="29"/>
  <c r="J508" i="29" l="1"/>
  <c r="F512" i="29"/>
  <c r="J528" i="29"/>
  <c r="J487" i="29"/>
  <c r="J501" i="29"/>
  <c r="J512" i="29"/>
  <c r="J530" i="29"/>
  <c r="G511" i="29"/>
  <c r="I511" i="29" s="1"/>
  <c r="F501" i="29"/>
  <c r="J524" i="29"/>
  <c r="J529" i="29"/>
  <c r="J525" i="29"/>
  <c r="J477" i="29"/>
  <c r="I480" i="29"/>
  <c r="I500" i="29"/>
  <c r="F504" i="29"/>
  <c r="F505" i="29"/>
  <c r="F506" i="29"/>
  <c r="J510" i="29"/>
  <c r="J526" i="29"/>
  <c r="F477" i="29"/>
  <c r="I483" i="29"/>
  <c r="I484" i="29"/>
  <c r="F510" i="29"/>
  <c r="J523" i="29"/>
  <c r="J511" i="29" l="1"/>
  <c r="I457" i="29" l="1"/>
  <c r="I456" i="29"/>
  <c r="I455" i="29"/>
  <c r="I454" i="29"/>
  <c r="I453" i="29"/>
  <c r="I452" i="29"/>
  <c r="I451" i="29"/>
  <c r="I450" i="29"/>
  <c r="I449" i="29"/>
  <c r="J448" i="29"/>
  <c r="I448" i="29"/>
  <c r="F448" i="29"/>
  <c r="I447" i="29"/>
  <c r="F447" i="29"/>
  <c r="I446" i="29"/>
  <c r="F446" i="29"/>
  <c r="I445" i="29"/>
  <c r="F445" i="29"/>
  <c r="I444" i="29"/>
  <c r="F444" i="29"/>
  <c r="I443" i="29"/>
  <c r="F443" i="29"/>
  <c r="G442" i="29"/>
  <c r="I442" i="29" s="1"/>
  <c r="F442" i="29"/>
  <c r="I441" i="29"/>
  <c r="F441" i="29"/>
  <c r="G440" i="29"/>
  <c r="J440" i="29" s="1"/>
  <c r="F440" i="29"/>
  <c r="G439" i="29"/>
  <c r="J439" i="29" s="1"/>
  <c r="F439" i="29"/>
  <c r="G438" i="29"/>
  <c r="J438" i="29" s="1"/>
  <c r="F438" i="29"/>
  <c r="G437" i="29"/>
  <c r="I437" i="29" s="1"/>
  <c r="F437" i="29"/>
  <c r="G436" i="29"/>
  <c r="I436" i="29" s="1"/>
  <c r="F436" i="29"/>
  <c r="I435" i="29"/>
  <c r="F435" i="29"/>
  <c r="I434" i="29"/>
  <c r="F434" i="29"/>
  <c r="G433" i="29"/>
  <c r="I433" i="29" s="1"/>
  <c r="F433" i="29"/>
  <c r="I432" i="29"/>
  <c r="F432" i="29"/>
  <c r="I431" i="29"/>
  <c r="F431" i="29"/>
  <c r="I430" i="29"/>
  <c r="F430" i="29"/>
  <c r="I429" i="29"/>
  <c r="F429" i="29"/>
  <c r="I428" i="29"/>
  <c r="F428" i="29"/>
  <c r="I427" i="29"/>
  <c r="F427" i="29"/>
  <c r="I426" i="29"/>
  <c r="F426" i="29"/>
  <c r="I425" i="29"/>
  <c r="D425" i="29"/>
  <c r="F425" i="29" s="1"/>
  <c r="I424" i="29"/>
  <c r="D424" i="29"/>
  <c r="F424" i="29" s="1"/>
  <c r="I423" i="29"/>
  <c r="D423" i="29"/>
  <c r="F423" i="29" s="1"/>
  <c r="I422" i="29"/>
  <c r="D422" i="29"/>
  <c r="F422" i="29" s="1"/>
  <c r="I421" i="29"/>
  <c r="D421" i="29"/>
  <c r="F421" i="29" s="1"/>
  <c r="I420" i="29"/>
  <c r="D420" i="29"/>
  <c r="F420" i="29" s="1"/>
  <c r="J419" i="29"/>
  <c r="I419" i="29"/>
  <c r="F419" i="29"/>
  <c r="J418" i="29"/>
  <c r="I418" i="29"/>
  <c r="F418" i="29"/>
  <c r="J417" i="29"/>
  <c r="I417" i="29"/>
  <c r="F417" i="29"/>
  <c r="J416" i="29"/>
  <c r="I416" i="29"/>
  <c r="F416" i="29"/>
  <c r="J415" i="29"/>
  <c r="I415" i="29"/>
  <c r="F415" i="29"/>
  <c r="J414" i="29"/>
  <c r="I414" i="29"/>
  <c r="F414" i="29"/>
  <c r="J413" i="29"/>
  <c r="I413" i="29"/>
  <c r="F413" i="29"/>
  <c r="J412" i="29"/>
  <c r="I412" i="29"/>
  <c r="F412" i="29"/>
  <c r="J411" i="29"/>
  <c r="I411" i="29"/>
  <c r="F411" i="29"/>
  <c r="J410" i="29"/>
  <c r="I410" i="29"/>
  <c r="F410" i="29"/>
  <c r="J409" i="29"/>
  <c r="I409" i="29"/>
  <c r="F409" i="29"/>
  <c r="J408" i="29"/>
  <c r="I408" i="29"/>
  <c r="F408" i="29"/>
  <c r="J407" i="29"/>
  <c r="I407" i="29"/>
  <c r="F407" i="29"/>
  <c r="J406" i="29"/>
  <c r="I406" i="29"/>
  <c r="F406" i="29"/>
  <c r="I405" i="29"/>
  <c r="F405" i="29"/>
  <c r="I404" i="29"/>
  <c r="F404" i="29"/>
  <c r="I403" i="29"/>
  <c r="F403" i="29"/>
  <c r="I402" i="29"/>
  <c r="D402" i="29"/>
  <c r="F402" i="29" s="1"/>
  <c r="I401" i="29"/>
  <c r="D401" i="29"/>
  <c r="F401" i="29" s="1"/>
  <c r="I400" i="29"/>
  <c r="F400" i="29"/>
  <c r="D399" i="29"/>
  <c r="F399" i="29" s="1"/>
  <c r="D398" i="29"/>
  <c r="G398" i="29" s="1"/>
  <c r="I398" i="29" s="1"/>
  <c r="D397" i="29"/>
  <c r="G397" i="29" s="1"/>
  <c r="I397" i="29" s="1"/>
  <c r="J396" i="29"/>
  <c r="I396" i="29"/>
  <c r="F396" i="29"/>
  <c r="D395" i="29"/>
  <c r="G395" i="29" s="1"/>
  <c r="I395" i="29" s="1"/>
  <c r="I394" i="29"/>
  <c r="F394" i="29"/>
  <c r="I393" i="29"/>
  <c r="F393" i="29"/>
  <c r="G392" i="29"/>
  <c r="J392" i="29" s="1"/>
  <c r="F392" i="29"/>
  <c r="G391" i="29"/>
  <c r="J391" i="29" s="1"/>
  <c r="F391" i="29"/>
  <c r="G390" i="29"/>
  <c r="J390" i="29" s="1"/>
  <c r="F390" i="29"/>
  <c r="I389" i="29"/>
  <c r="F389" i="29"/>
  <c r="J388" i="29"/>
  <c r="I388" i="29"/>
  <c r="F388" i="29"/>
  <c r="J387" i="29"/>
  <c r="I387" i="29"/>
  <c r="F387" i="29"/>
  <c r="G386" i="29"/>
  <c r="J386" i="29" s="1"/>
  <c r="F386" i="29"/>
  <c r="J385" i="29"/>
  <c r="I385" i="29"/>
  <c r="F385" i="29"/>
  <c r="J384" i="29"/>
  <c r="I384" i="29"/>
  <c r="F384" i="29"/>
  <c r="J383" i="29"/>
  <c r="I383" i="29"/>
  <c r="F383" i="29"/>
  <c r="J382" i="29"/>
  <c r="I382" i="29"/>
  <c r="F382" i="29"/>
  <c r="J381" i="29"/>
  <c r="I381" i="29"/>
  <c r="F381" i="29"/>
  <c r="J380" i="29"/>
  <c r="I380" i="29"/>
  <c r="F380" i="29"/>
  <c r="J379" i="29"/>
  <c r="I379" i="29"/>
  <c r="F379" i="29"/>
  <c r="J378" i="29"/>
  <c r="I378" i="29"/>
  <c r="F378" i="29"/>
  <c r="J377" i="29"/>
  <c r="I377" i="29"/>
  <c r="F377" i="29"/>
  <c r="J376" i="29"/>
  <c r="I376" i="29"/>
  <c r="F376" i="29"/>
  <c r="J375" i="29"/>
  <c r="I375" i="29"/>
  <c r="F375" i="29"/>
  <c r="J374" i="29"/>
  <c r="I374" i="29"/>
  <c r="F374" i="29"/>
  <c r="J373" i="29"/>
  <c r="I373" i="29"/>
  <c r="F373" i="29"/>
  <c r="J372" i="29"/>
  <c r="I372" i="29"/>
  <c r="F372" i="29"/>
  <c r="I371" i="29"/>
  <c r="F371" i="29"/>
  <c r="J370" i="29"/>
  <c r="I370" i="29"/>
  <c r="F370" i="29"/>
  <c r="G369" i="29"/>
  <c r="J369" i="29" s="1"/>
  <c r="F369" i="29"/>
  <c r="J368" i="29"/>
  <c r="I368" i="29"/>
  <c r="F368" i="29"/>
  <c r="I367" i="29"/>
  <c r="F367" i="29"/>
  <c r="I366" i="29"/>
  <c r="F366" i="29"/>
  <c r="I365" i="29"/>
  <c r="F365" i="29"/>
  <c r="G364" i="29"/>
  <c r="J364" i="29" s="1"/>
  <c r="F364" i="29"/>
  <c r="J363" i="29"/>
  <c r="I363" i="29"/>
  <c r="F363" i="29"/>
  <c r="I362" i="29"/>
  <c r="F362" i="29"/>
  <c r="D361" i="29"/>
  <c r="G361" i="29" s="1"/>
  <c r="I361" i="29" s="1"/>
  <c r="I360" i="29"/>
  <c r="D360" i="29"/>
  <c r="J360" i="29" s="1"/>
  <c r="D359" i="29"/>
  <c r="G359" i="29" s="1"/>
  <c r="I359" i="29" s="1"/>
  <c r="J356" i="29"/>
  <c r="I356" i="29"/>
  <c r="F356" i="29"/>
  <c r="J355" i="29"/>
  <c r="I355" i="29"/>
  <c r="F355" i="29"/>
  <c r="J354" i="29"/>
  <c r="I354" i="29"/>
  <c r="F354" i="29"/>
  <c r="J353" i="29"/>
  <c r="I353" i="29"/>
  <c r="F353" i="29"/>
  <c r="J352" i="29"/>
  <c r="I352" i="29"/>
  <c r="F352" i="29"/>
  <c r="J351" i="29"/>
  <c r="I351" i="29"/>
  <c r="F351" i="29"/>
  <c r="G399" i="29" l="1"/>
  <c r="I399" i="29" s="1"/>
  <c r="F359" i="29"/>
  <c r="F398" i="29"/>
  <c r="I369" i="29"/>
  <c r="F361" i="29"/>
  <c r="J398" i="29"/>
  <c r="J359" i="29"/>
  <c r="F360" i="29"/>
  <c r="I364" i="29"/>
  <c r="I386" i="29"/>
  <c r="I390" i="29"/>
  <c r="I391" i="29"/>
  <c r="I392" i="29"/>
  <c r="J361" i="29"/>
  <c r="J395" i="29"/>
  <c r="J397" i="29"/>
  <c r="I438" i="29"/>
  <c r="I439" i="29"/>
  <c r="I440" i="29"/>
  <c r="F395" i="29"/>
  <c r="F397" i="29"/>
  <c r="J399" i="29" l="1"/>
  <c r="I275" i="29" l="1"/>
  <c r="F275" i="29"/>
  <c r="I274" i="29"/>
  <c r="F274" i="29"/>
  <c r="I273" i="29"/>
  <c r="F273" i="29"/>
  <c r="J272" i="29"/>
  <c r="I272" i="29"/>
  <c r="F272" i="29"/>
  <c r="I271" i="29"/>
  <c r="F271" i="29"/>
  <c r="I270" i="29"/>
  <c r="F270" i="29"/>
  <c r="G269" i="29"/>
  <c r="I269" i="29" s="1"/>
  <c r="F269" i="29"/>
  <c r="G268" i="29"/>
  <c r="I268" i="29" s="1"/>
  <c r="F268" i="29"/>
  <c r="G267" i="29"/>
  <c r="I267" i="29" s="1"/>
  <c r="F267" i="29"/>
  <c r="J266" i="29"/>
  <c r="I266" i="29"/>
  <c r="F266" i="29"/>
  <c r="G265" i="29"/>
  <c r="I265" i="29" s="1"/>
  <c r="D265" i="29"/>
  <c r="F265" i="29" s="1"/>
  <c r="G264" i="29"/>
  <c r="I264" i="29" s="1"/>
  <c r="F264" i="29"/>
  <c r="I263" i="29"/>
  <c r="F263" i="29"/>
  <c r="I262" i="29"/>
  <c r="F262" i="29"/>
  <c r="G261" i="29"/>
  <c r="I261" i="29" s="1"/>
  <c r="F261" i="29"/>
  <c r="I260" i="29"/>
  <c r="F260" i="29"/>
  <c r="I259" i="29"/>
  <c r="F259" i="29"/>
  <c r="D258" i="29"/>
  <c r="G258" i="29" s="1"/>
  <c r="I258" i="29" s="1"/>
  <c r="D257" i="29"/>
  <c r="G257" i="29" s="1"/>
  <c r="I257" i="29" s="1"/>
  <c r="D256" i="29"/>
  <c r="G256" i="29" s="1"/>
  <c r="I256" i="29" s="1"/>
  <c r="D255" i="29"/>
  <c r="G255" i="29" s="1"/>
  <c r="I255" i="29" s="1"/>
  <c r="J254" i="29"/>
  <c r="I254" i="29"/>
  <c r="F254" i="29"/>
  <c r="J253" i="29"/>
  <c r="I253" i="29"/>
  <c r="J252" i="29"/>
  <c r="I252" i="29"/>
  <c r="J251" i="29"/>
  <c r="I251" i="29"/>
  <c r="J250" i="29"/>
  <c r="I250" i="29"/>
  <c r="J249" i="29"/>
  <c r="I249" i="29"/>
  <c r="J248" i="29"/>
  <c r="I248" i="29"/>
  <c r="F248" i="29"/>
  <c r="J247" i="29"/>
  <c r="I247" i="29"/>
  <c r="F247" i="29"/>
  <c r="J246" i="29"/>
  <c r="I246" i="29"/>
  <c r="F246" i="29"/>
  <c r="I245" i="29"/>
  <c r="F245" i="29"/>
  <c r="I244" i="29"/>
  <c r="F244" i="29"/>
  <c r="I243" i="29"/>
  <c r="F243" i="29"/>
  <c r="I242" i="29"/>
  <c r="D242" i="29"/>
  <c r="F242" i="29" s="1"/>
  <c r="I241" i="29"/>
  <c r="D241" i="29"/>
  <c r="F241" i="29" s="1"/>
  <c r="I240" i="29"/>
  <c r="F240" i="29"/>
  <c r="J239" i="29"/>
  <c r="I239" i="29"/>
  <c r="F239" i="29"/>
  <c r="J238" i="29"/>
  <c r="I238" i="29"/>
  <c r="F238" i="29"/>
  <c r="J237" i="29"/>
  <c r="I237" i="29"/>
  <c r="F237" i="29"/>
  <c r="J236" i="29"/>
  <c r="I236" i="29"/>
  <c r="F236" i="29"/>
  <c r="I235" i="29"/>
  <c r="D235" i="29"/>
  <c r="J235" i="29" s="1"/>
  <c r="I234" i="29"/>
  <c r="D234" i="29"/>
  <c r="J234" i="29" s="1"/>
  <c r="I233" i="29"/>
  <c r="D233" i="29"/>
  <c r="J233" i="29" s="1"/>
  <c r="I232" i="29"/>
  <c r="D232" i="29"/>
  <c r="J232" i="29" s="1"/>
  <c r="G231" i="29"/>
  <c r="I231" i="29" s="1"/>
  <c r="F231" i="29"/>
  <c r="I230" i="29"/>
  <c r="F230" i="29"/>
  <c r="I229" i="29"/>
  <c r="F229" i="29"/>
  <c r="I228" i="29"/>
  <c r="F228" i="29"/>
  <c r="I227" i="29"/>
  <c r="F227" i="29"/>
  <c r="J226" i="29"/>
  <c r="I226" i="29"/>
  <c r="F226" i="29"/>
  <c r="I225" i="29"/>
  <c r="F225" i="29"/>
  <c r="I224" i="29"/>
  <c r="F224" i="29"/>
  <c r="I223" i="29"/>
  <c r="F223" i="29"/>
  <c r="J222" i="29"/>
  <c r="I222" i="29"/>
  <c r="F222" i="29"/>
  <c r="G220" i="29"/>
  <c r="I220" i="29" s="1"/>
  <c r="F220" i="29"/>
  <c r="G219" i="29"/>
  <c r="I219" i="29" s="1"/>
  <c r="F219" i="29"/>
  <c r="J218" i="29"/>
  <c r="I218" i="29"/>
  <c r="F218" i="29"/>
  <c r="I217" i="29"/>
  <c r="F217" i="29"/>
  <c r="I216" i="29"/>
  <c r="D216" i="29"/>
  <c r="J216" i="29" s="1"/>
  <c r="I215" i="29"/>
  <c r="D215" i="29"/>
  <c r="J215" i="29" s="1"/>
  <c r="I214" i="29"/>
  <c r="D214" i="29"/>
  <c r="J214" i="29" s="1"/>
  <c r="I213" i="29"/>
  <c r="D213" i="29"/>
  <c r="J213" i="29" s="1"/>
  <c r="I212" i="29"/>
  <c r="D212" i="29"/>
  <c r="J212" i="29" s="1"/>
  <c r="I211" i="29"/>
  <c r="D211" i="29"/>
  <c r="J211" i="29" s="1"/>
  <c r="I210" i="29"/>
  <c r="D210" i="29"/>
  <c r="J210" i="29" s="1"/>
  <c r="I209" i="29"/>
  <c r="D209" i="29"/>
  <c r="J209" i="29" s="1"/>
  <c r="J208" i="29"/>
  <c r="I208" i="29"/>
  <c r="F208" i="29"/>
  <c r="G207" i="29"/>
  <c r="I207" i="29" s="1"/>
  <c r="D207" i="29"/>
  <c r="G206" i="29"/>
  <c r="I206" i="29" s="1"/>
  <c r="D206" i="29"/>
  <c r="G205" i="29"/>
  <c r="I205" i="29" s="1"/>
  <c r="D205" i="29"/>
  <c r="F205" i="29" s="1"/>
  <c r="G204" i="29"/>
  <c r="I204" i="29" s="1"/>
  <c r="D204" i="29"/>
  <c r="F204" i="29" s="1"/>
  <c r="I203" i="29"/>
  <c r="F203" i="29"/>
  <c r="J202" i="29"/>
  <c r="I202" i="29"/>
  <c r="F202" i="29"/>
  <c r="I201" i="29"/>
  <c r="F201" i="29"/>
  <c r="J200" i="29"/>
  <c r="I200" i="29"/>
  <c r="F200" i="29"/>
  <c r="G199" i="29"/>
  <c r="J199" i="29" s="1"/>
  <c r="F199" i="29"/>
  <c r="G198" i="29"/>
  <c r="J198" i="29" s="1"/>
  <c r="F198" i="29"/>
  <c r="J197" i="29"/>
  <c r="I197" i="29"/>
  <c r="F197" i="29"/>
  <c r="J196" i="29"/>
  <c r="I196" i="29"/>
  <c r="F196" i="29"/>
  <c r="J195" i="29"/>
  <c r="I195" i="29"/>
  <c r="F195" i="29"/>
  <c r="G194" i="29"/>
  <c r="I194" i="29" s="1"/>
  <c r="F194" i="29"/>
  <c r="I193" i="29"/>
  <c r="F193" i="29"/>
  <c r="I192" i="29"/>
  <c r="D192" i="29"/>
  <c r="J192" i="29" s="1"/>
  <c r="I191" i="29"/>
  <c r="D191" i="29"/>
  <c r="J191" i="29" s="1"/>
  <c r="I190" i="29"/>
  <c r="D190" i="29"/>
  <c r="J190" i="29" s="1"/>
  <c r="I189" i="29"/>
  <c r="D189" i="29"/>
  <c r="J189" i="29" s="1"/>
  <c r="I188" i="29"/>
  <c r="D188" i="29"/>
  <c r="J188" i="29" s="1"/>
  <c r="J187" i="29"/>
  <c r="I187" i="29"/>
  <c r="F187" i="29"/>
  <c r="J186" i="29"/>
  <c r="I186" i="29"/>
  <c r="F186" i="29"/>
  <c r="J185" i="29"/>
  <c r="I185" i="29"/>
  <c r="F185" i="29"/>
  <c r="J184" i="29"/>
  <c r="I184" i="29"/>
  <c r="F184" i="29"/>
  <c r="J183" i="29"/>
  <c r="I183" i="29"/>
  <c r="F183" i="29"/>
  <c r="G182" i="29"/>
  <c r="J182" i="29" s="1"/>
  <c r="F182" i="29"/>
  <c r="J181" i="29"/>
  <c r="I181" i="29"/>
  <c r="F181" i="29"/>
  <c r="J180" i="29"/>
  <c r="I180" i="29"/>
  <c r="F180" i="29"/>
  <c r="J179" i="29"/>
  <c r="I179" i="29"/>
  <c r="F179" i="29"/>
  <c r="J269" i="29" l="1"/>
  <c r="J194" i="29"/>
  <c r="F216" i="29"/>
  <c r="J207" i="29"/>
  <c r="F212" i="29"/>
  <c r="J220" i="29"/>
  <c r="J268" i="29"/>
  <c r="J267" i="29"/>
  <c r="I199" i="29"/>
  <c r="J206" i="29"/>
  <c r="F189" i="29"/>
  <c r="F191" i="29"/>
  <c r="F192" i="29"/>
  <c r="I198" i="29"/>
  <c r="F211" i="29"/>
  <c r="F215" i="29"/>
  <c r="J219" i="29"/>
  <c r="F206" i="29"/>
  <c r="F210" i="29"/>
  <c r="F214" i="29"/>
  <c r="F188" i="29"/>
  <c r="F190" i="29"/>
  <c r="F207" i="29"/>
  <c r="F209" i="29"/>
  <c r="F213" i="29"/>
  <c r="J231" i="29"/>
  <c r="J204" i="29"/>
  <c r="I182" i="29"/>
  <c r="J205" i="29"/>
  <c r="F232" i="29"/>
  <c r="F233" i="29"/>
  <c r="F234" i="29"/>
  <c r="F235" i="29"/>
  <c r="F255" i="29"/>
  <c r="F256" i="29"/>
  <c r="F257" i="29"/>
  <c r="F258" i="29"/>
  <c r="J340" i="29" l="1"/>
  <c r="I340" i="29"/>
  <c r="F340" i="29"/>
  <c r="I339" i="29"/>
  <c r="F339" i="29"/>
  <c r="G338" i="29"/>
  <c r="I338" i="29" s="1"/>
  <c r="F338" i="29"/>
  <c r="J337" i="29"/>
  <c r="I337" i="29"/>
  <c r="F337" i="29"/>
  <c r="G336" i="29"/>
  <c r="I336" i="29" s="1"/>
  <c r="F336" i="29"/>
  <c r="I335" i="29"/>
  <c r="F335" i="29"/>
  <c r="I334" i="29"/>
  <c r="F334" i="29"/>
  <c r="I333" i="29"/>
  <c r="F333" i="29"/>
  <c r="I332" i="29"/>
  <c r="F332" i="29"/>
  <c r="I331" i="29"/>
  <c r="F331" i="29"/>
  <c r="G330" i="29"/>
  <c r="I330" i="29" s="1"/>
  <c r="D330" i="29"/>
  <c r="F330" i="29" s="1"/>
  <c r="I329" i="29"/>
  <c r="F329" i="29"/>
  <c r="I328" i="29"/>
  <c r="F328" i="29"/>
  <c r="G327" i="29"/>
  <c r="I327" i="29" s="1"/>
  <c r="F327" i="29"/>
  <c r="G326" i="29"/>
  <c r="I326" i="29" s="1"/>
  <c r="F326" i="29"/>
  <c r="G325" i="29"/>
  <c r="I325" i="29" s="1"/>
  <c r="F325" i="29"/>
  <c r="G324" i="29"/>
  <c r="I324" i="29" s="1"/>
  <c r="F324" i="29"/>
  <c r="I323" i="29"/>
  <c r="F323" i="29"/>
  <c r="I322" i="29"/>
  <c r="F322" i="29"/>
  <c r="I321" i="29"/>
  <c r="F321" i="29"/>
  <c r="I320" i="29"/>
  <c r="F320" i="29"/>
  <c r="I318" i="29"/>
  <c r="D318" i="29"/>
  <c r="J318" i="29" s="1"/>
  <c r="I317" i="29"/>
  <c r="D317" i="29"/>
  <c r="J317" i="29" s="1"/>
  <c r="I316" i="29"/>
  <c r="D316" i="29"/>
  <c r="J316" i="29" s="1"/>
  <c r="I315" i="29"/>
  <c r="D315" i="29"/>
  <c r="J315" i="29" s="1"/>
  <c r="I314" i="29"/>
  <c r="F314" i="29"/>
  <c r="I313" i="29"/>
  <c r="D313" i="29"/>
  <c r="F313" i="29" s="1"/>
  <c r="I312" i="29"/>
  <c r="D312" i="29"/>
  <c r="F312" i="29" s="1"/>
  <c r="I311" i="29"/>
  <c r="D311" i="29"/>
  <c r="F311" i="29" s="1"/>
  <c r="I310" i="29"/>
  <c r="D310" i="29"/>
  <c r="F310" i="29" s="1"/>
  <c r="I309" i="29"/>
  <c r="D309" i="29"/>
  <c r="F309" i="29" s="1"/>
  <c r="J308" i="29"/>
  <c r="I308" i="29"/>
  <c r="F308" i="29"/>
  <c r="J307" i="29"/>
  <c r="I307" i="29"/>
  <c r="F307" i="29"/>
  <c r="J306" i="29"/>
  <c r="I306" i="29"/>
  <c r="F306" i="29"/>
  <c r="I305" i="29"/>
  <c r="F305" i="29"/>
  <c r="I304" i="29"/>
  <c r="F304" i="29"/>
  <c r="I303" i="29"/>
  <c r="F303" i="29"/>
  <c r="G302" i="29"/>
  <c r="I302" i="29" s="1"/>
  <c r="F302" i="29"/>
  <c r="I301" i="29"/>
  <c r="F301" i="29"/>
  <c r="I300" i="29"/>
  <c r="F300" i="29"/>
  <c r="G299" i="29"/>
  <c r="J299" i="29" s="1"/>
  <c r="F299" i="29"/>
  <c r="D298" i="29"/>
  <c r="G298" i="29" s="1"/>
  <c r="I298" i="29" s="1"/>
  <c r="D297" i="29"/>
  <c r="F297" i="29" s="1"/>
  <c r="D296" i="29"/>
  <c r="G296" i="29" s="1"/>
  <c r="I296" i="29" s="1"/>
  <c r="J295" i="29"/>
  <c r="I295" i="29"/>
  <c r="F295" i="29"/>
  <c r="J294" i="29"/>
  <c r="I294" i="29"/>
  <c r="F294" i="29"/>
  <c r="J293" i="29"/>
  <c r="I293" i="29"/>
  <c r="F293" i="29"/>
  <c r="J292" i="29"/>
  <c r="I292" i="29"/>
  <c r="F292" i="29"/>
  <c r="J291" i="29"/>
  <c r="I291" i="29"/>
  <c r="F291" i="29"/>
  <c r="J290" i="29"/>
  <c r="I290" i="29"/>
  <c r="F290" i="29"/>
  <c r="J289" i="29"/>
  <c r="I289" i="29"/>
  <c r="F289" i="29"/>
  <c r="J288" i="29"/>
  <c r="I288" i="29"/>
  <c r="F288" i="29"/>
  <c r="J287" i="29"/>
  <c r="I287" i="29"/>
  <c r="F287" i="29"/>
  <c r="J286" i="29"/>
  <c r="I286" i="29"/>
  <c r="F286" i="29"/>
  <c r="J285" i="29"/>
  <c r="I285" i="29"/>
  <c r="F285" i="29"/>
  <c r="J284" i="29"/>
  <c r="I284" i="29"/>
  <c r="F284" i="29"/>
  <c r="J283" i="29"/>
  <c r="I283" i="29"/>
  <c r="F283" i="29"/>
  <c r="J282" i="29"/>
  <c r="I282" i="29"/>
  <c r="F282" i="29"/>
  <c r="J281" i="29"/>
  <c r="I281" i="29"/>
  <c r="F281" i="29"/>
  <c r="J280" i="29"/>
  <c r="I280" i="29"/>
  <c r="F280" i="29"/>
  <c r="G278" i="29"/>
  <c r="I278" i="29" s="1"/>
  <c r="D278" i="29"/>
  <c r="F278" i="29" s="1"/>
  <c r="G277" i="29"/>
  <c r="I277" i="29" s="1"/>
  <c r="D277" i="29"/>
  <c r="F277" i="29" s="1"/>
  <c r="J276" i="29"/>
  <c r="I276" i="29"/>
  <c r="F276" i="29"/>
  <c r="J310" i="29" l="1"/>
  <c r="J338" i="29"/>
  <c r="F298" i="29"/>
  <c r="F316" i="29"/>
  <c r="J309" i="29"/>
  <c r="F318" i="29"/>
  <c r="J336" i="29"/>
  <c r="J277" i="29"/>
  <c r="G297" i="29"/>
  <c r="I297" i="29" s="1"/>
  <c r="J311" i="29"/>
  <c r="F317" i="29"/>
  <c r="J298" i="29"/>
  <c r="J313" i="29"/>
  <c r="F315" i="29"/>
  <c r="J312" i="29"/>
  <c r="J296" i="29"/>
  <c r="F296" i="29"/>
  <c r="I299" i="29"/>
  <c r="J297" i="29" l="1"/>
  <c r="I112" i="29" l="1"/>
  <c r="I113" i="29"/>
  <c r="I114" i="29"/>
  <c r="I115" i="29" l="1"/>
  <c r="I116" i="29"/>
  <c r="I117" i="29"/>
  <c r="I118" i="29"/>
</calcChain>
</file>

<file path=xl/sharedStrings.xml><?xml version="1.0" encoding="utf-8"?>
<sst xmlns="http://schemas.openxmlformats.org/spreadsheetml/2006/main" count="1388" uniqueCount="471">
  <si>
    <t>NORMAL</t>
  </si>
  <si>
    <t>OFERTA</t>
  </si>
  <si>
    <t>CODIGO</t>
  </si>
  <si>
    <t>DESCRIPCION</t>
  </si>
  <si>
    <t>CTO. NORMAL</t>
  </si>
  <si>
    <t>P. VTA. NORMAL</t>
  </si>
  <si>
    <t>MG. NORMAL</t>
  </si>
  <si>
    <t>COSTO OFERTA</t>
  </si>
  <si>
    <t>P. VTA. OFERTA</t>
  </si>
  <si>
    <t>MG. OFERTA</t>
  </si>
  <si>
    <t xml:space="preserve">BONIFI </t>
  </si>
  <si>
    <t>FAMILIA</t>
  </si>
  <si>
    <t>ACEITE-MANTECAS</t>
  </si>
  <si>
    <t>AD.-MAY.-MOS.</t>
  </si>
  <si>
    <t>ARROZ-FRIJOL</t>
  </si>
  <si>
    <t>ARTICULOS DE LIMPIEZA</t>
  </si>
  <si>
    <t>BLAN. Y SUAV.</t>
  </si>
  <si>
    <t xml:space="preserve">CAFÉ </t>
  </si>
  <si>
    <t>LECHE-CREMA-INST</t>
  </si>
  <si>
    <t>EDULZANTES</t>
  </si>
  <si>
    <t>CHILE-ENLATADO</t>
  </si>
  <si>
    <t>CONDIMENTOS Y ESPECIES</t>
  </si>
  <si>
    <t>DET-JAB-LAV</t>
  </si>
  <si>
    <t>DULCES-CHOCO</t>
  </si>
  <si>
    <t>CEREAL-ATOLE</t>
  </si>
  <si>
    <t>GALLETAS</t>
  </si>
  <si>
    <t xml:space="preserve">HARINA DE TRIGO </t>
  </si>
  <si>
    <t xml:space="preserve">HARINA DE MAIZ </t>
  </si>
  <si>
    <t>HARINA-PREP.</t>
  </si>
  <si>
    <t>INSECTICIDAS</t>
  </si>
  <si>
    <t>JUGOS Y NECTARES</t>
  </si>
  <si>
    <t>PAÑAL DESHECHABLE</t>
  </si>
  <si>
    <t>FRIJOLES EN LATA</t>
  </si>
  <si>
    <t xml:space="preserve">PASTA PARA SOPA </t>
  </si>
  <si>
    <t>MOLE</t>
  </si>
  <si>
    <t>SALSAS</t>
  </si>
  <si>
    <t xml:space="preserve">VEG-LATA. </t>
  </si>
  <si>
    <t>CERVEZA</t>
  </si>
  <si>
    <t>LIMPIADORES</t>
  </si>
  <si>
    <t>ATUN-SARDINA</t>
  </si>
  <si>
    <t>099072000674</t>
  </si>
  <si>
    <t>099072000858</t>
  </si>
  <si>
    <t>DET. ACE NATURALS 800 GRS</t>
  </si>
  <si>
    <t>DET. ARIEL REGULAR PWD 750 GRS</t>
  </si>
  <si>
    <t>ELOTE DORADO DEL MONTE 24/225 GR..</t>
  </si>
  <si>
    <t xml:space="preserve">DESCRIPCION </t>
  </si>
  <si>
    <t>LIMP. FLASH FLORAL 1 LT.</t>
  </si>
  <si>
    <t>LIMP. FLASH LAVANDA 1 LT.</t>
  </si>
  <si>
    <t>LIMP. FLASH BRISA MARINA 1 LT.</t>
  </si>
  <si>
    <t xml:space="preserve">LIMP. FLASH PARAISO FRUTAL 1 LTO </t>
  </si>
  <si>
    <t xml:space="preserve">CODIGO </t>
  </si>
  <si>
    <t>DET. ACE REGULAR 750 GRS</t>
  </si>
  <si>
    <t>CLORALEX GRANDE 950 ML..</t>
  </si>
  <si>
    <t>FRIJOL PINTO NOR-VER 10/900 GRS</t>
  </si>
  <si>
    <t>CLORALEX GIGANTE 8/2 LTS.</t>
  </si>
  <si>
    <t>PINOL GRANDE 15/1 LTO.</t>
  </si>
  <si>
    <t>ENSUEÑO NATUREZA COCO/KARITE 850 ML.</t>
  </si>
  <si>
    <t>HIG.PREMIER MEGA ROLL 4 PZAS/400 HOJAS</t>
  </si>
  <si>
    <t>HIG. BIG ROL C/4 ROLLOS C/400 HOJAS.</t>
  </si>
  <si>
    <t xml:space="preserve">HIG. ELITE COLOR 4/287 HOJAS </t>
  </si>
  <si>
    <t>PAÑAL  SOFT DREAMS CHICO S C/40 PZAS</t>
  </si>
  <si>
    <t>PAÑAL  SOFT DREAMS MEDIANO C/38 PZAS</t>
  </si>
  <si>
    <t>PAÑAL  SOFT DREAMS GRNDE C/36 PZAS</t>
  </si>
  <si>
    <t>PAÑAL  SOFT DREAMS EXT.GDE C/34 PZAS</t>
  </si>
  <si>
    <t>HIG. SUAVEL 4 ROLLOS 247 HD</t>
  </si>
  <si>
    <t>Limp FABULOSO Lavanda 1l</t>
  </si>
  <si>
    <t>7501035910041</t>
  </si>
  <si>
    <t>Limp FABULOSO Mar Fresco 1l</t>
  </si>
  <si>
    <t>7501035910096</t>
  </si>
  <si>
    <t>Limp FABULOSO Fresco Amanecer 1l</t>
  </si>
  <si>
    <t>7509546008202</t>
  </si>
  <si>
    <t>Limp FABULOSO Naranja 1l</t>
  </si>
  <si>
    <t>7509546008295</t>
  </si>
  <si>
    <t>Limp FABULOSO Pasion d Frutas 1l</t>
  </si>
  <si>
    <t>Suav SUAVITEL Com Acqua 800ML</t>
  </si>
  <si>
    <t>Suav SUAVITEL Compl FcaPrimv 800ml</t>
  </si>
  <si>
    <t>Suav SUAVITEL Com Aroma de Sol 800ML</t>
  </si>
  <si>
    <t>Suav SUAVITEL Com Anochecer 800ML</t>
  </si>
  <si>
    <t>DET. SALVO LIMON 500 ML</t>
  </si>
  <si>
    <t>7509546051956</t>
  </si>
  <si>
    <t>Limp FABULOSO Alterntva Cloro 1l</t>
  </si>
  <si>
    <t>GALL. CRACKETS GAMESA 267 GRS</t>
  </si>
  <si>
    <t>ARIEL POLVO REVITACOLOR PWD 750 GRS</t>
  </si>
  <si>
    <t>DET.ARIEL CON TOQUE DE DOWNY 750 GRS</t>
  </si>
  <si>
    <t>MOLE  DOÑA MARIA 24/125 GRS..</t>
  </si>
  <si>
    <t>FRIJOL PINTO FRIJOLIN 10/906 GRS.</t>
  </si>
  <si>
    <t xml:space="preserve">ARROZ EXTRA GARDI DE 907 GRS </t>
  </si>
  <si>
    <t xml:space="preserve">FRIJOL PINTO NACIONAL GARDI 907 GRS </t>
  </si>
  <si>
    <t>046900001778</t>
  </si>
  <si>
    <t>FRIJOLES RANCH STYLE 24/425 GRS.</t>
  </si>
  <si>
    <t>MOLE ROJO DOÑA MARIA 24/235 GRS..</t>
  </si>
  <si>
    <t>SERVILLETA DELSEY MAX 100 H</t>
  </si>
  <si>
    <t>CEREAL ZUCARITAS DE 260 GRS.</t>
  </si>
  <si>
    <t>CEREAL CHOCO KRISPIS KELLOGS 290 GRS</t>
  </si>
  <si>
    <t>010248765104</t>
  </si>
  <si>
    <t>PASTA P/SOPA YEMINA ALFABETOS 20/200 GRS..</t>
  </si>
  <si>
    <t>010248765128</t>
  </si>
  <si>
    <t>PASTA P/SOPA YEMINA ESTRELLA #2 20/200 GRS..</t>
  </si>
  <si>
    <t>010248765135</t>
  </si>
  <si>
    <t>PASTA P/SOPA YEMINA SEMILLA D/MELON 24/200 GR..</t>
  </si>
  <si>
    <t>010248765142</t>
  </si>
  <si>
    <t>PASTA P/SOPA YEMINA OJO DE PERDIZ 20/200 GRS..</t>
  </si>
  <si>
    <t>010248765159</t>
  </si>
  <si>
    <t>PASTA P/SOPA YEMINA FIDEO MED. PRECORT. 24/200 GR..</t>
  </si>
  <si>
    <t>010248765166</t>
  </si>
  <si>
    <t>PASTA P/SOPA YEMINA FIDEO CAMBRAY PRECORT. 24/200 GR..</t>
  </si>
  <si>
    <t>010248765173</t>
  </si>
  <si>
    <t>PASTA P/SOPA YEMINA CODO LISO 1 20/200 GR.</t>
  </si>
  <si>
    <t>010248765180</t>
  </si>
  <si>
    <t>PASTA P/SOPA YEMINA CODO LISO 2  200 GR.</t>
  </si>
  <si>
    <t>010248765197</t>
  </si>
  <si>
    <t>PASTA P/SOPA YEMINA CONCHA 1 24/200 GR.</t>
  </si>
  <si>
    <t>010248765203</t>
  </si>
  <si>
    <t>PASTA P/SOPA YEMINA CONCHA 2  200 GR.</t>
  </si>
  <si>
    <t>010248765210</t>
  </si>
  <si>
    <t>PASTA P/SOPA YEMINA PLUMILLA #1 20/200 GR..</t>
  </si>
  <si>
    <t>010248765234</t>
  </si>
  <si>
    <t>PASTA P/SOPA YEMINA CORBATAS 24/200 GR..</t>
  </si>
  <si>
    <t>010248765241</t>
  </si>
  <si>
    <t>PASTA P/SOPA YEMINA SPAGHETTI 24/200 GRS..</t>
  </si>
  <si>
    <t>010248765258</t>
  </si>
  <si>
    <t>PASTA P/SOPA MACARRON YEMINA 24/200 GR..</t>
  </si>
  <si>
    <t>010248765265</t>
  </si>
  <si>
    <t>PASTA P/SOPA YEMINA TALLARIN LARGO 24/200 GR..</t>
  </si>
  <si>
    <t>010248765272</t>
  </si>
  <si>
    <t>PASTA P/SOPA YEMINA ESTRELLA #1 20/200 GRS..</t>
  </si>
  <si>
    <t>010248765319</t>
  </si>
  <si>
    <t>ALMEJA</t>
  </si>
  <si>
    <t>OFERTAS ABARROTES SEMANAL</t>
  </si>
  <si>
    <t>SALSA CATSUP SQUEEZABLE DEL MONTE 320 ML..</t>
  </si>
  <si>
    <t>CHICHARO C/ZANAH. DEL MONTE 24/215 GRS..</t>
  </si>
  <si>
    <t xml:space="preserve">PINOL AROMAS FRUTAL 828 ML </t>
  </si>
  <si>
    <t xml:space="preserve">PINOL AROMAS LAVANDA 828 ML </t>
  </si>
  <si>
    <t>PINOL AROMAS MARINO 828 ML</t>
  </si>
  <si>
    <t>PINOL AROMAS FLORAL 828 ML.</t>
  </si>
  <si>
    <t>PINOL AROMAS THERAPY RELAX 828 ML.</t>
  </si>
  <si>
    <t>PINOL AROMAS THERAPY ENERGY 828 ML.</t>
  </si>
  <si>
    <t>PINOL AROMAS  THERAPY FRESH 828 ML.</t>
  </si>
  <si>
    <t>CHILE RAJAS LA COSTEÑA 24/380 GRS..</t>
  </si>
  <si>
    <t>CHILE JALAPEÑO LA COSTEÑA 24/380 GRS..</t>
  </si>
  <si>
    <t>DET. SALVO LIMON LIQ. 750 ML.</t>
  </si>
  <si>
    <t>DET. ACE COLOR PWD NG 750 GRS</t>
  </si>
  <si>
    <t>DET. ACE SUAVE Y DELICADO 750 GRS</t>
  </si>
  <si>
    <t>DET. ACE POLVO C/TOQUE DOWNY 750 GRS</t>
  </si>
  <si>
    <t xml:space="preserve">PASTA P/SOPA FIOR DI PASTA 200 GRS VARIEDAD </t>
  </si>
  <si>
    <t>CORN FLAKES KELLOGG S DE 150 GR.</t>
  </si>
  <si>
    <t>NESCAFE CLASICO 12/120 GRS</t>
  </si>
  <si>
    <t>DET. SALVO PURE BIODEGRADABLE 750 MLS</t>
  </si>
  <si>
    <t>DET. SALVO ULTRA LIMON 640 ML</t>
  </si>
  <si>
    <t>SALVO LIQUIDO. ALTERNATIVO AL CLORO 750 ML.</t>
  </si>
  <si>
    <t>SALVO LIQ. POWER CLEAN 750 ML</t>
  </si>
  <si>
    <t>ARROZ NILO SUPER EXTRA 10/906 GR..</t>
  </si>
  <si>
    <t>FUSSILINI FLOR DI PASTA 20/200 GR</t>
  </si>
  <si>
    <t>FIDEO CAMBRAY FIOR DI PASTA 20/200 GR.</t>
  </si>
  <si>
    <t>FIDEO MED. FLOR DI PASTA 20/200 GR</t>
  </si>
  <si>
    <t>FIDEO GRUESO FLOR DI PASTA 20/200 GR</t>
  </si>
  <si>
    <t>SPAGETTI FLOR DI PASTA 20/200 GR</t>
  </si>
  <si>
    <t>TALLARINES FIOR DI PASTA 20/200 GR.</t>
  </si>
  <si>
    <t>MACARON FLOR DI PASTA 20/200 GR.</t>
  </si>
  <si>
    <t>ESTRELLA FIRDI  PASTA 20/200 GR.</t>
  </si>
  <si>
    <t>SEMILLA DE MELON FIORDI PASTA</t>
  </si>
  <si>
    <t>ALFABETO FIORDI  PASTA 20/200 GR.</t>
  </si>
  <si>
    <t>MUNICION FLOR DI PASTA 20/200 GR</t>
  </si>
  <si>
    <t>CODITO FLOR DI PASTA 20/200 GR</t>
  </si>
  <si>
    <t>CODO FLOR DI PASTA 20/200GR</t>
  </si>
  <si>
    <t>CONCHA FLOR DI PASTA 20/200 GR</t>
  </si>
  <si>
    <t>PLUMA FLO DI PASTA 20/200 GR</t>
  </si>
  <si>
    <t xml:space="preserve">PAP/HIG-FAC </t>
  </si>
  <si>
    <t>SERVITOALLA PETALO M. CORTES 3 RLLS..</t>
  </si>
  <si>
    <t>216 Alim-P/Bebes</t>
  </si>
  <si>
    <t>LECHE CARNATION CLAVEL 360 GRS.</t>
  </si>
  <si>
    <t>FRIJOLES CLAROS REFRITOS 12/430GRS.</t>
  </si>
  <si>
    <t>FRIJOLES NEGRITOS REFRITOS FRIJOLIN 12/430GRS.</t>
  </si>
  <si>
    <t>FRIJOLES CLAROS MOLIDOS FRIJOLIN 12/430GRS.</t>
  </si>
  <si>
    <t>SUAV. ENSUEÑO 5 EN 1 FRESCA PRIMAVERA 12/850 ML..</t>
  </si>
  <si>
    <t>SUAV. ENSUEÑO COLOR FRESC. PRIMAVERAL 12/850 ML..</t>
  </si>
  <si>
    <t>SUAV. ENSUEÑO COLOR FRESCO VERANO 12/850 ML..</t>
  </si>
  <si>
    <t>SUAV. ENSUEÑO ZERO ENJUAGUE FRESCO VERANO 12/850 ML..</t>
  </si>
  <si>
    <t>SUAV. ENSUEÑO L.E. ROCIO DE VIOLETAS 12/850 ML..</t>
  </si>
  <si>
    <t>SUAV. ENSUEÑO ZERO ENJUAGUE SENSACION NATURAL. 12/850 ML..</t>
  </si>
  <si>
    <t>SUAV. ENSUEÑO BEBE 12/850 ML..</t>
  </si>
  <si>
    <t>SUAV. ENSUEÑO 5 EN 1 FRESCA ARMONIA 12/850 ML..</t>
  </si>
  <si>
    <t>SUAV. ENSUEÑO NATURALEZA AVENA-ALMENDRA 12/850ML.</t>
  </si>
  <si>
    <t>SUAV. ENSUEÑO NATURALEZA PEPINO-BAMBU 12/850 ML.</t>
  </si>
  <si>
    <t>LECHE LA LECHERA 375 GRS</t>
  </si>
  <si>
    <t>7501025431907</t>
  </si>
  <si>
    <t xml:space="preserve">LIMP. FLASH EXPLOSION DE MORAS 1 LTO </t>
  </si>
  <si>
    <t>HIG. PETALO UR 4 ROLLOS 300 HD</t>
  </si>
  <si>
    <t>SUAV. DOWNY AMANECER 700 ML</t>
  </si>
  <si>
    <t>SUAV. DOWNY BRISA FRESCA 700 ML</t>
  </si>
  <si>
    <t>SUAV. DOWNY FLORAL 700 ML</t>
  </si>
  <si>
    <t>SUAV. DOWNY PUREZA SILVESTRE 700 ML</t>
  </si>
  <si>
    <t xml:space="preserve">DET. EFICAZ PINOL MANZANA 350 ML </t>
  </si>
  <si>
    <t xml:space="preserve">DET. EFICAZ PINOL LIMON 350 ML </t>
  </si>
  <si>
    <t xml:space="preserve">DET. EFICAZ PINOL FRUTOS ROJOS 350 ML </t>
  </si>
  <si>
    <t>KNORR TOMATISIMO EST 72X8CUB</t>
  </si>
  <si>
    <t>KNORR CDO POLLO 105X84G</t>
  </si>
  <si>
    <t>KNORR CDO POLLO 72X126G</t>
  </si>
  <si>
    <t>HELLMANNS MAY REAL 24X190G</t>
  </si>
  <si>
    <t xml:space="preserve">FLASH LAVANDA 1.8 LTS </t>
  </si>
  <si>
    <t xml:space="preserve">FLASH BRISA MARINA 1.8L LTS </t>
  </si>
  <si>
    <t xml:space="preserve">FLASH FLORAL 1.8 LTS </t>
  </si>
  <si>
    <t xml:space="preserve">FLASH EXPLOSIÓN DE MORAS 1.8 LTS </t>
  </si>
  <si>
    <t>PAPEL HIG. REGIO RINDE 500 H 18/4 PZ.</t>
  </si>
  <si>
    <t>HIG. KLEENEX INDIV. 400 HOJAS</t>
  </si>
  <si>
    <t>099072102316</t>
  </si>
  <si>
    <t>PAÑAL BRAZIL PLUS CHICO C/40 PZAS.</t>
  </si>
  <si>
    <t>099072102323</t>
  </si>
  <si>
    <t>PAÑAL BRAZIL PLUS M 40 PZAS.</t>
  </si>
  <si>
    <t>PAÑAL BRAZIL PLUS G 40 PZAS.</t>
  </si>
  <si>
    <t>099072102330</t>
  </si>
  <si>
    <t>PAÑAL BRAZIL PLUS XG 40 PZAS.</t>
  </si>
  <si>
    <t>HIG. BIG ROLL IND. 550 HJS</t>
  </si>
  <si>
    <t>ATUN EN AGUA EL DORADO 130 GRS</t>
  </si>
  <si>
    <t>ATUN EN ACEITE EL DORADO 130 GRS</t>
  </si>
  <si>
    <t>DET. FOCA 10/1 KILO</t>
  </si>
  <si>
    <t>DET. LIQUIDO FOCA 12/1 LITRO</t>
  </si>
  <si>
    <t>HARINA DE TRIGO SELECTA 10/1 KG.</t>
  </si>
  <si>
    <t>ARROZ SUPER EXTRA VERDE VALLE 900GR.</t>
  </si>
  <si>
    <t xml:space="preserve">PASTA P/SOPA LA PERLA 200 GRS VARIEDAD </t>
  </si>
  <si>
    <t>PASTA DE FIDEO MEDIANO LA PERLA 20/200GR.</t>
  </si>
  <si>
    <t>PASTA DE FIDEO CADEJO LA PERLA 20/200GR.</t>
  </si>
  <si>
    <t>PASTA DE ALFABETO LA PERLA 20/200GR.</t>
  </si>
  <si>
    <t>PASTA DE SEMILLA LA PERLA 20/200GR.</t>
  </si>
  <si>
    <t>PASTA DE CODOS GRANDE  LA PERLA 20/200GR.</t>
  </si>
  <si>
    <t>PASTA DE CONCHA LA PERLA 20/200GR.</t>
  </si>
  <si>
    <t>PASTA DE CODO MEDIANO LA PERLA 20/200GR.</t>
  </si>
  <si>
    <t>PASTA DE CONCHA  GRANDE  LA PERLA 20/200GR.</t>
  </si>
  <si>
    <t>PASTA DE SPAGHETTI LA PERLA 20/200GR.</t>
  </si>
  <si>
    <t>PASTA DE ESTRELLA LA PERLA 20/200GR.</t>
  </si>
  <si>
    <t>PASTA DE PLUMA LA PERLA 20/200GR.</t>
  </si>
  <si>
    <t>FRIJOLES REFRITOS BAYOS LA COSTEÑA 12/580 GRS..</t>
  </si>
  <si>
    <t>FRIJOLES CHARROS LA COSTEÑA 12/560 GRS.</t>
  </si>
  <si>
    <t>FRIJOLES NEGROS ENTEROS LA COSTEÑA 12/560 GRS..</t>
  </si>
  <si>
    <t>FRIJOLES BAYOS ENTEROS LA COSTEÑA 12/560 GR..</t>
  </si>
  <si>
    <t>FRIJOLES NEGROS REFRITOS COSTEÑA 12/580 GRS..</t>
  </si>
  <si>
    <t>ELOTE DORADO ENTERO DEL MONTE 24/400 ML..</t>
  </si>
  <si>
    <t xml:space="preserve">GALL. SALADA GAMESA 504 GRS </t>
  </si>
  <si>
    <t xml:space="preserve">CHAROLA BARRAS COCO 365GRX12X1          </t>
  </si>
  <si>
    <t>GALL. MARIAS GAMESA 12/850 GR.</t>
  </si>
  <si>
    <t>CEREAL FRUTI ROLLS GOLDEN 520 GR</t>
  </si>
  <si>
    <t>CEREAL CHOCO RONIS GOLDEN  530 GR</t>
  </si>
  <si>
    <t>CEREAL CORN FLAKES GOLDEN 560 GR  (16)</t>
  </si>
  <si>
    <t>CEREAL GLACS GOLDEN  720 GR  (16)</t>
  </si>
  <si>
    <t>MAYONESA KRAFT ROYAL C/LIMON 330 GRS</t>
  </si>
  <si>
    <t>ZUCARITAS KELLOGGS 665 GRS</t>
  </si>
  <si>
    <t>DET. AXION LIMON 525 ML.</t>
  </si>
  <si>
    <t>AXION LAVAPLATOS AXION LIMON 750 ML.</t>
  </si>
  <si>
    <t>TOALLITAS HUMEDAS TINY C/80 PZAS.</t>
  </si>
  <si>
    <t>HARINA DE TRIGO GLOBO 1 KG.</t>
  </si>
  <si>
    <t>ATUN TUNY STANDARD AGUA LIGHT 140 GRS</t>
  </si>
  <si>
    <t>ATUN TUNY STANDARD ACEITE 140 GRS.</t>
  </si>
  <si>
    <t>FRIJOL PINTO TIPO AMERICANO GARDI 10/ 907 GRS</t>
  </si>
  <si>
    <t>NESQUIK CHOCOLATE BOLSA 200GR</t>
  </si>
  <si>
    <t>NESCAFE CLASICO 12/225 GRS</t>
  </si>
  <si>
    <t xml:space="preserve">SUAV. ENSUEÑO CP LILI 740 ML </t>
  </si>
  <si>
    <t>SUAV. ENSUEÑO ZE FRESCURA PRIM. 850 ML.</t>
  </si>
  <si>
    <t>SUAV. ENSUEÑO CP FRESCURA PRIM. 850 ML.</t>
  </si>
  <si>
    <t>SUAV. ENSUEÑO CP FESCO VERANO 850 ML.</t>
  </si>
  <si>
    <t>SUAV. ENSUEÑO ZE FESCO VERANO 850 ML.</t>
  </si>
  <si>
    <t>SUAV. ENSUEÑO ZE ROCIO DE VIOLETA 850 ML.</t>
  </si>
  <si>
    <t>SUAV. ENSUEÑO ZE SENSACION NATURAL 850 ML.</t>
  </si>
  <si>
    <t>SUAV. ENSUEÑO ZE BEBE 850 ML.</t>
  </si>
  <si>
    <t xml:space="preserve">SUAV. ENSUEÑO ZE FRESCA ARMONIA 850 ML </t>
  </si>
  <si>
    <t>SUAV. ENSUEÑO NATUREZA AVENA/ALM 850 ML</t>
  </si>
  <si>
    <t>SUAV. ENSUEÑO NATUREZA PEPINO/BAMBU 850 ML</t>
  </si>
  <si>
    <t>VIGENCIA: DEL 18 AL 03 DE MARZO 2022</t>
  </si>
  <si>
    <t>KNORR SUIZA 105/8 CUBOS.</t>
  </si>
  <si>
    <t>KNORR CUBO TOMATISIMO 72/132 GR.</t>
  </si>
  <si>
    <t>MAYONESA HELLMANN S 12/790 GR..</t>
  </si>
  <si>
    <t>PURE DE TOMATE CONDIMENTADO DEL FUERTE 24/345 GR.</t>
  </si>
  <si>
    <t>SUAV. FRESCURA PRIMAVERAL ECONOPAK 850ML C/12.</t>
  </si>
  <si>
    <t>SUAVITEL  AROMA  SOL ECOPACK 12/850 ML</t>
  </si>
  <si>
    <t>SUAVITEL BEBE ANTIBACTERIAL 12/850ML.</t>
  </si>
  <si>
    <t>SUAVITEL REG. ANOCHE ECONOPAC 12/850 ML.</t>
  </si>
  <si>
    <t>SUAV. DOWNY FRESCURA ORIGINAL 700 ML</t>
  </si>
  <si>
    <t>SUAV. DOWNY FRESH ORIGINAL 700 ML</t>
  </si>
  <si>
    <t>SUAV. DOWNY PRIMAVERA ORIGINAL 700 ML</t>
  </si>
  <si>
    <t>MEDIA CREMA NESTLE 24/225 GRS.</t>
  </si>
  <si>
    <t>JALAPENO SAN MARCOS 380 GRS</t>
  </si>
  <si>
    <t>RAJAS VERDES SAN MARCOS 380 GRS</t>
  </si>
  <si>
    <t>RODAJAS JALAPENO SAN MARCOS 380 GRS</t>
  </si>
  <si>
    <t>ATUN DOLORES ACEITE 133 GRS</t>
  </si>
  <si>
    <t>ATUN DOLORES AGUA 133 GRS</t>
  </si>
  <si>
    <t>DET.LIQ AXION LIMON 900 GR.</t>
  </si>
  <si>
    <t xml:space="preserve">DET. EFICAZ PINOL MANZANA 750 ML </t>
  </si>
  <si>
    <t xml:space="preserve">DET. EFICAZ PINOL LIMON 750 ML </t>
  </si>
  <si>
    <t xml:space="preserve">DET. EFICAZ PINOL FRUTOS ROJOS 750 ML </t>
  </si>
  <si>
    <t>DET. EFICAZ PINOL FRESC. FRUTAL 750 ML</t>
  </si>
  <si>
    <t>PASTA P/SOPA FIOR DI PASTA 200 GRS VARIEDAD</t>
  </si>
  <si>
    <t xml:space="preserve">HOT CAKES GAM TRAD 850GRX10X1           </t>
  </si>
  <si>
    <t xml:space="preserve">ANIMALITOS 1000GRX6X1                   </t>
  </si>
  <si>
    <t xml:space="preserve">MARAVILLAS 600GRX10X1                   </t>
  </si>
  <si>
    <t>SALSA CATSUP MONTE SQUEEZABLE 24 / 220 GR</t>
  </si>
  <si>
    <t>ENSALADA D.MONTE CAMPESINA 215 GRS</t>
  </si>
  <si>
    <t>7501039123065</t>
  </si>
  <si>
    <t>ACEITE COMESTIBLE AVE 800 ML.</t>
  </si>
  <si>
    <t xml:space="preserve">ACEITE COMESTIBLE AVE 850 ML.  ( VIGENCIA 18 AL 20 FEB 2022 ) </t>
  </si>
  <si>
    <t>ACEITE SABROSANO + 30 850 ML</t>
  </si>
  <si>
    <t>SUAV. ENSUEÑO NATUREZA LICHI 850 ML</t>
  </si>
  <si>
    <t>DET. SALVO LIMON/SABILA 640 ML</t>
  </si>
  <si>
    <t>CHILE JALAPEÑO LA COSTEÑA 24/380 GRS.</t>
  </si>
  <si>
    <t>PIMIENTO MORRON COSTEÑA 24/200 GRS</t>
  </si>
  <si>
    <t>CHICHARO C/ZANAH. DEL MONTE 24/215 GRS.</t>
  </si>
  <si>
    <t xml:space="preserve">PURE </t>
  </si>
  <si>
    <t>PURE DE TOM. COND. HUNTS 24/210</t>
  </si>
  <si>
    <t xml:space="preserve">PASTA P/SOPA LA PERLA VARIEDAD 200 GRS </t>
  </si>
  <si>
    <t>SALSA CATSUP SQUEEZABLE 12/650GR</t>
  </si>
  <si>
    <t>SALSA CATSUP SQUEEZABLE DEL MONTE 320 ML</t>
  </si>
  <si>
    <t>MANTECA LIRIO 250 GR 48 PZ</t>
  </si>
  <si>
    <t>ACEITE CANOIL PURO DE CANOLA 946 ML</t>
  </si>
  <si>
    <t>011848455570</t>
  </si>
  <si>
    <t>ACHIOTE LA ANITA 50/110 GR.</t>
  </si>
  <si>
    <t>SPLENDA CAJILLA 12/100 SOBRES.</t>
  </si>
  <si>
    <t>NESCAFE CLASICO 42 GR.</t>
  </si>
  <si>
    <t>CEREAL CORN FLAKES 465 GRS</t>
  </si>
  <si>
    <t>CEREAL CHOCO KRISPIS 600 GRS</t>
  </si>
  <si>
    <t>GALL. MARIAS GAMESA 14/510 GR..</t>
  </si>
  <si>
    <t>GALL GAMESA MARAVILLAS PAK 12/348 GRS</t>
  </si>
  <si>
    <t>FRIJOLES REFRITOS PERUANOS  ISADORA 24/430G.</t>
  </si>
  <si>
    <t>FRIJOLES REFRITOS BAYOS ISADORA 24/430 GR.</t>
  </si>
  <si>
    <t>FRIJOLES REFRITOS NEGROS ISADORA 430 GR.</t>
  </si>
  <si>
    <t>MAYONESA KRAFT ROYAL C/LIMON 650 GRS</t>
  </si>
  <si>
    <t>KETCHUP HEINZ 397 GRS POUCH. C/24.</t>
  </si>
  <si>
    <t>013000001243</t>
  </si>
  <si>
    <t>KETCHUP HEINZ 397 GRS C/16.</t>
  </si>
  <si>
    <t>MOSTAZA HEINZ PET 13 OZ</t>
  </si>
  <si>
    <t>HEINZ MAYONESA LIMON 390GR</t>
  </si>
  <si>
    <t>ACEITE COMESTIBLE DE SOYA NUTRIOLI 800 ML.</t>
  </si>
  <si>
    <t xml:space="preserve">LENTEJA GARDI DE 500 GRS </t>
  </si>
  <si>
    <t>JABON ZOTE BLANCO 25/400 GRS.</t>
  </si>
  <si>
    <t xml:space="preserve">ACEITE COMESTIBLE AVE 850 ML.  ( VIGENCIA 04 AL 06 MARZ 2022 ) </t>
  </si>
  <si>
    <t xml:space="preserve">OFERTAS ABARROTES SEMANAL, QUINCENAL Y FIN DE SEMANA </t>
  </si>
  <si>
    <t>VIGENCIA: DEL 18 AL 31 DE MARZO 2022</t>
  </si>
  <si>
    <t>MAYONESA C/LIMON MC.CORMICK 12/390 GRS..</t>
  </si>
  <si>
    <t xml:space="preserve">PASTA P/SOPA YEMINA VARIEDAD 200 GRS </t>
  </si>
  <si>
    <t>ARROZ DIAMANTE BOLSA 900 GRS..</t>
  </si>
  <si>
    <t>7501214102816</t>
  </si>
  <si>
    <t>ARROZ DIAMANTE BOLSA 690 GRS</t>
  </si>
  <si>
    <t>CHILE RAJAS LA COSTEÑA 48/220 GRS..</t>
  </si>
  <si>
    <t>CHILE JALAPEÑO LA COSTEÑA 48/220 GRS..</t>
  </si>
  <si>
    <t>7501199413242</t>
  </si>
  <si>
    <t>DET. LIQ. MAS COLOR 4.65.</t>
  </si>
  <si>
    <t>7501199413280</t>
  </si>
  <si>
    <t>DET. LIQ. MAS COLOR DE 830 ML.</t>
  </si>
  <si>
    <t>7501199413297</t>
  </si>
  <si>
    <t>DET. LIQ. MAS ROPA OSCURA 830 ML.</t>
  </si>
  <si>
    <t>BLANCATEL REGULAR 3.750 LTS</t>
  </si>
  <si>
    <t>BLANCATEL AROMA FLORAL 3.750 L.</t>
  </si>
  <si>
    <t>BLANCATEL AROMA LAVANDA 3.750 L.</t>
  </si>
  <si>
    <t xml:space="preserve">HIG. SUAVEL C/4 ROLLOS 247 HOJAS </t>
  </si>
  <si>
    <t>PURE DE TOMATE COND DEL FUERTE T PACK 24 / 210 GR</t>
  </si>
  <si>
    <t>GALL. SALADA GAMESA 504 GRS</t>
  </si>
  <si>
    <t>ATUN NAIR EN AGUA 120 GRS</t>
  </si>
  <si>
    <t>ATUN NAIR EN ACEITE 120 GRS</t>
  </si>
  <si>
    <t>SERVITOALLA ELITE MEGA INDIVIDUAL.</t>
  </si>
  <si>
    <t xml:space="preserve">HIG. REGIO RINDE +  6+2 300 HD </t>
  </si>
  <si>
    <t>CLORALEX RENDIDOR 3.7LTS</t>
  </si>
  <si>
    <t>SUAVITEL COMPLETE AQUA 800 ML.</t>
  </si>
  <si>
    <t>SUAVITEL COMPLETE FRESCA PRIMAVERA 800 ML.</t>
  </si>
  <si>
    <t>SUAVITEL COMPLETE AROMA SOL 800 ML.</t>
  </si>
  <si>
    <t>SUAVITEL COMPLETE ANOCHECER 800 ML.</t>
  </si>
  <si>
    <t>7501199413006</t>
  </si>
  <si>
    <t>DET. MAS COLOR LIQ. ECONOPACK 415 ML..</t>
  </si>
  <si>
    <t>FLASH LAVANDA 1.8L C12</t>
  </si>
  <si>
    <t>FLASH BRISA MARINA 1.8L C12</t>
  </si>
  <si>
    <t>FLASH FLORAL 1.8L C12</t>
  </si>
  <si>
    <t>FLASH EXPLOSIÓN DE MORAS 1.8L C12</t>
  </si>
  <si>
    <t>PINOL FAMILIAR TRADICIONAL 6/3.75 LTS..</t>
  </si>
  <si>
    <t>MOSTAZA MC CORMICK 24 / 210 GRS</t>
  </si>
  <si>
    <t>MASECA ANTOJITOS DE 1 KG..</t>
  </si>
  <si>
    <t>MASECA 10/1 KG.</t>
  </si>
  <si>
    <t>GALL. MARAVILLAS GAMESA 10/600 GRS..</t>
  </si>
  <si>
    <t>GALL. ANIMALITOS GAMESA 6/1 KILO.</t>
  </si>
  <si>
    <t>GALL. POPULARES GAMESA 6/1 KILO.</t>
  </si>
  <si>
    <t>CHILE RAJAS LA COSTEÑA 12/800 GRS..</t>
  </si>
  <si>
    <t>CHILE JALAPEÑO LA COSTEÑA 12/780 GRS</t>
  </si>
  <si>
    <t>HIG REGIO LUXURY C/4 ROLLOS.</t>
  </si>
  <si>
    <t xml:space="preserve">FRIJOL BAYO BLANCO GARDI 907 GRS </t>
  </si>
  <si>
    <t>ACEITE COM. GRAN TRADICION 900 ML</t>
  </si>
  <si>
    <t>VIGENCIA: DEL 22 AL 05 DE MAYO 2022</t>
  </si>
  <si>
    <t>HELLMANNS MAY REAL 12X390G</t>
  </si>
  <si>
    <t xml:space="preserve">PASTAS P/SOPA YEMINA 200 GRS VARIEDAD </t>
  </si>
  <si>
    <t>VIGENCIA QUINCENAL DEL 22 DE ABRIL AL 05 DE MAYO 2022</t>
  </si>
  <si>
    <t>MANTECA LIRIO 250 GRS</t>
  </si>
  <si>
    <t>VIGENCIA: DEL 06 AL 19 DE MAYO 2022</t>
  </si>
  <si>
    <t>COFFE-MATE ORIGINAL NESTLE 12/160 GR</t>
  </si>
  <si>
    <t>PAÑAL BEBIN SUPER CH 40 PAÑALES.</t>
  </si>
  <si>
    <t>PAÑAL BEBIN SUPER M 40 PAÑALES.</t>
  </si>
  <si>
    <t>PAÑAL BEBIN SUPER G 40 PAÑALES.</t>
  </si>
  <si>
    <t>PAÑAL BEBIN SUPER X-GRANDE 40 PAÑALES.</t>
  </si>
  <si>
    <t>PAÑAL BEBIN SUPER XXG 40 PAÑALES.</t>
  </si>
  <si>
    <t>HIG. REGIO AIRES FRES 300 HGS 4/PZAS.</t>
  </si>
  <si>
    <t>HIG REGIO R3 C/4 ROLLOS.</t>
  </si>
  <si>
    <t>VIGENCIA: DEL 20 AL 02 DE JUNIO 2022</t>
  </si>
  <si>
    <t xml:space="preserve">SUAVITEL COMPLETE FRESCA PRIMAVERA 800 </t>
  </si>
  <si>
    <t>SUAVITEL COMPLETE AROMA SOL 800 ML</t>
  </si>
  <si>
    <t xml:space="preserve">LECHE LA LECHERA 375 GRS </t>
  </si>
  <si>
    <t>011848123011</t>
  </si>
  <si>
    <t>SAZONADOR LA ANITA 300 ML</t>
  </si>
  <si>
    <t>011848125763</t>
  </si>
  <si>
    <t>ACHIOTE LIQ. LA ANITA 300 ML</t>
  </si>
  <si>
    <t>011848205540</t>
  </si>
  <si>
    <t>ACHIOTE LA ANITA 12/1KG..</t>
  </si>
  <si>
    <t>011848275574</t>
  </si>
  <si>
    <t>ACHIOTE LA ANITA 27/440 GR.</t>
  </si>
  <si>
    <t>011848505565</t>
  </si>
  <si>
    <t>ACHIOTE LA ANITA HABANERO 50/100 GRS.</t>
  </si>
  <si>
    <t>AXION AVENA 640ML</t>
  </si>
  <si>
    <t>DET. AXION ALOE 12/640 ML</t>
  </si>
  <si>
    <t>AXION ANTIBACTERIAL 640ML</t>
  </si>
  <si>
    <t>DET. LIQ. AXION COMPLETE 12/640 ML</t>
  </si>
  <si>
    <t>MAYONESA HELLMANN S 24/190 GRS.</t>
  </si>
  <si>
    <t>INSECT. RAID CASA Y JARDIN 400 ML.</t>
  </si>
  <si>
    <t>RAID RAIDOLITOS VERDE 12 NOCHES</t>
  </si>
  <si>
    <t>RAID RAIDOLITOS LAVANDA 12 NOCHES</t>
  </si>
  <si>
    <t>VIGENCIA: DEL 03 AL 16 DE JUNIO 2022</t>
  </si>
  <si>
    <t xml:space="preserve">PASTA P/SOPA FIOR DI PASTA 200 GRS </t>
  </si>
  <si>
    <t>INSEC.RAID MAX 285 ML</t>
  </si>
  <si>
    <t>HARINA DE TRIGO LIRIO 10 / 1 KG</t>
  </si>
  <si>
    <t>ENSALADA CAMPESINA COSTEÑA 220 GRS.</t>
  </si>
  <si>
    <t>MAYONESA HEINZ C/LIMON DOYPACK 340 GRS</t>
  </si>
  <si>
    <t>7501059224827</t>
  </si>
  <si>
    <t>NESCAFE CLASICO 12/200 GRS.</t>
  </si>
  <si>
    <t xml:space="preserve">FRIJOL PINTO TIPO AMERICANO GARDI 907 GRS </t>
  </si>
  <si>
    <t>VIGENCIA: DEL 17 AL 30 DE JUNIO 2022</t>
  </si>
  <si>
    <t>BRASSO PUREZA ACTIVA 12/900 ML.</t>
  </si>
  <si>
    <t>BRASSO FRUTAS EXOTICO 12/900 ML.</t>
  </si>
  <si>
    <t>LIMP.BRASSO DELICIA FLORAL 900 ML</t>
  </si>
  <si>
    <t>BRASSO MANZANA VERDE 12/900 ML.</t>
  </si>
  <si>
    <t>BRASSO TERNURA BEBE 12/900 ML.</t>
  </si>
  <si>
    <t>BRASSO ROCIO LAVANDA 900ML.</t>
  </si>
  <si>
    <t>KBB ABSORSEC CH 40S 4 x 40</t>
  </si>
  <si>
    <t>KBB ABSORSEC MD 40S 4 x 40</t>
  </si>
  <si>
    <t>KBB ABSORSEC GD 40S 4 x 40</t>
  </si>
  <si>
    <t>KBB ABSORSEC JM 40S 4 x 40</t>
  </si>
  <si>
    <t>TOALLA HUMEDA BABYSEC UNICA 24/80 PZAS</t>
  </si>
  <si>
    <t>TOALLA HUMEDA BABYSEC UNICA 50 PZAS</t>
  </si>
  <si>
    <t>TOALLITAS HUMEDAS BEBIN 80 PZAS.</t>
  </si>
  <si>
    <t>ACEITE COMESTIBLE 1-2-3 1 LTO</t>
  </si>
  <si>
    <t>CHILE JALAPEÑO LA COSTEÑA 12/780 GRS..</t>
  </si>
  <si>
    <t>KNORR TOMATISIMO 72/8 CUBOS</t>
  </si>
  <si>
    <t xml:space="preserve">PASTA P/SOPA LA MODERNA 200 GRS VARIEDAD </t>
  </si>
  <si>
    <t>SALSA BOLOGNESA HUNTS 360 GRS</t>
  </si>
  <si>
    <t>PURE CONDIMENTADO LA COSTEÑA 24/210 GRS..</t>
  </si>
  <si>
    <t xml:space="preserve"> HARINA PAVO 10/907 GRS</t>
  </si>
  <si>
    <t xml:space="preserve">MARINAS BETUNADAS 1000GRX6X1            </t>
  </si>
  <si>
    <t xml:space="preserve">SORIANA </t>
  </si>
  <si>
    <t>AL 3 POR 2</t>
  </si>
  <si>
    <t xml:space="preserve">CONVERSION </t>
  </si>
  <si>
    <t>PASTA DE FIDEO LA MODERNA 22/200 GR..</t>
  </si>
  <si>
    <t>PASTA DE FIDEO 2 LA MODERNA 20/200 GR..</t>
  </si>
  <si>
    <t>PASTA DE TALLARIN 1 LA MODERNA 20/200 GR..</t>
  </si>
  <si>
    <t>PASTA DE FIDEO CADEJO LA MODERNA 20/200 GR..</t>
  </si>
  <si>
    <t>PASTA DE SPAGETTI LA MODERNA 20/200 GR..</t>
  </si>
  <si>
    <t>PASTA CORONA LA MODERNA  20/200 GR.</t>
  </si>
  <si>
    <t>PASTA DE LETRAS LA MODERNA 20/200GR.</t>
  </si>
  <si>
    <t>PASTA DE CODO 1 LA MODERNA 20/200 GR..</t>
  </si>
  <si>
    <t>PASTA DE CODO 2 LA MODERNA 22/200 GR..</t>
  </si>
  <si>
    <t>PASTA DE CODO 3 LA MODERNA 20/200 GR..</t>
  </si>
  <si>
    <t>PASTA DE CARACOL LA MODERNA 20/200 GR..</t>
  </si>
  <si>
    <t>PASTA DE CARACOL 2 20/200 GR.</t>
  </si>
  <si>
    <t>PASTA DE CARACOL 20/200 GR.</t>
  </si>
  <si>
    <t>PASTA DE ENGRANE LA MODERNA  20/200 GR.</t>
  </si>
  <si>
    <t>PASTA DE TORNILLO LA MODERNA 20/200GR.</t>
  </si>
  <si>
    <t>DET. 1-2-3 COLOR 1 LT.</t>
  </si>
  <si>
    <t>DET. 1-2-3 ANTI-BACTERIAL 1 LT.</t>
  </si>
  <si>
    <t>DET. LIQ 123 SUAVIZANTE JAZMIN7/1 LTO</t>
  </si>
  <si>
    <t>DET.LIQ. 1-2-3 FRESCA BLANCURA DE 1 LTO..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</si>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</sst>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(&quot;$&quot;* #,##0.00_);_(&quot;$&quot;* \(#,##0.00\);_(&quot;$&quot;* &quot;-&quot;??_);_(@_)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Jester"/>
    </font>
    <font>
      <b/>
      <sz val="11"/>
      <name val="Jester"/>
    </font>
    <font>
      <b/>
      <sz val="18"/>
      <color indexed="8"/>
      <name val="Calibri"/>
      <family val="2"/>
    </font>
    <font>
      <b/>
      <sz val="12"/>
      <name val="Jester"/>
    </font>
    <font>
      <b/>
      <sz val="8"/>
      <color indexed="8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Jester"/>
    </font>
    <font>
      <b/>
      <sz val="9"/>
      <name val="Jeste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 applyFont="0" applyFill="0" applyBorder="0" applyAlignment="0" applyProtection="0"/>
    <xf numFmtId="0" fontId="25" fillId="0" borderId="0"/>
    <xf numFmtId="0" fontId="25" fillId="0" borderId="0"/>
    <xf numFmtId="165" fontId="25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7" fillId="0" borderId="0">
      <alignment vertical="top"/>
    </xf>
    <xf numFmtId="0" fontId="25" fillId="0" borderId="0"/>
    <xf numFmtId="0" fontId="25" fillId="0" borderId="0"/>
    <xf numFmtId="0" fontId="25" fillId="0" borderId="0"/>
    <xf numFmtId="0" fontId="28" fillId="0" borderId="0"/>
    <xf numFmtId="0" fontId="1" fillId="0" borderId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8" fillId="0" borderId="0"/>
    <xf numFmtId="0" fontId="31" fillId="36" borderId="0" applyNumberFormat="0" applyBorder="0" applyAlignment="0" applyProtection="0"/>
    <xf numFmtId="0" fontId="28" fillId="37" borderId="15" applyNumberFormat="0" applyFont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1" borderId="0" applyNumberFormat="0" applyBorder="0" applyAlignment="0" applyProtection="0"/>
    <xf numFmtId="0" fontId="32" fillId="44" borderId="0" applyNumberFormat="0" applyBorder="0" applyAlignment="0" applyProtection="0"/>
    <xf numFmtId="0" fontId="32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40" borderId="0" applyNumberFormat="0" applyBorder="0" applyAlignment="0" applyProtection="0"/>
    <xf numFmtId="0" fontId="35" fillId="52" borderId="16" applyNumberFormat="0" applyAlignment="0" applyProtection="0"/>
    <xf numFmtId="0" fontId="36" fillId="53" borderId="17" applyNumberFormat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1" fillId="36" borderId="0" applyNumberFormat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6" borderId="0" applyNumberFormat="0" applyBorder="0" applyAlignment="0" applyProtection="0"/>
    <xf numFmtId="0" fontId="39" fillId="43" borderId="16" applyNumberFormat="0" applyAlignment="0" applyProtection="0"/>
    <xf numFmtId="0" fontId="25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1" fillId="39" borderId="0" applyNumberFormat="0" applyBorder="0" applyAlignment="0" applyProtection="0"/>
    <xf numFmtId="37" fontId="42" fillId="0" borderId="0"/>
    <xf numFmtId="0" fontId="25" fillId="0" borderId="0"/>
    <xf numFmtId="0" fontId="25" fillId="37" borderId="15" applyNumberFormat="0" applyFont="0" applyAlignment="0" applyProtection="0"/>
    <xf numFmtId="0" fontId="43" fillId="52" borderId="19" applyNumberFormat="0" applyAlignment="0" applyProtection="0"/>
    <xf numFmtId="0" fontId="25" fillId="0" borderId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20" applyNumberFormat="0" applyFill="0" applyAlignment="0" applyProtection="0"/>
    <xf numFmtId="0" fontId="48" fillId="0" borderId="21" applyNumberFormat="0" applyFill="0" applyAlignment="0" applyProtection="0"/>
    <xf numFmtId="0" fontId="38" fillId="0" borderId="22" applyNumberFormat="0" applyFill="0" applyAlignment="0" applyProtection="0"/>
    <xf numFmtId="0" fontId="43" fillId="52" borderId="19" applyNumberFormat="0" applyAlignment="0" applyProtection="0"/>
    <xf numFmtId="0" fontId="25" fillId="0" borderId="0"/>
    <xf numFmtId="0" fontId="31" fillId="54" borderId="0" applyNumberFormat="0" applyBorder="0" applyAlignment="0" applyProtection="0"/>
    <xf numFmtId="0" fontId="49" fillId="0" borderId="0"/>
    <xf numFmtId="44" fontId="50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8" fillId="37" borderId="26" applyNumberFormat="0" applyFont="0" applyAlignment="0" applyProtection="0"/>
    <xf numFmtId="0" fontId="35" fillId="52" borderId="27" applyNumberFormat="0" applyAlignment="0" applyProtection="0"/>
    <xf numFmtId="0" fontId="39" fillId="43" borderId="27" applyNumberFormat="0" applyAlignment="0" applyProtection="0"/>
    <xf numFmtId="0" fontId="25" fillId="37" borderId="26" applyNumberFormat="0" applyFont="0" applyAlignment="0" applyProtection="0"/>
    <xf numFmtId="0" fontId="43" fillId="52" borderId="28" applyNumberFormat="0" applyAlignment="0" applyProtection="0"/>
    <xf numFmtId="0" fontId="43" fillId="52" borderId="28" applyNumberFormat="0" applyAlignment="0" applyProtection="0"/>
    <xf numFmtId="44" fontId="4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9" fillId="0" borderId="0"/>
    <xf numFmtId="44" fontId="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6">
    <xf numFmtId="0" fontId="0" fillId="0" borderId="0" xfId="0"/>
    <xf numFmtId="0" fontId="0" fillId="0" borderId="0" xfId="0"/>
    <xf numFmtId="2" fontId="22" fillId="0" borderId="10" xfId="0" applyNumberFormat="1" applyFont="1" applyFill="1" applyBorder="1" applyAlignment="1">
      <alignment horizontal="center" vertical="center" wrapText="1"/>
    </xf>
    <xf numFmtId="9" fontId="22" fillId="0" borderId="10" xfId="0" applyNumberFormat="1" applyFont="1" applyFill="1" applyBorder="1" applyAlignment="1">
      <alignment horizontal="center" vertical="center" wrapText="1"/>
    </xf>
    <xf numFmtId="10" fontId="23" fillId="0" borderId="10" xfId="0" applyNumberFormat="1" applyFont="1" applyFill="1" applyBorder="1" applyAlignment="1">
      <alignment horizontal="center" vertical="center"/>
    </xf>
    <xf numFmtId="9" fontId="24" fillId="0" borderId="10" xfId="2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30" fillId="0" borderId="14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44" fontId="24" fillId="0" borderId="0" xfId="1" applyFont="1" applyFill="1" applyBorder="1" applyAlignment="1">
      <alignment horizontal="center" vertical="center" wrapText="1"/>
    </xf>
    <xf numFmtId="9" fontId="24" fillId="0" borderId="0" xfId="2" applyNumberFormat="1" applyFont="1" applyFill="1" applyBorder="1" applyAlignment="1">
      <alignment horizontal="center" vertical="center"/>
    </xf>
    <xf numFmtId="44" fontId="16" fillId="0" borderId="0" xfId="1" applyFont="1" applyFill="1" applyBorder="1" applyAlignment="1">
      <alignment horizontal="center" vertical="center" wrapText="1"/>
    </xf>
    <xf numFmtId="44" fontId="29" fillId="0" borderId="0" xfId="0" applyNumberFormat="1" applyFont="1" applyFill="1" applyBorder="1" applyAlignment="1">
      <alignment vertical="center"/>
    </xf>
    <xf numFmtId="44" fontId="24" fillId="0" borderId="23" xfId="1" applyFont="1" applyFill="1" applyBorder="1" applyAlignment="1">
      <alignment horizontal="center" vertical="center" wrapText="1"/>
    </xf>
    <xf numFmtId="1" fontId="23" fillId="0" borderId="23" xfId="0" applyNumberFormat="1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left" vertical="center"/>
    </xf>
    <xf numFmtId="0" fontId="0" fillId="0" borderId="0" xfId="0"/>
    <xf numFmtId="0" fontId="30" fillId="0" borderId="24" xfId="0" applyFont="1" applyFill="1" applyBorder="1" applyAlignment="1">
      <alignment vertical="center"/>
    </xf>
    <xf numFmtId="1" fontId="26" fillId="0" borderId="10" xfId="0" applyNumberFormat="1" applyFont="1" applyBorder="1" applyAlignment="1">
      <alignment horizontal="right"/>
    </xf>
    <xf numFmtId="2" fontId="22" fillId="57" borderId="10" xfId="0" applyNumberFormat="1" applyFont="1" applyFill="1" applyBorder="1" applyAlignment="1">
      <alignment horizontal="center" vertical="center" wrapText="1"/>
    </xf>
    <xf numFmtId="44" fontId="16" fillId="57" borderId="23" xfId="1" applyFont="1" applyFill="1" applyBorder="1" applyAlignment="1">
      <alignment horizontal="center" vertical="center" wrapText="1"/>
    </xf>
    <xf numFmtId="0" fontId="0" fillId="0" borderId="0" xfId="0"/>
    <xf numFmtId="0" fontId="51" fillId="0" borderId="29" xfId="0" applyFont="1" applyFill="1" applyBorder="1"/>
    <xf numFmtId="44" fontId="29" fillId="0" borderId="29" xfId="0" applyNumberFormat="1" applyFont="1" applyFill="1" applyBorder="1" applyAlignment="1">
      <alignment vertical="center"/>
    </xf>
    <xf numFmtId="1" fontId="26" fillId="0" borderId="29" xfId="0" applyNumberFormat="1" applyFont="1" applyBorder="1" applyAlignment="1">
      <alignment horizontal="right"/>
    </xf>
    <xf numFmtId="0" fontId="30" fillId="0" borderId="32" xfId="0" applyFont="1" applyFill="1" applyBorder="1" applyAlignment="1">
      <alignment vertical="center"/>
    </xf>
    <xf numFmtId="0" fontId="0" fillId="0" borderId="0" xfId="0"/>
    <xf numFmtId="2" fontId="22" fillId="0" borderId="10" xfId="0" applyNumberFormat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left" vertical="center"/>
    </xf>
    <xf numFmtId="1" fontId="23" fillId="0" borderId="10" xfId="0" applyNumberFormat="1" applyFont="1" applyFill="1" applyBorder="1" applyAlignment="1">
      <alignment horizontal="center" vertical="center"/>
    </xf>
    <xf numFmtId="44" fontId="24" fillId="0" borderId="10" xfId="1" applyFont="1" applyFill="1" applyBorder="1" applyAlignment="1">
      <alignment horizontal="center" vertical="center" wrapText="1"/>
    </xf>
    <xf numFmtId="44" fontId="24" fillId="0" borderId="0" xfId="1" applyFont="1" applyFill="1" applyBorder="1" applyAlignment="1">
      <alignment horizontal="center" vertical="center" wrapText="1"/>
    </xf>
    <xf numFmtId="44" fontId="16" fillId="0" borderId="0" xfId="1" applyFont="1" applyFill="1" applyBorder="1" applyAlignment="1">
      <alignment horizontal="center" vertical="center" wrapText="1"/>
    </xf>
    <xf numFmtId="44" fontId="24" fillId="0" borderId="29" xfId="1" applyFont="1" applyFill="1" applyBorder="1" applyAlignment="1">
      <alignment horizontal="center" vertical="center" wrapText="1"/>
    </xf>
    <xf numFmtId="1" fontId="23" fillId="0" borderId="29" xfId="0" applyNumberFormat="1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left" vertical="center"/>
    </xf>
    <xf numFmtId="0" fontId="53" fillId="35" borderId="29" xfId="0" applyFont="1" applyFill="1" applyBorder="1" applyAlignment="1">
      <alignment horizontal="center"/>
    </xf>
    <xf numFmtId="2" fontId="22" fillId="57" borderId="10" xfId="0" applyNumberFormat="1" applyFont="1" applyFill="1" applyBorder="1" applyAlignment="1">
      <alignment horizontal="center" vertical="center" wrapText="1"/>
    </xf>
    <xf numFmtId="44" fontId="16" fillId="57" borderId="29" xfId="1" applyFont="1" applyFill="1" applyBorder="1" applyAlignment="1">
      <alignment horizontal="center" vertical="center" wrapText="1"/>
    </xf>
    <xf numFmtId="44" fontId="16" fillId="57" borderId="10" xfId="1" applyFont="1" applyFill="1" applyBorder="1" applyAlignment="1">
      <alignment horizontal="center" vertical="center" wrapText="1"/>
    </xf>
    <xf numFmtId="9" fontId="24" fillId="0" borderId="29" xfId="2" applyNumberFormat="1" applyFont="1" applyFill="1" applyBorder="1" applyAlignment="1">
      <alignment horizontal="center" vertical="center"/>
    </xf>
    <xf numFmtId="0" fontId="21" fillId="34" borderId="29" xfId="0" applyFont="1" applyFill="1" applyBorder="1" applyAlignment="1">
      <alignment horizontal="center" vertical="center"/>
    </xf>
    <xf numFmtId="10" fontId="23" fillId="0" borderId="29" xfId="0" applyNumberFormat="1" applyFont="1" applyFill="1" applyBorder="1" applyAlignment="1">
      <alignment horizontal="center" vertical="center"/>
    </xf>
    <xf numFmtId="0" fontId="30" fillId="0" borderId="25" xfId="0" applyFont="1" applyFill="1" applyBorder="1" applyAlignment="1">
      <alignment vertical="center"/>
    </xf>
    <xf numFmtId="0" fontId="23" fillId="0" borderId="33" xfId="0" applyFont="1" applyFill="1" applyBorder="1" applyAlignment="1">
      <alignment horizontal="left" vertical="center"/>
    </xf>
    <xf numFmtId="44" fontId="24" fillId="0" borderId="33" xfId="1" applyFont="1" applyFill="1" applyBorder="1" applyAlignment="1">
      <alignment horizontal="center" vertical="center" wrapText="1"/>
    </xf>
    <xf numFmtId="44" fontId="16" fillId="57" borderId="33" xfId="1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left" vertical="center"/>
    </xf>
    <xf numFmtId="44" fontId="24" fillId="0" borderId="34" xfId="1" applyFont="1" applyFill="1" applyBorder="1" applyAlignment="1">
      <alignment horizontal="center" vertical="center" wrapText="1"/>
    </xf>
    <xf numFmtId="44" fontId="16" fillId="57" borderId="34" xfId="1" applyFont="1" applyFill="1" applyBorder="1" applyAlignment="1">
      <alignment horizontal="center" vertical="center" wrapText="1"/>
    </xf>
    <xf numFmtId="1" fontId="23" fillId="58" borderId="29" xfId="0" applyNumberFormat="1" applyFont="1" applyFill="1" applyBorder="1" applyAlignment="1">
      <alignment horizontal="center" vertical="center"/>
    </xf>
    <xf numFmtId="0" fontId="23" fillId="58" borderId="29" xfId="0" applyFont="1" applyFill="1" applyBorder="1" applyAlignment="1">
      <alignment horizontal="left" vertical="center"/>
    </xf>
    <xf numFmtId="1" fontId="23" fillId="58" borderId="10" xfId="0" applyNumberFormat="1" applyFont="1" applyFill="1" applyBorder="1" applyAlignment="1">
      <alignment horizontal="center" vertical="center"/>
    </xf>
    <xf numFmtId="0" fontId="23" fillId="58" borderId="10" xfId="0" applyFont="1" applyFill="1" applyBorder="1" applyAlignment="1">
      <alignment horizontal="left" vertical="center"/>
    </xf>
    <xf numFmtId="0" fontId="23" fillId="58" borderId="33" xfId="0" applyFont="1" applyFill="1" applyBorder="1" applyAlignment="1">
      <alignment horizontal="left" vertical="center"/>
    </xf>
    <xf numFmtId="49" fontId="23" fillId="0" borderId="29" xfId="0" applyNumberFormat="1" applyFont="1" applyFill="1" applyBorder="1" applyAlignment="1">
      <alignment horizontal="center" vertical="center"/>
    </xf>
    <xf numFmtId="44" fontId="16" fillId="35" borderId="33" xfId="1" applyFont="1" applyFill="1" applyBorder="1" applyAlignment="1">
      <alignment horizontal="center" vertical="center" wrapText="1"/>
    </xf>
    <xf numFmtId="8" fontId="24" fillId="0" borderId="29" xfId="1" applyNumberFormat="1" applyFont="1" applyFill="1" applyBorder="1" applyAlignment="1">
      <alignment horizontal="center" vertical="center" wrapText="1"/>
    </xf>
    <xf numFmtId="1" fontId="23" fillId="35" borderId="29" xfId="0" applyNumberFormat="1" applyFont="1" applyFill="1" applyBorder="1" applyAlignment="1">
      <alignment horizontal="center" vertical="center"/>
    </xf>
    <xf numFmtId="0" fontId="23" fillId="35" borderId="33" xfId="0" applyFont="1" applyFill="1" applyBorder="1" applyAlignment="1">
      <alignment horizontal="left" vertical="center"/>
    </xf>
    <xf numFmtId="49" fontId="23" fillId="0" borderId="10" xfId="0" applyNumberFormat="1" applyFont="1" applyFill="1" applyBorder="1" applyAlignment="1">
      <alignment horizontal="center" vertical="center"/>
    </xf>
    <xf numFmtId="0" fontId="51" fillId="0" borderId="10" xfId="0" applyFont="1" applyBorder="1"/>
    <xf numFmtId="44" fontId="29" fillId="0" borderId="10" xfId="0" applyNumberFormat="1" applyFont="1" applyFill="1" applyBorder="1" applyAlignment="1">
      <alignment vertical="center"/>
    </xf>
    <xf numFmtId="1" fontId="23" fillId="0" borderId="10" xfId="0" applyNumberFormat="1" applyFont="1" applyFill="1" applyBorder="1" applyAlignment="1">
      <alignment horizontal="right" vertical="center"/>
    </xf>
    <xf numFmtId="1" fontId="23" fillId="0" borderId="29" xfId="0" applyNumberFormat="1" applyFont="1" applyFill="1" applyBorder="1" applyAlignment="1">
      <alignment horizontal="right" vertical="center"/>
    </xf>
    <xf numFmtId="44" fontId="24" fillId="0" borderId="35" xfId="1" applyFont="1" applyFill="1" applyBorder="1" applyAlignment="1">
      <alignment horizontal="center" vertical="center" wrapText="1"/>
    </xf>
    <xf numFmtId="9" fontId="24" fillId="0" borderId="23" xfId="2" applyNumberFormat="1" applyFont="1" applyFill="1" applyBorder="1" applyAlignment="1">
      <alignment horizontal="center" vertical="center"/>
    </xf>
    <xf numFmtId="10" fontId="23" fillId="0" borderId="23" xfId="0" applyNumberFormat="1" applyFont="1" applyFill="1" applyBorder="1" applyAlignment="1">
      <alignment horizontal="center" vertical="center"/>
    </xf>
    <xf numFmtId="44" fontId="29" fillId="0" borderId="23" xfId="0" applyNumberFormat="1" applyFont="1" applyFill="1" applyBorder="1" applyAlignment="1">
      <alignment vertical="center"/>
    </xf>
    <xf numFmtId="0" fontId="23" fillId="58" borderId="35" xfId="0" applyFont="1" applyFill="1" applyBorder="1" applyAlignment="1">
      <alignment horizontal="left" vertical="center"/>
    </xf>
    <xf numFmtId="1" fontId="54" fillId="0" borderId="29" xfId="0" applyNumberFormat="1" applyFont="1" applyFill="1" applyBorder="1" applyAlignment="1">
      <alignment horizontal="right" vertical="top" wrapText="1"/>
    </xf>
    <xf numFmtId="0" fontId="0" fillId="0" borderId="0" xfId="0"/>
    <xf numFmtId="44" fontId="0" fillId="0" borderId="0" xfId="1" applyFont="1"/>
    <xf numFmtId="49" fontId="23" fillId="58" borderId="29" xfId="0" applyNumberFormat="1" applyFont="1" applyFill="1" applyBorder="1" applyAlignment="1">
      <alignment horizontal="center" vertical="center"/>
    </xf>
    <xf numFmtId="44" fontId="24" fillId="35" borderId="3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1" fillId="33" borderId="23" xfId="0" applyFont="1" applyFill="1" applyBorder="1" applyAlignment="1">
      <alignment horizontal="center" vertical="center"/>
    </xf>
    <xf numFmtId="0" fontId="19" fillId="35" borderId="23" xfId="0" applyFont="1" applyFill="1" applyBorder="1" applyAlignment="1">
      <alignment horizontal="center" vertical="center" wrapText="1"/>
    </xf>
    <xf numFmtId="2" fontId="20" fillId="0" borderId="12" xfId="0" applyNumberFormat="1" applyFont="1" applyFill="1" applyBorder="1" applyAlignment="1">
      <alignment horizontal="center" vertical="center" wrapText="1"/>
    </xf>
    <xf numFmtId="2" fontId="20" fillId="0" borderId="13" xfId="0" applyNumberFormat="1" applyFont="1" applyFill="1" applyBorder="1" applyAlignment="1">
      <alignment horizontal="center" vertical="center" wrapText="1"/>
    </xf>
    <xf numFmtId="2" fontId="20" fillId="0" borderId="11" xfId="0" applyNumberFormat="1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/>
    </xf>
    <xf numFmtId="0" fontId="19" fillId="35" borderId="30" xfId="0" applyFont="1" applyFill="1" applyBorder="1" applyAlignment="1">
      <alignment horizontal="center" vertical="center"/>
    </xf>
    <xf numFmtId="0" fontId="19" fillId="35" borderId="31" xfId="0" applyFont="1" applyFill="1" applyBorder="1" applyAlignment="1">
      <alignment horizontal="center" vertical="center"/>
    </xf>
    <xf numFmtId="0" fontId="0" fillId="0" borderId="29" xfId="0" applyBorder="1"/>
  </cellXfs>
  <cellStyles count="139">
    <cellStyle name="20% - Énfasis1" xfId="21" builtinId="30" customBuiltin="1"/>
    <cellStyle name="20% - Énfasis1 2" xfId="66" xr:uid="{00000000-0005-0000-0000-000001000000}"/>
    <cellStyle name="20% - Énfasis2" xfId="25" builtinId="34" customBuiltin="1"/>
    <cellStyle name="20% - Énfasis2 2" xfId="67" xr:uid="{00000000-0005-0000-0000-000003000000}"/>
    <cellStyle name="20% - Énfasis3" xfId="29" builtinId="38" customBuiltin="1"/>
    <cellStyle name="20% - Énfasis3 2" xfId="68" xr:uid="{00000000-0005-0000-0000-000005000000}"/>
    <cellStyle name="20% - Énfasis4" xfId="33" builtinId="42" customBuiltin="1"/>
    <cellStyle name="20% - Énfasis4 2" xfId="69" xr:uid="{00000000-0005-0000-0000-000007000000}"/>
    <cellStyle name="20% - Énfasis5" xfId="37" builtinId="46" customBuiltin="1"/>
    <cellStyle name="20% - Énfasis5 2" xfId="70" xr:uid="{00000000-0005-0000-0000-000009000000}"/>
    <cellStyle name="20% - Énfasis6" xfId="41" builtinId="50" customBuiltin="1"/>
    <cellStyle name="20% - Énfasis6 2" xfId="71" xr:uid="{00000000-0005-0000-0000-00000B000000}"/>
    <cellStyle name="40% - Énfasis1" xfId="22" builtinId="31" customBuiltin="1"/>
    <cellStyle name="40% - Énfasis1 2" xfId="72" xr:uid="{00000000-0005-0000-0000-00000D000000}"/>
    <cellStyle name="40% - Énfasis2" xfId="26" builtinId="35" customBuiltin="1"/>
    <cellStyle name="40% - Énfasis2 2" xfId="73" xr:uid="{00000000-0005-0000-0000-00000F000000}"/>
    <cellStyle name="40% - Énfasis3" xfId="30" builtinId="39" customBuiltin="1"/>
    <cellStyle name="40% - Énfasis3 2" xfId="74" xr:uid="{00000000-0005-0000-0000-000011000000}"/>
    <cellStyle name="40% - Énfasis4" xfId="34" builtinId="43" customBuiltin="1"/>
    <cellStyle name="40% - Énfasis4 2" xfId="75" xr:uid="{00000000-0005-0000-0000-000013000000}"/>
    <cellStyle name="40% - Énfasis5" xfId="38" builtinId="47" customBuiltin="1"/>
    <cellStyle name="40% - Énfasis5 2" xfId="76" xr:uid="{00000000-0005-0000-0000-000015000000}"/>
    <cellStyle name="40% - Énfasis6" xfId="42" builtinId="51" customBuiltin="1"/>
    <cellStyle name="40% - Énfasis6 2" xfId="77" xr:uid="{00000000-0005-0000-0000-000017000000}"/>
    <cellStyle name="60% - Énfasis1" xfId="23" builtinId="32" customBuiltin="1"/>
    <cellStyle name="60% - Énfasis1 2" xfId="78" xr:uid="{00000000-0005-0000-0000-000019000000}"/>
    <cellStyle name="60% - Énfasis1 2 2" xfId="133" xr:uid="{00000000-0005-0000-0000-00001A000000}"/>
    <cellStyle name="60% - Énfasis2" xfId="27" builtinId="36" customBuiltin="1"/>
    <cellStyle name="60% - Énfasis2 2" xfId="79" xr:uid="{00000000-0005-0000-0000-00001C000000}"/>
    <cellStyle name="60% - Énfasis2 2 2" xfId="134" xr:uid="{00000000-0005-0000-0000-00001D000000}"/>
    <cellStyle name="60% - Énfasis3" xfId="31" builtinId="40" customBuiltin="1"/>
    <cellStyle name="60% - Énfasis3 2" xfId="80" xr:uid="{00000000-0005-0000-0000-00001F000000}"/>
    <cellStyle name="60% - Énfasis3 2 2" xfId="135" xr:uid="{00000000-0005-0000-0000-000020000000}"/>
    <cellStyle name="60% - Énfasis4" xfId="35" builtinId="44" customBuiltin="1"/>
    <cellStyle name="60% - Énfasis4 2" xfId="81" xr:uid="{00000000-0005-0000-0000-000022000000}"/>
    <cellStyle name="60% - Énfasis4 2 2" xfId="136" xr:uid="{00000000-0005-0000-0000-000023000000}"/>
    <cellStyle name="60% - Énfasis5" xfId="39" builtinId="48" customBuiltin="1"/>
    <cellStyle name="60% - Énfasis5 2" xfId="82" xr:uid="{00000000-0005-0000-0000-000025000000}"/>
    <cellStyle name="60% - Énfasis5 2 2" xfId="137" xr:uid="{00000000-0005-0000-0000-000026000000}"/>
    <cellStyle name="60% - Énfasis6" xfId="43" builtinId="52" customBuiltin="1"/>
    <cellStyle name="60% - Énfasis6 2" xfId="83" xr:uid="{00000000-0005-0000-0000-000028000000}"/>
    <cellStyle name="60% - Énfasis6 2 2" xfId="138" xr:uid="{00000000-0005-0000-0000-000029000000}"/>
    <cellStyle name="Accent1 2" xfId="64" xr:uid="{00000000-0005-0000-0000-00002A000000}"/>
    <cellStyle name="Accent2 2" xfId="113" xr:uid="{00000000-0005-0000-0000-00002B000000}"/>
    <cellStyle name="Body" xfId="84" xr:uid="{00000000-0005-0000-0000-00002C000000}"/>
    <cellStyle name="Buena 2" xfId="85" xr:uid="{00000000-0005-0000-0000-00002E000000}"/>
    <cellStyle name="Bueno" xfId="8" builtinId="26" customBuiltin="1"/>
    <cellStyle name="Cálculo" xfId="13" builtinId="22" customBuiltin="1"/>
    <cellStyle name="Cálculo 2" xfId="86" xr:uid="{00000000-0005-0000-0000-000030000000}"/>
    <cellStyle name="Cálculo 2 2" xfId="119" xr:uid="{00000000-0005-0000-0000-000031000000}"/>
    <cellStyle name="Celda de comprobación" xfId="15" builtinId="23" customBuiltin="1"/>
    <cellStyle name="Celda de comprobación 2" xfId="87" xr:uid="{00000000-0005-0000-0000-000033000000}"/>
    <cellStyle name="Celda vinculada" xfId="14" builtinId="24" customBuiltin="1"/>
    <cellStyle name="Celda vinculada 2" xfId="88" xr:uid="{00000000-0005-0000-0000-000035000000}"/>
    <cellStyle name="Comma 2" xfId="61" xr:uid="{00000000-0005-0000-0000-000036000000}"/>
    <cellStyle name="Currency 2" xfId="117" xr:uid="{00000000-0005-0000-0000-000037000000}"/>
    <cellStyle name="Currency 3" xfId="60" xr:uid="{00000000-0005-0000-0000-000038000000}"/>
    <cellStyle name="Encabezado 1" xfId="4" builtinId="16" customBuiltin="1"/>
    <cellStyle name="Encabezado 4" xfId="7" builtinId="19" customBuiltin="1"/>
    <cellStyle name="Encabezado 4 2" xfId="89" xr:uid="{00000000-0005-0000-0000-00003A000000}"/>
    <cellStyle name="Énfasis1" xfId="20" builtinId="29" customBuiltin="1"/>
    <cellStyle name="Énfasis1 2" xfId="90" xr:uid="{00000000-0005-0000-0000-00003C000000}"/>
    <cellStyle name="Énfasis2" xfId="24" builtinId="33" customBuiltin="1"/>
    <cellStyle name="Énfasis2 2" xfId="91" xr:uid="{00000000-0005-0000-0000-00003E000000}"/>
    <cellStyle name="Énfasis3" xfId="28" builtinId="37" customBuiltin="1"/>
    <cellStyle name="Énfasis3 2" xfId="92" xr:uid="{00000000-0005-0000-0000-000040000000}"/>
    <cellStyle name="Énfasis4" xfId="32" builtinId="41" customBuiltin="1"/>
    <cellStyle name="Énfasis4 2" xfId="93" xr:uid="{00000000-0005-0000-0000-000042000000}"/>
    <cellStyle name="Énfasis5" xfId="36" builtinId="45" customBuiltin="1"/>
    <cellStyle name="Énfasis5 2" xfId="94" xr:uid="{00000000-0005-0000-0000-000044000000}"/>
    <cellStyle name="Énfasis6" xfId="40" builtinId="49" customBuiltin="1"/>
    <cellStyle name="Énfasis6 2" xfId="95" xr:uid="{00000000-0005-0000-0000-000046000000}"/>
    <cellStyle name="Entrada" xfId="11" builtinId="20" customBuiltin="1"/>
    <cellStyle name="Entrada 2" xfId="96" xr:uid="{00000000-0005-0000-0000-000048000000}"/>
    <cellStyle name="Entrada 2 2" xfId="120" xr:uid="{00000000-0005-0000-0000-000049000000}"/>
    <cellStyle name="Estilo 1" xfId="97" xr:uid="{00000000-0005-0000-0000-00004A000000}"/>
    <cellStyle name="Euro" xfId="44" xr:uid="{00000000-0005-0000-0000-00004B000000}"/>
    <cellStyle name="Hyperlink 2" xfId="98" xr:uid="{00000000-0005-0000-0000-00004C000000}"/>
    <cellStyle name="Incorrecto" xfId="9" builtinId="27" customBuiltin="1"/>
    <cellStyle name="Incorrecto 2" xfId="99" xr:uid="{00000000-0005-0000-0000-00004E000000}"/>
    <cellStyle name="Moneda" xfId="1" builtinId="4"/>
    <cellStyle name="Moneda 10" xfId="53" xr:uid="{00000000-0005-0000-0000-000050000000}"/>
    <cellStyle name="Moneda 12" xfId="127" xr:uid="{00000000-0005-0000-0000-000051000000}"/>
    <cellStyle name="Moneda 2" xfId="49" xr:uid="{00000000-0005-0000-0000-000052000000}"/>
    <cellStyle name="Moneda 2 2" xfId="52" xr:uid="{00000000-0005-0000-0000-000053000000}"/>
    <cellStyle name="Moneda 2 3" xfId="115" xr:uid="{00000000-0005-0000-0000-000054000000}"/>
    <cellStyle name="Moneda 2 3 2" xfId="124" xr:uid="{00000000-0005-0000-0000-000055000000}"/>
    <cellStyle name="Moneda 2 4" xfId="128" xr:uid="{00000000-0005-0000-0000-000056000000}"/>
    <cellStyle name="Moneda 3" xfId="116" xr:uid="{00000000-0005-0000-0000-000057000000}"/>
    <cellStyle name="Moneda 3 2" xfId="130" xr:uid="{00000000-0005-0000-0000-000058000000}"/>
    <cellStyle name="Moneda 4" xfId="125" xr:uid="{00000000-0005-0000-0000-000059000000}"/>
    <cellStyle name="Moneda 4 2" xfId="126" xr:uid="{00000000-0005-0000-0000-00005A000000}"/>
    <cellStyle name="Neutral" xfId="10" builtinId="28" customBuiltin="1"/>
    <cellStyle name="Neutral 2" xfId="132" xr:uid="{00000000-0005-0000-0000-00005C000000}"/>
    <cellStyle name="no dec" xfId="100" xr:uid="{00000000-0005-0000-0000-00005D000000}"/>
    <cellStyle name="Normal" xfId="0" builtinId="0"/>
    <cellStyle name="Normal 10" xfId="58" xr:uid="{00000000-0005-0000-0000-00005F000000}"/>
    <cellStyle name="Normal 2" xfId="45" xr:uid="{00000000-0005-0000-0000-000060000000}"/>
    <cellStyle name="Normal 2 2" xfId="59" xr:uid="{00000000-0005-0000-0000-000061000000}"/>
    <cellStyle name="Normal 2 3" xfId="114" xr:uid="{00000000-0005-0000-0000-000062000000}"/>
    <cellStyle name="Normal 3" xfId="46" xr:uid="{00000000-0005-0000-0000-000063000000}"/>
    <cellStyle name="Normal 3 2" xfId="112" xr:uid="{00000000-0005-0000-0000-000064000000}"/>
    <cellStyle name="Normal 3 3" xfId="63" xr:uid="{00000000-0005-0000-0000-000065000000}"/>
    <cellStyle name="Normal 3 4" xfId="129" xr:uid="{00000000-0005-0000-0000-000066000000}"/>
    <cellStyle name="Normal 4" xfId="48" xr:uid="{00000000-0005-0000-0000-000067000000}"/>
    <cellStyle name="Normal 4 2" xfId="51" xr:uid="{00000000-0005-0000-0000-000068000000}"/>
    <cellStyle name="Normal 5" xfId="54" xr:uid="{00000000-0005-0000-0000-000069000000}"/>
    <cellStyle name="Normal 5 2" xfId="101" xr:uid="{00000000-0005-0000-0000-00006A000000}"/>
    <cellStyle name="Normal 6" xfId="55" xr:uid="{00000000-0005-0000-0000-00006B000000}"/>
    <cellStyle name="Normal 7" xfId="47" xr:uid="{00000000-0005-0000-0000-00006C000000}"/>
    <cellStyle name="Normal 7 2" xfId="50" xr:uid="{00000000-0005-0000-0000-00006D000000}"/>
    <cellStyle name="Normal 8" xfId="56" xr:uid="{00000000-0005-0000-0000-00006E000000}"/>
    <cellStyle name="Normal 9" xfId="57" xr:uid="{00000000-0005-0000-0000-00006F000000}"/>
    <cellStyle name="Notas" xfId="17" builtinId="10" customBuiltin="1"/>
    <cellStyle name="Notas 2" xfId="102" xr:uid="{00000000-0005-0000-0000-000071000000}"/>
    <cellStyle name="Notas 2 2" xfId="121" xr:uid="{00000000-0005-0000-0000-000072000000}"/>
    <cellStyle name="Note 2" xfId="65" xr:uid="{00000000-0005-0000-0000-000073000000}"/>
    <cellStyle name="Note 2 2" xfId="118" xr:uid="{00000000-0005-0000-0000-000074000000}"/>
    <cellStyle name="Output 2" xfId="111" xr:uid="{00000000-0005-0000-0000-000075000000}"/>
    <cellStyle name="Output 2 2" xfId="123" xr:uid="{00000000-0005-0000-0000-000076000000}"/>
    <cellStyle name="Percent 4" xfId="62" xr:uid="{00000000-0005-0000-0000-000077000000}"/>
    <cellStyle name="Porcentaje" xfId="2" builtinId="5"/>
    <cellStyle name="Salida" xfId="12" builtinId="21" customBuiltin="1"/>
    <cellStyle name="Salida 2" xfId="103" xr:uid="{00000000-0005-0000-0000-00007A000000}"/>
    <cellStyle name="Salida 2 2" xfId="122" xr:uid="{00000000-0005-0000-0000-00007B000000}"/>
    <cellStyle name="Style 1" xfId="104" xr:uid="{00000000-0005-0000-0000-00007C000000}"/>
    <cellStyle name="Texto de advertencia" xfId="16" builtinId="11" customBuiltin="1"/>
    <cellStyle name="Texto de advertencia 2" xfId="105" xr:uid="{00000000-0005-0000-0000-00007E000000}"/>
    <cellStyle name="Texto explicativo" xfId="18" builtinId="53" customBuiltin="1"/>
    <cellStyle name="Texto explicativo 2" xfId="106" xr:uid="{00000000-0005-0000-0000-000080000000}"/>
    <cellStyle name="Título" xfId="3" builtinId="15" customBuiltin="1"/>
    <cellStyle name="Título 1 2" xfId="108" xr:uid="{00000000-0005-0000-0000-000083000000}"/>
    <cellStyle name="Título 2" xfId="5" builtinId="17" customBuiltin="1"/>
    <cellStyle name="Título 2 2" xfId="109" xr:uid="{00000000-0005-0000-0000-000085000000}"/>
    <cellStyle name="Título 3" xfId="6" builtinId="18" customBuiltin="1"/>
    <cellStyle name="Título 3 2" xfId="110" xr:uid="{00000000-0005-0000-0000-000087000000}"/>
    <cellStyle name="Título 4" xfId="107" xr:uid="{00000000-0005-0000-0000-000088000000}"/>
    <cellStyle name="Título 4 2" xfId="131" xr:uid="{00000000-0005-0000-0000-000089000000}"/>
    <cellStyle name="Total" xfId="19" builtinId="25" customBuiltin="1"/>
  </cellStyles>
  <dxfs count="6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A7C37-111D-487A-B949-F08283068133}" name="Tabla1" displayName="Tabla1" ref="A1:B45" totalsRowShown="0">
  <autoFilter ref="A1:B45" xr:uid="{E8EA7C37-111D-487A-B949-F08283068133}"/>
  <tableColumns count="2">
    <tableColumn id="1" xr3:uid="{21DFBE87-E235-4DEB-88DB-4EDB968CAF21}" name="Columna1" dataDxfId="1"/>
    <tableColumn id="2" xr3:uid="{2D4FA8C8-1C43-4C80-AF8C-1729B4FD7D6F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7"/>
  <sheetViews>
    <sheetView topLeftCell="A377" zoomScale="110" zoomScaleNormal="110" workbookViewId="0">
      <selection activeCell="C399" sqref="C399"/>
    </sheetView>
  </sheetViews>
  <sheetFormatPr baseColWidth="10" defaultColWidth="11.42578125" defaultRowHeight="15"/>
  <cols>
    <col min="1" max="1" width="20.28515625" style="1" customWidth="1"/>
    <col min="2" max="2" width="14" style="1" bestFit="1" customWidth="1"/>
    <col min="3" max="3" width="53.7109375" style="1" customWidth="1"/>
    <col min="4" max="4" width="10.28515625" style="1" bestFit="1" customWidth="1"/>
    <col min="5" max="5" width="11.7109375" style="1" bestFit="1" customWidth="1"/>
    <col min="6" max="6" width="7.5703125" style="1" bestFit="1" customWidth="1"/>
    <col min="7" max="7" width="10.85546875" style="1" bestFit="1" customWidth="1"/>
    <col min="8" max="8" width="11" style="1" customWidth="1"/>
    <col min="9" max="9" width="9.140625" style="1" bestFit="1" customWidth="1"/>
    <col min="10" max="10" width="7.5703125" style="1" bestFit="1" customWidth="1"/>
    <col min="11" max="13" width="11.42578125" style="1"/>
    <col min="14" max="14" width="13.28515625" style="1" bestFit="1" customWidth="1"/>
    <col min="15" max="16384" width="11.42578125" style="1"/>
  </cols>
  <sheetData>
    <row r="1" spans="1:15" ht="15.75">
      <c r="A1" s="77" t="s">
        <v>332</v>
      </c>
      <c r="B1" s="77"/>
      <c r="C1" s="77"/>
    </row>
    <row r="2" spans="1:15" ht="23.25" customHeight="1">
      <c r="A2" s="78" t="s">
        <v>425</v>
      </c>
      <c r="B2" s="78"/>
      <c r="C2" s="78"/>
      <c r="D2" s="79" t="s">
        <v>0</v>
      </c>
      <c r="E2" s="80"/>
      <c r="F2" s="81"/>
      <c r="G2" s="79" t="s">
        <v>1</v>
      </c>
      <c r="H2" s="80"/>
      <c r="I2" s="81"/>
    </row>
    <row r="3" spans="1:15" ht="22.5">
      <c r="A3" s="41" t="s">
        <v>11</v>
      </c>
      <c r="B3" s="41" t="s">
        <v>2</v>
      </c>
      <c r="C3" s="41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19" t="s">
        <v>8</v>
      </c>
      <c r="I3" s="3" t="s">
        <v>9</v>
      </c>
      <c r="J3" s="6" t="s">
        <v>10</v>
      </c>
      <c r="L3" s="75" t="s">
        <v>447</v>
      </c>
      <c r="M3" s="75" t="s">
        <v>448</v>
      </c>
      <c r="N3" s="76" t="s">
        <v>449</v>
      </c>
      <c r="O3" s="75"/>
    </row>
    <row r="4" spans="1:15" s="71" customFormat="1">
      <c r="A4" s="25"/>
      <c r="B4" s="50" t="s">
        <v>40</v>
      </c>
      <c r="C4" s="54" t="s">
        <v>57</v>
      </c>
      <c r="D4" s="45">
        <v>22.664000000000001</v>
      </c>
      <c r="E4" s="45">
        <v>28.7</v>
      </c>
      <c r="F4" s="5">
        <f t="shared" ref="F4:F59" si="0">+((D4/E4)-1)*-1</f>
        <v>0.21031358885017415</v>
      </c>
      <c r="G4" s="45">
        <v>18.809999999999999</v>
      </c>
      <c r="H4" s="38">
        <v>20.9</v>
      </c>
      <c r="I4" s="4">
        <f t="shared" ref="I4:I59" si="1">+((G4/H4)-1)*-1</f>
        <v>9.9999999999999978E-2</v>
      </c>
      <c r="J4" s="23">
        <f>+D4-G4</f>
        <v>3.8540000000000028</v>
      </c>
      <c r="L4" s="71">
        <v>24.5</v>
      </c>
      <c r="M4" s="72">
        <f>+((L4*2)/3)</f>
        <v>16.333333333333332</v>
      </c>
      <c r="N4" s="72">
        <f>+((((M4/6)/225)*400)*4)</f>
        <v>19.358024691358022</v>
      </c>
    </row>
    <row r="5" spans="1:15" s="71" customFormat="1">
      <c r="A5" s="25"/>
      <c r="B5" s="50" t="s">
        <v>41</v>
      </c>
      <c r="C5" s="54" t="s">
        <v>58</v>
      </c>
      <c r="D5" s="45">
        <f>19.35*1.16</f>
        <v>22.446000000000002</v>
      </c>
      <c r="E5" s="45">
        <v>28.7</v>
      </c>
      <c r="F5" s="5">
        <f t="shared" si="0"/>
        <v>0.21790940766550515</v>
      </c>
      <c r="G5" s="45">
        <v>20.61</v>
      </c>
      <c r="H5" s="38">
        <v>22.9</v>
      </c>
      <c r="I5" s="4">
        <f t="shared" si="1"/>
        <v>9.9999999999999978E-2</v>
      </c>
      <c r="J5" s="23">
        <f t="shared" ref="J5:J7" si="2">+D5-G5</f>
        <v>1.8360000000000021</v>
      </c>
    </row>
    <row r="6" spans="1:15" s="71" customFormat="1">
      <c r="A6" s="25"/>
      <c r="B6" s="50">
        <v>7502247335677</v>
      </c>
      <c r="C6" s="54" t="s">
        <v>59</v>
      </c>
      <c r="D6" s="45">
        <f>13.65*1.16</f>
        <v>15.834</v>
      </c>
      <c r="E6" s="45">
        <v>22.7</v>
      </c>
      <c r="F6" s="5">
        <f t="shared" si="0"/>
        <v>0.30246696035242293</v>
      </c>
      <c r="G6" s="45">
        <v>14.85</v>
      </c>
      <c r="H6" s="38">
        <v>16.5</v>
      </c>
      <c r="I6" s="4">
        <f t="shared" si="1"/>
        <v>9.9999999999999978E-2</v>
      </c>
      <c r="J6" s="23">
        <f t="shared" si="2"/>
        <v>0.98399999999999999</v>
      </c>
      <c r="L6" s="71">
        <v>19.899999999999999</v>
      </c>
      <c r="M6" s="72">
        <f>+((L6*2)/3)</f>
        <v>13.266666666666666</v>
      </c>
      <c r="N6" s="72">
        <f>+((((M6/4)/200)*247)*4)</f>
        <v>16.384333333333331</v>
      </c>
    </row>
    <row r="7" spans="1:15" s="71" customFormat="1">
      <c r="A7" s="25"/>
      <c r="B7" s="50">
        <v>7502247338845</v>
      </c>
      <c r="C7" s="54" t="s">
        <v>212</v>
      </c>
      <c r="D7" s="45">
        <f>6.1172*1.16</f>
        <v>7.0959519999999996</v>
      </c>
      <c r="E7" s="45">
        <v>9.9</v>
      </c>
      <c r="F7" s="5">
        <f t="shared" si="0"/>
        <v>0.28323717171717178</v>
      </c>
      <c r="G7" s="45">
        <f>+D7*0.9</f>
        <v>6.3863567999999997</v>
      </c>
      <c r="H7" s="38">
        <v>7.5</v>
      </c>
      <c r="I7" s="4">
        <f t="shared" si="1"/>
        <v>0.14848576000000002</v>
      </c>
      <c r="J7" s="23">
        <f t="shared" si="2"/>
        <v>0.70959519999999987</v>
      </c>
    </row>
    <row r="8" spans="1:15" s="71" customFormat="1">
      <c r="A8" s="25"/>
      <c r="B8" s="50">
        <v>7501943458499</v>
      </c>
      <c r="C8" s="54" t="s">
        <v>204</v>
      </c>
      <c r="D8" s="45">
        <f>4.82*1.16</f>
        <v>5.5911999999999997</v>
      </c>
      <c r="E8" s="45">
        <v>7.6</v>
      </c>
      <c r="F8" s="5">
        <f t="shared" si="0"/>
        <v>0.26431578947368417</v>
      </c>
      <c r="G8" s="45">
        <v>5</v>
      </c>
      <c r="H8" s="38">
        <v>5.9</v>
      </c>
      <c r="I8" s="4">
        <f t="shared" si="1"/>
        <v>0.15254237288135597</v>
      </c>
      <c r="J8" s="23">
        <f>+D8-G8</f>
        <v>0.59119999999999973</v>
      </c>
    </row>
    <row r="9" spans="1:15" s="71" customFormat="1">
      <c r="A9" s="25"/>
      <c r="B9" s="50">
        <v>7506425605781</v>
      </c>
      <c r="C9" s="54" t="s">
        <v>350</v>
      </c>
      <c r="D9" s="45">
        <f>12.888*1.16</f>
        <v>14.950079999999998</v>
      </c>
      <c r="E9" s="45">
        <v>19.899999999999999</v>
      </c>
      <c r="F9" s="5">
        <f t="shared" si="0"/>
        <v>0.24873969849246236</v>
      </c>
      <c r="G9" s="45">
        <v>13.41</v>
      </c>
      <c r="H9" s="38">
        <v>14.9</v>
      </c>
      <c r="I9" s="4">
        <f t="shared" si="1"/>
        <v>9.9999999999999978E-2</v>
      </c>
      <c r="J9" s="23">
        <f t="shared" ref="J9:J34" si="3">+D9-G9</f>
        <v>1.5400799999999979</v>
      </c>
      <c r="L9" s="71">
        <v>21.9</v>
      </c>
      <c r="M9" s="72">
        <f>+((L9*2)/3)</f>
        <v>14.6</v>
      </c>
    </row>
    <row r="10" spans="1:15" s="71" customFormat="1">
      <c r="A10" s="25"/>
      <c r="B10" s="50"/>
      <c r="C10" s="54"/>
      <c r="D10" s="45"/>
      <c r="E10" s="45"/>
      <c r="F10" s="5" t="e">
        <f t="shared" si="0"/>
        <v>#DIV/0!</v>
      </c>
      <c r="G10" s="45"/>
      <c r="H10" s="38"/>
      <c r="I10" s="4" t="e">
        <f t="shared" si="1"/>
        <v>#DIV/0!</v>
      </c>
      <c r="J10" s="23">
        <f t="shared" si="3"/>
        <v>0</v>
      </c>
    </row>
    <row r="11" spans="1:15" s="71" customFormat="1">
      <c r="A11" s="25"/>
      <c r="B11" s="50">
        <v>75002343</v>
      </c>
      <c r="C11" s="69" t="s">
        <v>439</v>
      </c>
      <c r="D11" s="65">
        <v>44.65</v>
      </c>
      <c r="E11" s="65">
        <v>49.9</v>
      </c>
      <c r="F11" s="5">
        <f t="shared" si="0"/>
        <v>0.10521042084168342</v>
      </c>
      <c r="G11" s="65">
        <v>38.61</v>
      </c>
      <c r="H11" s="38">
        <v>42.9</v>
      </c>
      <c r="I11" s="4">
        <f t="shared" si="1"/>
        <v>9.9999999999999978E-2</v>
      </c>
      <c r="J11" s="23">
        <f>+D11-G11</f>
        <v>6.0399999999999991</v>
      </c>
    </row>
    <row r="12" spans="1:15" s="71" customFormat="1">
      <c r="A12" s="25"/>
      <c r="B12" s="50">
        <v>7501077400708</v>
      </c>
      <c r="C12" s="54" t="s">
        <v>370</v>
      </c>
      <c r="D12" s="45">
        <v>14.4</v>
      </c>
      <c r="E12" s="45">
        <v>17.5</v>
      </c>
      <c r="F12" s="5">
        <f t="shared" si="0"/>
        <v>0.17714285714285716</v>
      </c>
      <c r="G12" s="45">
        <f>+D12-1.5</f>
        <v>12.9</v>
      </c>
      <c r="H12" s="38">
        <v>14.5</v>
      </c>
      <c r="I12" s="4">
        <f t="shared" si="1"/>
        <v>0.1103448275862069</v>
      </c>
      <c r="J12" s="23">
        <f t="shared" si="3"/>
        <v>1.5</v>
      </c>
    </row>
    <row r="13" spans="1:15" s="71" customFormat="1">
      <c r="A13" s="25"/>
      <c r="B13" s="50">
        <v>7501468722228</v>
      </c>
      <c r="C13" s="54" t="s">
        <v>378</v>
      </c>
      <c r="D13" s="45">
        <v>19.5</v>
      </c>
      <c r="E13" s="45">
        <v>22.9</v>
      </c>
      <c r="F13" s="5">
        <f t="shared" si="0"/>
        <v>0.14847161572052392</v>
      </c>
      <c r="G13" s="45">
        <f>+D13-2</f>
        <v>17.5</v>
      </c>
      <c r="H13" s="38">
        <v>19.5</v>
      </c>
      <c r="I13" s="4">
        <f t="shared" si="1"/>
        <v>0.10256410256410253</v>
      </c>
      <c r="J13" s="23">
        <f t="shared" si="3"/>
        <v>2</v>
      </c>
    </row>
    <row r="14" spans="1:15" s="71" customFormat="1">
      <c r="A14" s="25"/>
      <c r="B14" s="50"/>
      <c r="C14" s="54"/>
      <c r="D14" s="45"/>
      <c r="E14" s="45"/>
      <c r="F14" s="5" t="e">
        <f t="shared" si="0"/>
        <v>#DIV/0!</v>
      </c>
      <c r="G14" s="45"/>
      <c r="H14" s="38"/>
      <c r="I14" s="4" t="e">
        <f t="shared" si="1"/>
        <v>#DIV/0!</v>
      </c>
      <c r="J14" s="23">
        <f t="shared" si="3"/>
        <v>0</v>
      </c>
    </row>
    <row r="15" spans="1:15" s="71" customFormat="1">
      <c r="A15" s="25"/>
      <c r="B15" s="50">
        <v>619585006118</v>
      </c>
      <c r="C15" s="54" t="s">
        <v>387</v>
      </c>
      <c r="D15" s="45">
        <v>93.409378160000003</v>
      </c>
      <c r="E15" s="45">
        <v>112.2</v>
      </c>
      <c r="F15" s="5">
        <f t="shared" si="0"/>
        <v>0.16747434795008909</v>
      </c>
      <c r="G15" s="45">
        <v>79.397971436000006</v>
      </c>
      <c r="H15" s="38">
        <v>88.9</v>
      </c>
      <c r="I15" s="4">
        <f t="shared" si="1"/>
        <v>0.10688446078740155</v>
      </c>
      <c r="J15" s="23">
        <f t="shared" si="3"/>
        <v>14.011406723999997</v>
      </c>
    </row>
    <row r="16" spans="1:15" s="71" customFormat="1">
      <c r="A16" s="25"/>
      <c r="B16" s="50">
        <v>619585006217</v>
      </c>
      <c r="C16" s="69" t="s">
        <v>388</v>
      </c>
      <c r="D16" s="65">
        <v>96.1524</v>
      </c>
      <c r="E16" s="65">
        <v>124.3</v>
      </c>
      <c r="F16" s="5">
        <f t="shared" si="0"/>
        <v>0.22644891391794042</v>
      </c>
      <c r="G16" s="65">
        <v>81.72954</v>
      </c>
      <c r="H16" s="38">
        <v>90.9</v>
      </c>
      <c r="I16" s="4">
        <f t="shared" si="1"/>
        <v>0.10088514851485153</v>
      </c>
      <c r="J16" s="23">
        <f t="shared" si="3"/>
        <v>14.42286</v>
      </c>
    </row>
    <row r="17" spans="1:10" s="71" customFormat="1">
      <c r="A17" s="25"/>
      <c r="B17" s="50">
        <v>619585006316</v>
      </c>
      <c r="C17" s="69" t="s">
        <v>389</v>
      </c>
      <c r="D17" s="65">
        <v>112.41558143999998</v>
      </c>
      <c r="E17" s="65">
        <v>137.80000000000001</v>
      </c>
      <c r="F17" s="5">
        <f t="shared" si="0"/>
        <v>0.18421203599419467</v>
      </c>
      <c r="G17" s="65">
        <v>95.553244223999982</v>
      </c>
      <c r="H17" s="38">
        <v>106.9</v>
      </c>
      <c r="I17" s="4">
        <f t="shared" si="1"/>
        <v>0.10614364617399463</v>
      </c>
      <c r="J17" s="23">
        <f t="shared" si="3"/>
        <v>16.862337216</v>
      </c>
    </row>
    <row r="18" spans="1:10" s="71" customFormat="1">
      <c r="A18" s="25"/>
      <c r="B18" s="50">
        <v>619585006415</v>
      </c>
      <c r="C18" s="69" t="s">
        <v>390</v>
      </c>
      <c r="D18" s="65">
        <v>125.15239999999999</v>
      </c>
      <c r="E18" s="65">
        <v>154.9</v>
      </c>
      <c r="F18" s="5">
        <f t="shared" si="0"/>
        <v>0.19204389928986454</v>
      </c>
      <c r="G18" s="65">
        <v>106.37953999999999</v>
      </c>
      <c r="H18" s="38">
        <v>118.9</v>
      </c>
      <c r="I18" s="4">
        <f t="shared" si="1"/>
        <v>0.1053024390243904</v>
      </c>
      <c r="J18" s="23">
        <f t="shared" si="3"/>
        <v>18.772859999999994</v>
      </c>
    </row>
    <row r="19" spans="1:10" s="71" customFormat="1">
      <c r="A19" s="25"/>
      <c r="B19" s="50">
        <v>619585006613</v>
      </c>
      <c r="C19" s="69" t="s">
        <v>391</v>
      </c>
      <c r="D19" s="65">
        <v>150.80470495999998</v>
      </c>
      <c r="E19" s="65">
        <v>180.9</v>
      </c>
      <c r="F19" s="5">
        <f t="shared" si="0"/>
        <v>0.16636426224433398</v>
      </c>
      <c r="G19" s="65">
        <v>128.18399921599999</v>
      </c>
      <c r="H19" s="38">
        <v>142.9</v>
      </c>
      <c r="I19" s="4">
        <f t="shared" si="1"/>
        <v>0.10298111115465369</v>
      </c>
      <c r="J19" s="23">
        <f t="shared" si="3"/>
        <v>22.620705743999991</v>
      </c>
    </row>
    <row r="20" spans="1:10" s="71" customFormat="1">
      <c r="A20" s="25"/>
      <c r="B20" s="50"/>
      <c r="C20" s="69"/>
      <c r="D20" s="65"/>
      <c r="E20" s="65"/>
      <c r="F20" s="5" t="e">
        <f t="shared" si="0"/>
        <v>#DIV/0!</v>
      </c>
      <c r="G20" s="65">
        <v>0</v>
      </c>
      <c r="H20" s="38">
        <f t="shared" ref="H20:H30" si="4">+G20/0.9</f>
        <v>0</v>
      </c>
      <c r="I20" s="4" t="e">
        <f t="shared" si="1"/>
        <v>#DIV/0!</v>
      </c>
      <c r="J20" s="23">
        <f t="shared" si="3"/>
        <v>0</v>
      </c>
    </row>
    <row r="21" spans="1:10" s="71" customFormat="1">
      <c r="A21" s="25"/>
      <c r="B21" s="50">
        <v>7502247339385</v>
      </c>
      <c r="C21" s="69" t="s">
        <v>60</v>
      </c>
      <c r="D21" s="65">
        <v>120.50325498589282</v>
      </c>
      <c r="E21" s="65">
        <v>151.5</v>
      </c>
      <c r="F21" s="5">
        <f t="shared" si="0"/>
        <v>0.20459897699080642</v>
      </c>
      <c r="G21" s="65">
        <v>96.402603988714262</v>
      </c>
      <c r="H21" s="38">
        <v>107.9</v>
      </c>
      <c r="I21" s="4">
        <f t="shared" si="1"/>
        <v>0.10655603346882059</v>
      </c>
      <c r="J21" s="23">
        <f t="shared" si="3"/>
        <v>24.100650997178562</v>
      </c>
    </row>
    <row r="22" spans="1:10" s="71" customFormat="1">
      <c r="A22" s="25"/>
      <c r="B22" s="50">
        <v>7502247334595</v>
      </c>
      <c r="C22" s="69" t="s">
        <v>61</v>
      </c>
      <c r="D22" s="65">
        <v>120.50325498589282</v>
      </c>
      <c r="E22" s="65">
        <v>151.5</v>
      </c>
      <c r="F22" s="5">
        <f t="shared" si="0"/>
        <v>0.20459897699080642</v>
      </c>
      <c r="G22" s="65">
        <v>96.402603988714262</v>
      </c>
      <c r="H22" s="38">
        <v>107.9</v>
      </c>
      <c r="I22" s="4">
        <f t="shared" si="1"/>
        <v>0.10655603346882059</v>
      </c>
      <c r="J22" s="23">
        <f t="shared" si="3"/>
        <v>24.100650997178562</v>
      </c>
    </row>
    <row r="23" spans="1:10" s="71" customFormat="1">
      <c r="A23" s="25"/>
      <c r="B23" s="50">
        <v>7502247334601</v>
      </c>
      <c r="C23" s="69" t="s">
        <v>62</v>
      </c>
      <c r="D23" s="65">
        <v>120.50325498589282</v>
      </c>
      <c r="E23" s="65">
        <v>151.5</v>
      </c>
      <c r="F23" s="5">
        <f t="shared" si="0"/>
        <v>0.20459897699080642</v>
      </c>
      <c r="G23" s="65">
        <v>96.402603988714262</v>
      </c>
      <c r="H23" s="38">
        <v>107.9</v>
      </c>
      <c r="I23" s="4">
        <f t="shared" si="1"/>
        <v>0.10655603346882059</v>
      </c>
      <c r="J23" s="23">
        <f t="shared" si="3"/>
        <v>24.100650997178562</v>
      </c>
    </row>
    <row r="24" spans="1:10" s="71" customFormat="1">
      <c r="A24" s="25"/>
      <c r="B24" s="50">
        <v>7502247334618</v>
      </c>
      <c r="C24" s="69" t="s">
        <v>63</v>
      </c>
      <c r="D24" s="65">
        <v>120.50325498589282</v>
      </c>
      <c r="E24" s="65">
        <v>151.5</v>
      </c>
      <c r="F24" s="5">
        <f t="shared" si="0"/>
        <v>0.20459897699080642</v>
      </c>
      <c r="G24" s="65">
        <v>96.402603988714262</v>
      </c>
      <c r="H24" s="38">
        <v>107.9</v>
      </c>
      <c r="I24" s="4">
        <f t="shared" si="1"/>
        <v>0.10655603346882059</v>
      </c>
      <c r="J24" s="23">
        <f t="shared" si="3"/>
        <v>24.100650997178562</v>
      </c>
    </row>
    <row r="25" spans="1:10" s="71" customFormat="1">
      <c r="A25" s="25"/>
      <c r="B25" s="50"/>
      <c r="C25" s="69"/>
      <c r="D25" s="65"/>
      <c r="E25" s="65"/>
      <c r="F25" s="5" t="e">
        <f t="shared" si="0"/>
        <v>#DIV/0!</v>
      </c>
      <c r="G25" s="65">
        <v>0</v>
      </c>
      <c r="H25" s="38">
        <f t="shared" si="4"/>
        <v>0</v>
      </c>
      <c r="I25" s="4" t="e">
        <f t="shared" si="1"/>
        <v>#DIV/0!</v>
      </c>
      <c r="J25" s="23">
        <f t="shared" si="3"/>
        <v>0</v>
      </c>
    </row>
    <row r="26" spans="1:10" s="71" customFormat="1">
      <c r="A26" s="25"/>
      <c r="B26" s="50">
        <v>7501943433359</v>
      </c>
      <c r="C26" s="69" t="s">
        <v>432</v>
      </c>
      <c r="D26" s="65">
        <v>98.333432000000002</v>
      </c>
      <c r="E26" s="65">
        <v>115.9</v>
      </c>
      <c r="F26" s="5">
        <f t="shared" si="0"/>
        <v>0.15156659188956001</v>
      </c>
      <c r="G26" s="65">
        <v>78.666745600000013</v>
      </c>
      <c r="H26" s="38">
        <v>87.9</v>
      </c>
      <c r="I26" s="4">
        <f t="shared" si="1"/>
        <v>0.10504271217292371</v>
      </c>
      <c r="J26" s="23">
        <f t="shared" si="3"/>
        <v>19.666686399999989</v>
      </c>
    </row>
    <row r="27" spans="1:10" s="71" customFormat="1">
      <c r="A27" s="25"/>
      <c r="B27" s="50">
        <v>7501017372737</v>
      </c>
      <c r="C27" s="69" t="s">
        <v>433</v>
      </c>
      <c r="D27" s="65">
        <v>108.57414399999999</v>
      </c>
      <c r="E27" s="65">
        <v>127.9</v>
      </c>
      <c r="F27" s="5">
        <f t="shared" si="0"/>
        <v>0.15110129788897586</v>
      </c>
      <c r="G27" s="65">
        <v>86.859315199999998</v>
      </c>
      <c r="H27" s="38">
        <v>96.9</v>
      </c>
      <c r="I27" s="4">
        <f t="shared" si="1"/>
        <v>0.10361903818369456</v>
      </c>
      <c r="J27" s="23">
        <f t="shared" si="3"/>
        <v>21.714828799999992</v>
      </c>
    </row>
    <row r="28" spans="1:10" s="71" customFormat="1">
      <c r="A28" s="25"/>
      <c r="B28" s="50">
        <v>7501017372751</v>
      </c>
      <c r="C28" s="69" t="s">
        <v>434</v>
      </c>
      <c r="D28" s="65">
        <v>124.0765</v>
      </c>
      <c r="E28" s="65">
        <v>145.9</v>
      </c>
      <c r="F28" s="5">
        <f t="shared" si="0"/>
        <v>0.14957847840986982</v>
      </c>
      <c r="G28" s="65">
        <v>99.261200000000002</v>
      </c>
      <c r="H28" s="38">
        <v>110.9</v>
      </c>
      <c r="I28" s="4">
        <f t="shared" si="1"/>
        <v>0.10494860234445447</v>
      </c>
      <c r="J28" s="23">
        <f t="shared" si="3"/>
        <v>24.815299999999993</v>
      </c>
    </row>
    <row r="29" spans="1:10" s="71" customFormat="1">
      <c r="A29" s="25"/>
      <c r="B29" s="50">
        <v>7501017372775</v>
      </c>
      <c r="C29" s="54" t="s">
        <v>435</v>
      </c>
      <c r="D29" s="45">
        <v>142.042</v>
      </c>
      <c r="E29" s="45">
        <v>167.9</v>
      </c>
      <c r="F29" s="5">
        <f t="shared" si="0"/>
        <v>0.1540083382966051</v>
      </c>
      <c r="G29" s="45">
        <v>113.6336</v>
      </c>
      <c r="H29" s="38">
        <v>126.9</v>
      </c>
      <c r="I29" s="4">
        <f t="shared" si="1"/>
        <v>0.10454215918045706</v>
      </c>
      <c r="J29" s="23">
        <f t="shared" si="3"/>
        <v>28.4084</v>
      </c>
    </row>
    <row r="30" spans="1:10" s="71" customFormat="1">
      <c r="A30" s="25"/>
      <c r="B30" s="50"/>
      <c r="C30" s="69"/>
      <c r="D30" s="65"/>
      <c r="E30" s="65"/>
      <c r="F30" s="5" t="e">
        <f t="shared" si="0"/>
        <v>#DIV/0!</v>
      </c>
      <c r="G30" s="65">
        <v>0</v>
      </c>
      <c r="H30" s="38">
        <f t="shared" si="4"/>
        <v>0</v>
      </c>
      <c r="I30" s="4" t="e">
        <f t="shared" si="1"/>
        <v>#DIV/0!</v>
      </c>
      <c r="J30" s="23">
        <f t="shared" si="3"/>
        <v>0</v>
      </c>
    </row>
    <row r="31" spans="1:10" s="71" customFormat="1">
      <c r="A31" s="25"/>
      <c r="B31" s="50">
        <v>7502247330016</v>
      </c>
      <c r="C31" s="69" t="s">
        <v>436</v>
      </c>
      <c r="D31" s="65">
        <v>29.439850790637717</v>
      </c>
      <c r="E31" s="65">
        <v>37.700000000000003</v>
      </c>
      <c r="F31" s="5">
        <f t="shared" si="0"/>
        <v>0.21910210104409245</v>
      </c>
      <c r="G31" s="65">
        <v>23.551880632510176</v>
      </c>
      <c r="H31" s="38">
        <v>26.9</v>
      </c>
      <c r="I31" s="4">
        <f t="shared" si="1"/>
        <v>0.12446540399590422</v>
      </c>
      <c r="J31" s="23">
        <f t="shared" si="3"/>
        <v>5.8879701581275405</v>
      </c>
    </row>
    <row r="32" spans="1:10" s="71" customFormat="1">
      <c r="A32" s="25"/>
      <c r="B32" s="50">
        <v>7502247330030</v>
      </c>
      <c r="C32" s="69" t="s">
        <v>437</v>
      </c>
      <c r="D32" s="65">
        <v>22.079103062687999</v>
      </c>
      <c r="E32" s="65">
        <v>27.6</v>
      </c>
      <c r="F32" s="5">
        <f t="shared" si="0"/>
        <v>0.20003249772869569</v>
      </c>
      <c r="G32" s="65">
        <v>17.663282450150401</v>
      </c>
      <c r="H32" s="38">
        <v>19.899999999999999</v>
      </c>
      <c r="I32" s="4">
        <f t="shared" si="1"/>
        <v>0.1123978668266129</v>
      </c>
      <c r="J32" s="23">
        <f t="shared" si="3"/>
        <v>4.4158206125375976</v>
      </c>
    </row>
    <row r="33" spans="1:10" s="71" customFormat="1">
      <c r="A33" s="25"/>
      <c r="B33" s="50">
        <v>619585104012</v>
      </c>
      <c r="C33" s="69" t="s">
        <v>438</v>
      </c>
      <c r="D33" s="65">
        <v>16.279320462000001</v>
      </c>
      <c r="E33" s="65">
        <v>23.9</v>
      </c>
      <c r="F33" s="5">
        <f t="shared" si="0"/>
        <v>0.31885688443514637</v>
      </c>
      <c r="G33" s="65">
        <v>14.651388415800001</v>
      </c>
      <c r="H33" s="38">
        <v>16.899999999999999</v>
      </c>
      <c r="I33" s="4">
        <f t="shared" si="1"/>
        <v>0.13305393989349101</v>
      </c>
      <c r="J33" s="23">
        <f t="shared" si="3"/>
        <v>1.6279320461999998</v>
      </c>
    </row>
    <row r="34" spans="1:10" s="71" customFormat="1">
      <c r="A34" s="25"/>
      <c r="B34" s="50">
        <v>619585800013</v>
      </c>
      <c r="C34" s="69" t="s">
        <v>248</v>
      </c>
      <c r="D34" s="65">
        <v>13.792811869599998</v>
      </c>
      <c r="E34" s="65">
        <v>20.9</v>
      </c>
      <c r="F34" s="5">
        <f t="shared" si="0"/>
        <v>0.34005684834449768</v>
      </c>
      <c r="G34" s="65">
        <v>12.413530682639998</v>
      </c>
      <c r="H34" s="38">
        <v>13.9</v>
      </c>
      <c r="I34" s="4">
        <f t="shared" si="1"/>
        <v>0.10694023865899305</v>
      </c>
      <c r="J34" s="23">
        <f t="shared" si="3"/>
        <v>1.3792811869600001</v>
      </c>
    </row>
    <row r="35" spans="1:10" s="26" customFormat="1">
      <c r="A35" s="17" t="s">
        <v>12</v>
      </c>
      <c r="B35" s="34"/>
      <c r="C35" s="35"/>
      <c r="D35" s="33"/>
      <c r="E35" s="45"/>
      <c r="F35" s="5" t="e">
        <f t="shared" si="0"/>
        <v>#DIV/0!</v>
      </c>
      <c r="G35" s="33"/>
      <c r="H35" s="39"/>
      <c r="I35" s="4" t="e">
        <f t="shared" si="1"/>
        <v>#DIV/0!</v>
      </c>
      <c r="J35" s="23"/>
    </row>
    <row r="36" spans="1:10" s="26" customFormat="1">
      <c r="A36" s="17" t="s">
        <v>13</v>
      </c>
      <c r="B36" s="34">
        <v>608875001193</v>
      </c>
      <c r="C36" s="35" t="s">
        <v>421</v>
      </c>
      <c r="D36" s="33">
        <v>21.75</v>
      </c>
      <c r="E36" s="45">
        <v>26.5</v>
      </c>
      <c r="F36" s="5">
        <f t="shared" si="0"/>
        <v>0.17924528301886788</v>
      </c>
      <c r="G36" s="33">
        <f>+D36*0.9</f>
        <v>19.574999999999999</v>
      </c>
      <c r="H36" s="39">
        <v>22.9</v>
      </c>
      <c r="I36" s="4">
        <f t="shared" si="1"/>
        <v>0.14519650655021832</v>
      </c>
      <c r="J36" s="23">
        <f t="shared" ref="J36:J85" si="5">+D36-G36</f>
        <v>2.1750000000000007</v>
      </c>
    </row>
    <row r="37" spans="1:10" s="71" customFormat="1">
      <c r="A37" s="25"/>
      <c r="B37" s="34">
        <v>608875001216</v>
      </c>
      <c r="C37" s="35" t="s">
        <v>327</v>
      </c>
      <c r="D37" s="33">
        <v>27.75</v>
      </c>
      <c r="E37" s="65">
        <v>33.9</v>
      </c>
      <c r="F37" s="5">
        <f t="shared" si="0"/>
        <v>0.18141592920353977</v>
      </c>
      <c r="G37" s="33">
        <f t="shared" ref="G37:G38" si="6">+D37*0.9</f>
        <v>24.975000000000001</v>
      </c>
      <c r="H37" s="39">
        <v>28.9</v>
      </c>
      <c r="I37" s="4">
        <f t="shared" si="1"/>
        <v>0.13581314878892725</v>
      </c>
      <c r="J37" s="23">
        <f t="shared" si="5"/>
        <v>2.7749999999999986</v>
      </c>
    </row>
    <row r="38" spans="1:10" s="71" customFormat="1">
      <c r="A38" s="25"/>
      <c r="B38" s="34">
        <v>608875002565</v>
      </c>
      <c r="C38" s="35" t="s">
        <v>326</v>
      </c>
      <c r="D38" s="33">
        <v>29.63</v>
      </c>
      <c r="E38" s="65">
        <v>36.200000000000003</v>
      </c>
      <c r="F38" s="5">
        <f t="shared" si="0"/>
        <v>0.18149171270718245</v>
      </c>
      <c r="G38" s="33">
        <f t="shared" si="6"/>
        <v>26.666999999999998</v>
      </c>
      <c r="H38" s="39">
        <v>30.9</v>
      </c>
      <c r="I38" s="4">
        <f t="shared" si="1"/>
        <v>0.13699029126213591</v>
      </c>
      <c r="J38" s="23">
        <f t="shared" si="5"/>
        <v>2.963000000000001</v>
      </c>
    </row>
    <row r="39" spans="1:10" s="26" customFormat="1">
      <c r="A39" s="17" t="s">
        <v>14</v>
      </c>
      <c r="B39" s="34">
        <v>7501468711116</v>
      </c>
      <c r="C39" s="35" t="s">
        <v>87</v>
      </c>
      <c r="D39" s="33">
        <v>19.5</v>
      </c>
      <c r="E39" s="45">
        <v>22.9</v>
      </c>
      <c r="F39" s="5">
        <f t="shared" si="0"/>
        <v>0.14847161572052392</v>
      </c>
      <c r="G39" s="33">
        <f>+D39-0.5</f>
        <v>19</v>
      </c>
      <c r="H39" s="39">
        <v>21.5</v>
      </c>
      <c r="I39" s="4">
        <f t="shared" si="1"/>
        <v>0.11627906976744184</v>
      </c>
      <c r="J39" s="23">
        <f t="shared" si="5"/>
        <v>0.5</v>
      </c>
    </row>
    <row r="40" spans="1:10" s="71" customFormat="1">
      <c r="A40" s="25"/>
      <c r="B40" s="34">
        <v>7501468700240</v>
      </c>
      <c r="C40" s="47" t="s">
        <v>424</v>
      </c>
      <c r="D40" s="48">
        <v>19.5</v>
      </c>
      <c r="E40" s="65">
        <v>22.9</v>
      </c>
      <c r="F40" s="5">
        <f t="shared" si="0"/>
        <v>0.14847161572052392</v>
      </c>
      <c r="G40" s="33">
        <f>+D40-0.5</f>
        <v>19</v>
      </c>
      <c r="H40" s="49">
        <v>21.5</v>
      </c>
      <c r="I40" s="4">
        <f t="shared" si="1"/>
        <v>0.11627906976744184</v>
      </c>
      <c r="J40" s="23">
        <f t="shared" si="5"/>
        <v>0.5</v>
      </c>
    </row>
    <row r="41" spans="1:10" s="71" customFormat="1">
      <c r="A41" s="25"/>
      <c r="B41" s="29">
        <v>7501468777778</v>
      </c>
      <c r="C41" s="47" t="s">
        <v>86</v>
      </c>
      <c r="D41" s="48">
        <v>17.5</v>
      </c>
      <c r="E41" s="65">
        <v>19.899999999999999</v>
      </c>
      <c r="F41" s="5">
        <f t="shared" si="0"/>
        <v>0.12060301507537685</v>
      </c>
      <c r="G41" s="48">
        <f>+D41-0.7</f>
        <v>16.8</v>
      </c>
      <c r="H41" s="49">
        <v>18.899999999999999</v>
      </c>
      <c r="I41" s="4">
        <f t="shared" si="1"/>
        <v>0.11111111111111105</v>
      </c>
      <c r="J41" s="23">
        <f t="shared" si="5"/>
        <v>0.69999999999999929</v>
      </c>
    </row>
    <row r="42" spans="1:10" s="71" customFormat="1">
      <c r="A42" s="25"/>
      <c r="B42" s="34">
        <v>7501071301698</v>
      </c>
      <c r="C42" s="47" t="s">
        <v>218</v>
      </c>
      <c r="D42" s="48">
        <v>31.67</v>
      </c>
      <c r="E42" s="65">
        <v>35.9</v>
      </c>
      <c r="F42" s="5">
        <f t="shared" si="0"/>
        <v>0.11782729805013914</v>
      </c>
      <c r="G42" s="48">
        <v>28.5</v>
      </c>
      <c r="H42" s="49">
        <v>32.5</v>
      </c>
      <c r="I42" s="4">
        <f t="shared" si="1"/>
        <v>0.12307692307692308</v>
      </c>
      <c r="J42" s="23"/>
    </row>
    <row r="43" spans="1:10" s="26" customFormat="1">
      <c r="A43" s="7" t="s">
        <v>15</v>
      </c>
      <c r="B43" s="29"/>
      <c r="C43" s="47"/>
      <c r="D43" s="48"/>
      <c r="E43" s="45"/>
      <c r="F43" s="5" t="e">
        <f t="shared" si="0"/>
        <v>#DIV/0!</v>
      </c>
      <c r="G43" s="48"/>
      <c r="H43" s="49"/>
      <c r="I43" s="4" t="e">
        <f t="shared" si="1"/>
        <v>#DIV/0!</v>
      </c>
      <c r="J43" s="23">
        <f t="shared" si="5"/>
        <v>0</v>
      </c>
    </row>
    <row r="44" spans="1:10" s="26" customFormat="1">
      <c r="A44" s="7" t="s">
        <v>16</v>
      </c>
      <c r="B44" s="34">
        <v>75000615</v>
      </c>
      <c r="C44" s="35" t="s">
        <v>52</v>
      </c>
      <c r="D44" s="33">
        <f>11.93*1.16</f>
        <v>13.838799999999999</v>
      </c>
      <c r="E44" s="45">
        <v>17.3</v>
      </c>
      <c r="F44" s="5">
        <f t="shared" si="0"/>
        <v>0.20006936416184984</v>
      </c>
      <c r="G44" s="33">
        <v>11.25</v>
      </c>
      <c r="H44" s="38">
        <v>12.5</v>
      </c>
      <c r="I44" s="4">
        <f t="shared" si="1"/>
        <v>9.9999999999999978E-2</v>
      </c>
      <c r="J44" s="23">
        <f t="shared" si="5"/>
        <v>2.5887999999999991</v>
      </c>
    </row>
    <row r="45" spans="1:10" s="26" customFormat="1">
      <c r="A45" s="25"/>
      <c r="B45" s="34"/>
      <c r="C45" s="35"/>
      <c r="D45" s="33"/>
      <c r="E45" s="45"/>
      <c r="F45" s="5" t="e">
        <f t="shared" si="0"/>
        <v>#DIV/0!</v>
      </c>
      <c r="G45" s="33"/>
      <c r="H45" s="38"/>
      <c r="I45" s="4" t="e">
        <f t="shared" si="1"/>
        <v>#DIV/0!</v>
      </c>
      <c r="J45" s="23">
        <f t="shared" si="5"/>
        <v>0</v>
      </c>
    </row>
    <row r="46" spans="1:10" s="71" customFormat="1">
      <c r="A46" s="25"/>
      <c r="B46" s="34">
        <v>7501025402051</v>
      </c>
      <c r="C46" s="35" t="s">
        <v>347</v>
      </c>
      <c r="D46" s="33">
        <v>28.443199999999997</v>
      </c>
      <c r="E46" s="65">
        <v>35.6</v>
      </c>
      <c r="F46" s="5">
        <f t="shared" si="0"/>
        <v>0.20103370786516861</v>
      </c>
      <c r="G46" s="33">
        <v>26.91</v>
      </c>
      <c r="H46" s="38">
        <v>29.9</v>
      </c>
      <c r="I46" s="4">
        <f t="shared" si="1"/>
        <v>9.9999999999999978E-2</v>
      </c>
      <c r="J46" s="23"/>
    </row>
    <row r="47" spans="1:10" s="71" customFormat="1">
      <c r="A47" s="25"/>
      <c r="B47" s="34">
        <v>7501025402235</v>
      </c>
      <c r="C47" s="35" t="s">
        <v>348</v>
      </c>
      <c r="D47" s="33">
        <v>28.443199999999997</v>
      </c>
      <c r="E47" s="65">
        <v>35.6</v>
      </c>
      <c r="F47" s="5">
        <f t="shared" si="0"/>
        <v>0.20103370786516861</v>
      </c>
      <c r="G47" s="33">
        <v>26.91</v>
      </c>
      <c r="H47" s="38">
        <v>29.9</v>
      </c>
      <c r="I47" s="4">
        <f t="shared" si="1"/>
        <v>9.9999999999999978E-2</v>
      </c>
      <c r="J47" s="23"/>
    </row>
    <row r="48" spans="1:10" s="71" customFormat="1">
      <c r="A48" s="25"/>
      <c r="B48" s="34">
        <v>7501025402242</v>
      </c>
      <c r="C48" s="35" t="s">
        <v>349</v>
      </c>
      <c r="D48" s="33">
        <v>28.443199999999997</v>
      </c>
      <c r="E48" s="65">
        <v>35.6</v>
      </c>
      <c r="F48" s="5">
        <f t="shared" si="0"/>
        <v>0.20103370786516861</v>
      </c>
      <c r="G48" s="33">
        <v>26.91</v>
      </c>
      <c r="H48" s="38">
        <v>29.9</v>
      </c>
      <c r="I48" s="4">
        <f t="shared" si="1"/>
        <v>9.9999999999999978E-2</v>
      </c>
      <c r="J48" s="23"/>
    </row>
    <row r="49" spans="1:10" s="71" customFormat="1">
      <c r="A49" s="25"/>
      <c r="B49" s="34"/>
      <c r="C49" s="35"/>
      <c r="D49" s="33"/>
      <c r="E49" s="65"/>
      <c r="F49" s="5" t="e">
        <f t="shared" si="0"/>
        <v>#DIV/0!</v>
      </c>
      <c r="G49" s="33"/>
      <c r="H49" s="38"/>
      <c r="I49" s="4" t="e">
        <f t="shared" si="1"/>
        <v>#DIV/0!</v>
      </c>
      <c r="J49" s="23"/>
    </row>
    <row r="50" spans="1:10" s="71" customFormat="1">
      <c r="A50" s="25"/>
      <c r="B50" s="34">
        <v>7501025413002</v>
      </c>
      <c r="C50" s="35" t="s">
        <v>174</v>
      </c>
      <c r="D50" s="33">
        <v>19.799807999999999</v>
      </c>
      <c r="E50" s="65">
        <v>24.8</v>
      </c>
      <c r="F50" s="5">
        <f t="shared" si="0"/>
        <v>0.20162064516129041</v>
      </c>
      <c r="G50" s="33">
        <v>18.809999999999999</v>
      </c>
      <c r="H50" s="38">
        <v>20.9</v>
      </c>
      <c r="I50" s="4">
        <f t="shared" si="1"/>
        <v>9.9999999999999978E-2</v>
      </c>
      <c r="J50" s="23">
        <f>+D50-G50</f>
        <v>0.98980800000000002</v>
      </c>
    </row>
    <row r="51" spans="1:10" s="71" customFormat="1">
      <c r="A51" s="25"/>
      <c r="B51" s="34">
        <v>7501025413019</v>
      </c>
      <c r="C51" s="35" t="s">
        <v>175</v>
      </c>
      <c r="D51" s="33">
        <v>19.799807999999999</v>
      </c>
      <c r="E51" s="65">
        <v>24.8</v>
      </c>
      <c r="F51" s="5">
        <f t="shared" si="0"/>
        <v>0.20162064516129041</v>
      </c>
      <c r="G51" s="33">
        <v>18.809999999999999</v>
      </c>
      <c r="H51" s="38">
        <v>20.9</v>
      </c>
      <c r="I51" s="4">
        <f t="shared" si="1"/>
        <v>9.9999999999999978E-2</v>
      </c>
      <c r="J51" s="23">
        <f t="shared" ref="J51:J60" si="7">+D51-G51</f>
        <v>0.98980800000000002</v>
      </c>
    </row>
    <row r="52" spans="1:10" s="71" customFormat="1">
      <c r="A52" s="25"/>
      <c r="B52" s="34">
        <v>7501025414009</v>
      </c>
      <c r="C52" s="35" t="s">
        <v>176</v>
      </c>
      <c r="D52" s="33">
        <v>19.799807999999999</v>
      </c>
      <c r="E52" s="65">
        <v>24.8</v>
      </c>
      <c r="F52" s="5">
        <f t="shared" si="0"/>
        <v>0.20162064516129041</v>
      </c>
      <c r="G52" s="33">
        <v>18.809999999999999</v>
      </c>
      <c r="H52" s="38">
        <v>20.9</v>
      </c>
      <c r="I52" s="4">
        <f t="shared" si="1"/>
        <v>9.9999999999999978E-2</v>
      </c>
      <c r="J52" s="23">
        <f t="shared" si="7"/>
        <v>0.98980800000000002</v>
      </c>
    </row>
    <row r="53" spans="1:10" s="71" customFormat="1">
      <c r="A53" s="25"/>
      <c r="B53" s="34">
        <v>7501025414030</v>
      </c>
      <c r="C53" s="35" t="s">
        <v>177</v>
      </c>
      <c r="D53" s="33">
        <v>19.799807999999999</v>
      </c>
      <c r="E53" s="65">
        <v>24.8</v>
      </c>
      <c r="F53" s="5">
        <f t="shared" si="0"/>
        <v>0.20162064516129041</v>
      </c>
      <c r="G53" s="33">
        <v>18.809999999999999</v>
      </c>
      <c r="H53" s="38">
        <v>20.9</v>
      </c>
      <c r="I53" s="4">
        <f t="shared" si="1"/>
        <v>9.9999999999999978E-2</v>
      </c>
      <c r="J53" s="23">
        <f t="shared" si="7"/>
        <v>0.98980800000000002</v>
      </c>
    </row>
    <row r="54" spans="1:10" s="71" customFormat="1">
      <c r="A54" s="25"/>
      <c r="B54" s="34">
        <v>7501025414054</v>
      </c>
      <c r="C54" s="35" t="s">
        <v>178</v>
      </c>
      <c r="D54" s="33">
        <v>19.799807999999999</v>
      </c>
      <c r="E54" s="65">
        <v>24.8</v>
      </c>
      <c r="F54" s="5">
        <f t="shared" si="0"/>
        <v>0.20162064516129041</v>
      </c>
      <c r="G54" s="33">
        <v>18.809999999999999</v>
      </c>
      <c r="H54" s="38">
        <v>20.9</v>
      </c>
      <c r="I54" s="4">
        <f t="shared" si="1"/>
        <v>9.9999999999999978E-2</v>
      </c>
      <c r="J54" s="23">
        <f t="shared" si="7"/>
        <v>0.98980800000000002</v>
      </c>
    </row>
    <row r="55" spans="1:10" s="71" customFormat="1">
      <c r="A55" s="25"/>
      <c r="B55" s="34">
        <v>7501025414108</v>
      </c>
      <c r="C55" s="35" t="s">
        <v>179</v>
      </c>
      <c r="D55" s="33">
        <v>19.799807999999999</v>
      </c>
      <c r="E55" s="65">
        <v>24.8</v>
      </c>
      <c r="F55" s="5">
        <f t="shared" si="0"/>
        <v>0.20162064516129041</v>
      </c>
      <c r="G55" s="33">
        <v>18.809999999999999</v>
      </c>
      <c r="H55" s="38">
        <v>20.9</v>
      </c>
      <c r="I55" s="4">
        <f t="shared" si="1"/>
        <v>9.9999999999999978E-2</v>
      </c>
      <c r="J55" s="23">
        <f t="shared" si="7"/>
        <v>0.98980800000000002</v>
      </c>
    </row>
    <row r="56" spans="1:10" s="71" customFormat="1">
      <c r="A56" s="25"/>
      <c r="B56" s="34">
        <v>7501025414153</v>
      </c>
      <c r="C56" s="35" t="s">
        <v>180</v>
      </c>
      <c r="D56" s="33">
        <v>19.799807999999999</v>
      </c>
      <c r="E56" s="65">
        <v>24.8</v>
      </c>
      <c r="F56" s="5">
        <f t="shared" si="0"/>
        <v>0.20162064516129041</v>
      </c>
      <c r="G56" s="33">
        <v>18.809999999999999</v>
      </c>
      <c r="H56" s="38">
        <v>20.9</v>
      </c>
      <c r="I56" s="4">
        <f t="shared" si="1"/>
        <v>9.9999999999999978E-2</v>
      </c>
      <c r="J56" s="23">
        <f t="shared" si="7"/>
        <v>0.98980800000000002</v>
      </c>
    </row>
    <row r="57" spans="1:10" s="71" customFormat="1">
      <c r="A57" s="25"/>
      <c r="B57" s="34">
        <v>7501025414207</v>
      </c>
      <c r="C57" s="35" t="s">
        <v>181</v>
      </c>
      <c r="D57" s="33">
        <v>19.799807999999999</v>
      </c>
      <c r="E57" s="65">
        <v>24.8</v>
      </c>
      <c r="F57" s="5">
        <f t="shared" si="0"/>
        <v>0.20162064516129041</v>
      </c>
      <c r="G57" s="33">
        <v>18.809999999999999</v>
      </c>
      <c r="H57" s="38">
        <v>20.9</v>
      </c>
      <c r="I57" s="4">
        <f t="shared" si="1"/>
        <v>9.9999999999999978E-2</v>
      </c>
      <c r="J57" s="23">
        <f t="shared" si="7"/>
        <v>0.98980800000000002</v>
      </c>
    </row>
    <row r="58" spans="1:10" s="71" customFormat="1">
      <c r="A58" s="25"/>
      <c r="B58" s="34">
        <v>7501025414351</v>
      </c>
      <c r="C58" s="35" t="s">
        <v>182</v>
      </c>
      <c r="D58" s="33">
        <v>19.799807999999999</v>
      </c>
      <c r="E58" s="65">
        <v>24.8</v>
      </c>
      <c r="F58" s="5">
        <f t="shared" si="0"/>
        <v>0.20162064516129041</v>
      </c>
      <c r="G58" s="33">
        <v>18.809999999999999</v>
      </c>
      <c r="H58" s="38">
        <v>20.9</v>
      </c>
      <c r="I58" s="4">
        <f t="shared" si="1"/>
        <v>9.9999999999999978E-2</v>
      </c>
      <c r="J58" s="23">
        <f t="shared" si="7"/>
        <v>0.98980800000000002</v>
      </c>
    </row>
    <row r="59" spans="1:10" s="26" customFormat="1">
      <c r="A59" s="25"/>
      <c r="B59" s="34">
        <v>7501025414450</v>
      </c>
      <c r="C59" s="35" t="s">
        <v>183</v>
      </c>
      <c r="D59" s="33">
        <v>19.799807999999999</v>
      </c>
      <c r="E59" s="45">
        <v>24.8</v>
      </c>
      <c r="F59" s="5">
        <f t="shared" si="0"/>
        <v>0.20162064516129041</v>
      </c>
      <c r="G59" s="33">
        <v>18.809999999999999</v>
      </c>
      <c r="H59" s="38">
        <v>20.9</v>
      </c>
      <c r="I59" s="4">
        <f t="shared" si="1"/>
        <v>9.9999999999999978E-2</v>
      </c>
      <c r="J59" s="23">
        <f t="shared" si="7"/>
        <v>0.98980800000000002</v>
      </c>
    </row>
    <row r="60" spans="1:10" s="26" customFormat="1">
      <c r="A60" s="25"/>
      <c r="B60" s="34">
        <v>7501025444365</v>
      </c>
      <c r="C60" s="35" t="s">
        <v>56</v>
      </c>
      <c r="D60" s="33">
        <v>19.799807999999999</v>
      </c>
      <c r="E60" s="45">
        <v>24.8</v>
      </c>
      <c r="F60" s="5">
        <f t="shared" ref="F60:F107" si="8">+((D60/E60)-1)*-1</f>
        <v>0.20162064516129041</v>
      </c>
      <c r="G60" s="33">
        <v>18.809999999999999</v>
      </c>
      <c r="H60" s="38">
        <v>20.9</v>
      </c>
      <c r="I60" s="4">
        <f t="shared" ref="I60:I111" si="9">+((G60/H60)-1)*-1</f>
        <v>9.9999999999999978E-2</v>
      </c>
      <c r="J60" s="23">
        <f t="shared" si="7"/>
        <v>0.98980800000000002</v>
      </c>
    </row>
    <row r="61" spans="1:10" s="26" customFormat="1">
      <c r="A61" s="7" t="s">
        <v>17</v>
      </c>
      <c r="B61" s="70"/>
      <c r="C61" s="35"/>
      <c r="D61" s="33"/>
      <c r="E61" s="65"/>
      <c r="F61" s="5" t="e">
        <f t="shared" si="8"/>
        <v>#DIV/0!</v>
      </c>
      <c r="G61" s="33"/>
      <c r="H61" s="38"/>
      <c r="I61" s="4" t="e">
        <f t="shared" si="9"/>
        <v>#DIV/0!</v>
      </c>
      <c r="J61" s="23"/>
    </row>
    <row r="62" spans="1:10" s="26" customFormat="1">
      <c r="A62" s="7" t="s">
        <v>169</v>
      </c>
      <c r="B62" s="34"/>
      <c r="C62" s="35"/>
      <c r="D62" s="33"/>
      <c r="E62" s="45"/>
      <c r="F62" s="5" t="e">
        <f t="shared" si="8"/>
        <v>#DIV/0!</v>
      </c>
      <c r="G62" s="33"/>
      <c r="H62" s="38"/>
      <c r="I62" s="4" t="e">
        <f t="shared" si="9"/>
        <v>#DIV/0!</v>
      </c>
      <c r="J62" s="23"/>
    </row>
    <row r="63" spans="1:10" s="26" customFormat="1">
      <c r="A63" s="7" t="s">
        <v>18</v>
      </c>
      <c r="B63" s="34"/>
      <c r="C63" s="35"/>
      <c r="D63" s="33"/>
      <c r="E63" s="45"/>
      <c r="F63" s="5" t="e">
        <f t="shared" si="8"/>
        <v>#DIV/0!</v>
      </c>
      <c r="G63" s="33"/>
      <c r="H63" s="38"/>
      <c r="I63" s="4" t="e">
        <f t="shared" si="9"/>
        <v>#DIV/0!</v>
      </c>
      <c r="J63" s="23">
        <f>+D63-G63</f>
        <v>0</v>
      </c>
    </row>
    <row r="64" spans="1:10" s="26" customFormat="1">
      <c r="A64" s="7" t="s">
        <v>19</v>
      </c>
      <c r="B64" s="34"/>
      <c r="C64" s="35"/>
      <c r="D64" s="33"/>
      <c r="E64" s="65"/>
      <c r="F64" s="5" t="e">
        <f t="shared" si="8"/>
        <v>#DIV/0!</v>
      </c>
      <c r="G64" s="33"/>
      <c r="H64" s="38"/>
      <c r="I64" s="4" t="e">
        <f t="shared" si="9"/>
        <v>#DIV/0!</v>
      </c>
      <c r="J64" s="23"/>
    </row>
    <row r="65" spans="1:10" s="26" customFormat="1">
      <c r="A65" s="7" t="s">
        <v>20</v>
      </c>
      <c r="B65" s="34">
        <v>7501017003020</v>
      </c>
      <c r="C65" s="35" t="s">
        <v>375</v>
      </c>
      <c r="D65" s="33">
        <v>26.56</v>
      </c>
      <c r="E65" s="45">
        <v>31.6</v>
      </c>
      <c r="F65" s="5">
        <f t="shared" si="8"/>
        <v>0.15949367088607602</v>
      </c>
      <c r="G65" s="33">
        <f>+D65*0.9</f>
        <v>23.904</v>
      </c>
      <c r="H65" s="38">
        <v>27.5</v>
      </c>
      <c r="I65" s="4">
        <f t="shared" si="9"/>
        <v>0.13076363636363642</v>
      </c>
      <c r="J65" s="23">
        <f>+D65-G65</f>
        <v>2.6559999999999988</v>
      </c>
    </row>
    <row r="66" spans="1:10" s="26" customFormat="1">
      <c r="A66" s="7"/>
      <c r="B66" s="29">
        <v>7501017003006</v>
      </c>
      <c r="C66" s="28" t="s">
        <v>440</v>
      </c>
      <c r="D66" s="30">
        <v>22.19</v>
      </c>
      <c r="E66" s="45">
        <v>26.4</v>
      </c>
      <c r="F66" s="5">
        <f t="shared" si="8"/>
        <v>0.15946969696969693</v>
      </c>
      <c r="G66" s="33">
        <f>+D66*0.9</f>
        <v>19.971</v>
      </c>
      <c r="H66" s="38">
        <v>22.9</v>
      </c>
      <c r="I66" s="4">
        <f t="shared" si="9"/>
        <v>0.12790393013100432</v>
      </c>
      <c r="J66" s="23">
        <f>+D66-G66</f>
        <v>2.2190000000000012</v>
      </c>
    </row>
    <row r="67" spans="1:10" s="26" customFormat="1">
      <c r="A67" s="7" t="s">
        <v>21</v>
      </c>
      <c r="B67" s="29">
        <v>7501005180269</v>
      </c>
      <c r="C67" s="28" t="s">
        <v>441</v>
      </c>
      <c r="D67" s="30">
        <v>11.06</v>
      </c>
      <c r="E67" s="45">
        <v>14.2</v>
      </c>
      <c r="F67" s="5">
        <f t="shared" si="8"/>
        <v>0.22112676056338021</v>
      </c>
      <c r="G67" s="30">
        <f>+D67*0.9</f>
        <v>9.9540000000000006</v>
      </c>
      <c r="H67" s="39">
        <v>11.5</v>
      </c>
      <c r="I67" s="4">
        <f t="shared" si="9"/>
        <v>0.13443478260869557</v>
      </c>
      <c r="J67" s="23"/>
    </row>
    <row r="68" spans="1:10" s="26" customFormat="1">
      <c r="A68" s="7" t="s">
        <v>39</v>
      </c>
      <c r="B68" s="29">
        <v>7501045404400</v>
      </c>
      <c r="C68" s="28" t="s">
        <v>213</v>
      </c>
      <c r="D68" s="30">
        <v>11.041700000000001</v>
      </c>
      <c r="E68" s="45">
        <v>13.2</v>
      </c>
      <c r="F68" s="5">
        <f t="shared" si="8"/>
        <v>0.16350757575757568</v>
      </c>
      <c r="G68" s="30">
        <v>10.4</v>
      </c>
      <c r="H68" s="39">
        <v>11.9</v>
      </c>
      <c r="I68" s="4">
        <f t="shared" si="9"/>
        <v>0.12605042016806722</v>
      </c>
      <c r="J68" s="23"/>
    </row>
    <row r="69" spans="1:10" s="26" customFormat="1">
      <c r="A69" s="25"/>
      <c r="B69" s="34">
        <v>7501045404417</v>
      </c>
      <c r="C69" s="35" t="s">
        <v>214</v>
      </c>
      <c r="D69" s="30">
        <v>11.041700000000001</v>
      </c>
      <c r="E69" s="45">
        <v>13.2</v>
      </c>
      <c r="F69" s="5">
        <f t="shared" si="8"/>
        <v>0.16350757575757568</v>
      </c>
      <c r="G69" s="30">
        <v>10.4</v>
      </c>
      <c r="H69" s="38">
        <v>11.9</v>
      </c>
      <c r="I69" s="4">
        <f t="shared" si="9"/>
        <v>0.12605042016806722</v>
      </c>
      <c r="J69" s="23"/>
    </row>
    <row r="70" spans="1:10" s="26" customFormat="1">
      <c r="A70" s="7" t="s">
        <v>22</v>
      </c>
      <c r="B70" s="34">
        <v>7501199413006</v>
      </c>
      <c r="C70" s="35" t="s">
        <v>363</v>
      </c>
      <c r="D70" s="33">
        <v>16.489999999999998</v>
      </c>
      <c r="E70" s="45">
        <v>19.399999999999999</v>
      </c>
      <c r="F70" s="5">
        <f t="shared" si="8"/>
        <v>0.15000000000000002</v>
      </c>
      <c r="G70" s="33">
        <f>12.5*1.16</f>
        <v>14.499999999999998</v>
      </c>
      <c r="H70" s="38">
        <v>16.899999999999999</v>
      </c>
      <c r="I70" s="4">
        <f t="shared" si="9"/>
        <v>0.14201183431952669</v>
      </c>
      <c r="J70" s="23"/>
    </row>
    <row r="71" spans="1:10" s="26" customFormat="1">
      <c r="A71" s="25"/>
      <c r="B71" s="34">
        <v>7500459000345</v>
      </c>
      <c r="C71" s="35" t="s">
        <v>465</v>
      </c>
      <c r="D71" s="33">
        <f>17.24*1.16</f>
        <v>19.998399999999997</v>
      </c>
      <c r="E71" s="45">
        <v>24.4</v>
      </c>
      <c r="F71" s="5">
        <f t="shared" si="8"/>
        <v>0.18039344262295087</v>
      </c>
      <c r="G71" s="33">
        <v>19</v>
      </c>
      <c r="H71" s="38">
        <v>21.9</v>
      </c>
      <c r="I71" s="4">
        <f t="shared" si="9"/>
        <v>0.13242009132420085</v>
      </c>
      <c r="J71" s="23"/>
    </row>
    <row r="72" spans="1:10" s="26" customFormat="1">
      <c r="A72" s="25"/>
      <c r="B72" s="34">
        <v>7500459001106</v>
      </c>
      <c r="C72" s="35" t="s">
        <v>466</v>
      </c>
      <c r="D72" s="33">
        <f t="shared" ref="D72:D74" si="10">17.24*1.16</f>
        <v>19.998399999999997</v>
      </c>
      <c r="E72" s="45">
        <v>24.4</v>
      </c>
      <c r="F72" s="5">
        <f t="shared" si="8"/>
        <v>0.18039344262295087</v>
      </c>
      <c r="G72" s="33">
        <v>19</v>
      </c>
      <c r="H72" s="38">
        <v>21.9</v>
      </c>
      <c r="I72" s="4">
        <f t="shared" si="9"/>
        <v>0.13242009132420085</v>
      </c>
      <c r="J72" s="23"/>
    </row>
    <row r="73" spans="1:10" s="26" customFormat="1">
      <c r="A73" s="25"/>
      <c r="B73" s="34">
        <v>7501199415765</v>
      </c>
      <c r="C73" s="35" t="s">
        <v>467</v>
      </c>
      <c r="D73" s="33">
        <f t="shared" si="10"/>
        <v>19.998399999999997</v>
      </c>
      <c r="E73" s="45">
        <v>24.4</v>
      </c>
      <c r="F73" s="5">
        <f t="shared" si="8"/>
        <v>0.18039344262295087</v>
      </c>
      <c r="G73" s="33">
        <v>19</v>
      </c>
      <c r="H73" s="38">
        <v>21.9</v>
      </c>
      <c r="I73" s="4">
        <f t="shared" si="9"/>
        <v>0.13242009132420085</v>
      </c>
      <c r="J73" s="23"/>
    </row>
    <row r="74" spans="1:10" s="71" customFormat="1">
      <c r="A74" s="25"/>
      <c r="B74" s="34">
        <v>7501199415772</v>
      </c>
      <c r="C74" s="35" t="s">
        <v>468</v>
      </c>
      <c r="D74" s="33">
        <f t="shared" si="10"/>
        <v>19.998399999999997</v>
      </c>
      <c r="E74" s="45">
        <v>24.4</v>
      </c>
      <c r="F74" s="5">
        <f t="shared" si="8"/>
        <v>0.18039344262295087</v>
      </c>
      <c r="G74" s="33">
        <v>19</v>
      </c>
      <c r="H74" s="38">
        <v>21.9</v>
      </c>
      <c r="I74" s="4">
        <f t="shared" si="9"/>
        <v>0.13242009132420085</v>
      </c>
      <c r="J74" s="23"/>
    </row>
    <row r="75" spans="1:10" s="26" customFormat="1">
      <c r="A75" s="7" t="s">
        <v>23</v>
      </c>
      <c r="B75" s="29"/>
      <c r="C75" s="28"/>
      <c r="D75" s="33"/>
      <c r="E75" s="45"/>
      <c r="F75" s="5" t="e">
        <f t="shared" si="8"/>
        <v>#DIV/0!</v>
      </c>
      <c r="G75" s="33"/>
      <c r="H75" s="38"/>
      <c r="I75" s="4" t="e">
        <f t="shared" si="9"/>
        <v>#DIV/0!</v>
      </c>
      <c r="J75" s="23">
        <f t="shared" si="5"/>
        <v>0</v>
      </c>
    </row>
    <row r="76" spans="1:10" s="26" customFormat="1">
      <c r="A76" s="7" t="s">
        <v>24</v>
      </c>
      <c r="B76" s="34">
        <v>7501008044698</v>
      </c>
      <c r="C76" s="35" t="s">
        <v>315</v>
      </c>
      <c r="D76" s="33">
        <v>40.554000000000002</v>
      </c>
      <c r="E76" s="45">
        <v>49.5</v>
      </c>
      <c r="F76" s="5">
        <f t="shared" si="8"/>
        <v>0.18072727272727274</v>
      </c>
      <c r="G76" s="33">
        <v>36.498600000000003</v>
      </c>
      <c r="H76" s="38">
        <v>41.5</v>
      </c>
      <c r="I76" s="4">
        <f t="shared" si="9"/>
        <v>0.12051566265060232</v>
      </c>
      <c r="J76" s="23">
        <f t="shared" si="5"/>
        <v>4.0553999999999988</v>
      </c>
    </row>
    <row r="77" spans="1:10" s="26" customFormat="1">
      <c r="A77" s="17"/>
      <c r="B77" s="14">
        <v>7501008044278</v>
      </c>
      <c r="C77" s="15" t="s">
        <v>245</v>
      </c>
      <c r="D77" s="13">
        <v>57.434400000000004</v>
      </c>
      <c r="E77" s="65">
        <v>69.900000000000006</v>
      </c>
      <c r="F77" s="5">
        <f t="shared" si="8"/>
        <v>0.1783347639484979</v>
      </c>
      <c r="G77" s="13">
        <v>51.690960000000004</v>
      </c>
      <c r="H77" s="20">
        <v>58.9</v>
      </c>
      <c r="I77" s="4">
        <f t="shared" si="9"/>
        <v>0.12239456706281826</v>
      </c>
      <c r="J77" s="23">
        <f t="shared" si="5"/>
        <v>5.7434399999999997</v>
      </c>
    </row>
    <row r="78" spans="1:10" s="26" customFormat="1">
      <c r="A78" s="7" t="s">
        <v>25</v>
      </c>
      <c r="B78" s="29">
        <v>7501000642014</v>
      </c>
      <c r="C78" s="28" t="s">
        <v>373</v>
      </c>
      <c r="D78" s="30">
        <f>43.5185*1.08</f>
        <v>46.999980000000008</v>
      </c>
      <c r="E78" s="45">
        <v>56.2</v>
      </c>
      <c r="F78" s="5">
        <f t="shared" si="8"/>
        <v>0.16370142348754435</v>
      </c>
      <c r="G78" s="33">
        <v>44.6</v>
      </c>
      <c r="H78" s="38">
        <v>49.9</v>
      </c>
      <c r="I78" s="4">
        <f t="shared" si="9"/>
        <v>0.10621242484969939</v>
      </c>
      <c r="J78" s="23"/>
    </row>
    <row r="79" spans="1:10" s="26" customFormat="1">
      <c r="A79" s="25"/>
      <c r="B79" s="34">
        <v>7501000631704</v>
      </c>
      <c r="C79" s="35" t="s">
        <v>446</v>
      </c>
      <c r="D79" s="33">
        <f>50.92*1.08</f>
        <v>54.993600000000008</v>
      </c>
      <c r="E79" s="65">
        <v>64.400000000000006</v>
      </c>
      <c r="F79" s="5">
        <f t="shared" si="8"/>
        <v>0.14606211180124218</v>
      </c>
      <c r="G79" s="33">
        <v>52.2</v>
      </c>
      <c r="H79" s="38">
        <v>59.9</v>
      </c>
      <c r="I79" s="4">
        <f t="shared" si="9"/>
        <v>0.12854757929883132</v>
      </c>
      <c r="J79" s="23"/>
    </row>
    <row r="80" spans="1:10" s="26" customFormat="1">
      <c r="A80" s="7" t="s">
        <v>26</v>
      </c>
      <c r="B80" s="29">
        <v>7501204003505</v>
      </c>
      <c r="C80" s="28" t="s">
        <v>445</v>
      </c>
      <c r="D80" s="30">
        <v>18.73</v>
      </c>
      <c r="E80" s="45">
        <v>21.3</v>
      </c>
      <c r="F80" s="5">
        <f t="shared" si="8"/>
        <v>0.12065727699530515</v>
      </c>
      <c r="G80" s="30">
        <f>+D80*0.9</f>
        <v>16.856999999999999</v>
      </c>
      <c r="H80" s="39">
        <v>18.899999999999999</v>
      </c>
      <c r="I80" s="4">
        <f t="shared" si="9"/>
        <v>0.10809523809523802</v>
      </c>
      <c r="J80" s="23">
        <f>+D80-G80</f>
        <v>1.8730000000000011</v>
      </c>
    </row>
    <row r="81" spans="1:10" s="26" customFormat="1">
      <c r="A81" s="7" t="s">
        <v>27</v>
      </c>
      <c r="B81" s="63"/>
      <c r="C81" s="28"/>
      <c r="D81" s="30"/>
      <c r="E81" s="45"/>
      <c r="F81" s="5" t="e">
        <f t="shared" si="8"/>
        <v>#DIV/0!</v>
      </c>
      <c r="G81" s="30"/>
      <c r="H81" s="39"/>
      <c r="I81" s="4" t="e">
        <f t="shared" si="9"/>
        <v>#DIV/0!</v>
      </c>
      <c r="J81" s="23">
        <f t="shared" si="5"/>
        <v>0</v>
      </c>
    </row>
    <row r="82" spans="1:10" s="26" customFormat="1">
      <c r="A82" s="7" t="s">
        <v>28</v>
      </c>
      <c r="B82" s="28"/>
      <c r="C82" s="28"/>
      <c r="D82" s="30"/>
      <c r="E82" s="45"/>
      <c r="F82" s="5" t="e">
        <f t="shared" si="8"/>
        <v>#DIV/0!</v>
      </c>
      <c r="G82" s="30"/>
      <c r="H82" s="39"/>
      <c r="I82" s="4" t="e">
        <f t="shared" si="9"/>
        <v>#DIV/0!</v>
      </c>
      <c r="J82" s="23">
        <f t="shared" si="5"/>
        <v>0</v>
      </c>
    </row>
    <row r="83" spans="1:10" s="26" customFormat="1">
      <c r="A83" s="7" t="s">
        <v>29</v>
      </c>
      <c r="B83" s="29"/>
      <c r="C83" s="28"/>
      <c r="D83" s="30"/>
      <c r="E83" s="45"/>
      <c r="F83" s="5" t="e">
        <f t="shared" si="8"/>
        <v>#DIV/0!</v>
      </c>
      <c r="G83" s="30"/>
      <c r="H83" s="39"/>
      <c r="I83" s="4" t="e">
        <f t="shared" si="9"/>
        <v>#DIV/0!</v>
      </c>
      <c r="J83" s="23"/>
    </row>
    <row r="84" spans="1:10" s="26" customFormat="1">
      <c r="A84" s="7" t="s">
        <v>30</v>
      </c>
      <c r="B84" s="29"/>
      <c r="C84" s="28"/>
      <c r="D84" s="30"/>
      <c r="E84" s="45"/>
      <c r="F84" s="5" t="e">
        <f t="shared" si="8"/>
        <v>#DIV/0!</v>
      </c>
      <c r="G84" s="30"/>
      <c r="H84" s="39"/>
      <c r="I84" s="4" t="e">
        <f t="shared" si="9"/>
        <v>#DIV/0!</v>
      </c>
      <c r="J84" s="23">
        <f t="shared" si="5"/>
        <v>0</v>
      </c>
    </row>
    <row r="85" spans="1:10" s="26" customFormat="1">
      <c r="A85" s="7" t="s">
        <v>38</v>
      </c>
      <c r="B85" s="29">
        <v>7501025403034</v>
      </c>
      <c r="C85" s="28" t="s">
        <v>55</v>
      </c>
      <c r="D85" s="30">
        <f>20.0527*1.16</f>
        <v>23.261132</v>
      </c>
      <c r="E85" s="45">
        <v>28.9</v>
      </c>
      <c r="F85" s="5">
        <f t="shared" si="8"/>
        <v>0.19511653979238752</v>
      </c>
      <c r="G85" s="30">
        <v>19.71</v>
      </c>
      <c r="H85" s="39">
        <v>21.9</v>
      </c>
      <c r="I85" s="4">
        <f t="shared" si="9"/>
        <v>9.9999999999999867E-2</v>
      </c>
      <c r="J85" s="23">
        <f t="shared" si="5"/>
        <v>3.5511319999999991</v>
      </c>
    </row>
    <row r="86" spans="1:10" s="26" customFormat="1">
      <c r="A86" s="7"/>
      <c r="B86" s="29">
        <v>7501058754363</v>
      </c>
      <c r="C86" s="28" t="s">
        <v>426</v>
      </c>
      <c r="D86" s="30">
        <f>11.35*1.16</f>
        <v>13.165999999999999</v>
      </c>
      <c r="E86" s="45">
        <v>16.2</v>
      </c>
      <c r="F86" s="5">
        <f t="shared" si="8"/>
        <v>0.18728395061728398</v>
      </c>
      <c r="G86" s="30">
        <v>11.2</v>
      </c>
      <c r="H86" s="39">
        <v>13.5</v>
      </c>
      <c r="I86" s="4">
        <f t="shared" si="9"/>
        <v>0.17037037037037039</v>
      </c>
      <c r="J86" s="23"/>
    </row>
    <row r="87" spans="1:10" s="26" customFormat="1">
      <c r="A87" s="7"/>
      <c r="B87" s="29">
        <v>7501058752079</v>
      </c>
      <c r="C87" s="28" t="s">
        <v>427</v>
      </c>
      <c r="D87" s="30">
        <f t="shared" ref="D87:D91" si="11">11.35*1.16</f>
        <v>13.165999999999999</v>
      </c>
      <c r="E87" s="74">
        <v>16.2</v>
      </c>
      <c r="F87" s="5">
        <f t="shared" si="8"/>
        <v>0.18728395061728398</v>
      </c>
      <c r="G87" s="30">
        <v>11.2</v>
      </c>
      <c r="H87" s="39">
        <v>13.5</v>
      </c>
      <c r="I87" s="4">
        <f t="shared" si="9"/>
        <v>0.17037037037037039</v>
      </c>
      <c r="J87" s="23"/>
    </row>
    <row r="88" spans="1:10" s="26" customFormat="1">
      <c r="A88" s="7"/>
      <c r="B88" s="29">
        <v>7501058716149</v>
      </c>
      <c r="C88" s="28" t="s">
        <v>428</v>
      </c>
      <c r="D88" s="30">
        <f t="shared" si="11"/>
        <v>13.165999999999999</v>
      </c>
      <c r="E88" s="74">
        <v>16.2</v>
      </c>
      <c r="F88" s="5">
        <f t="shared" si="8"/>
        <v>0.18728395061728398</v>
      </c>
      <c r="G88" s="30">
        <v>11.2</v>
      </c>
      <c r="H88" s="39">
        <v>13.5</v>
      </c>
      <c r="I88" s="4">
        <f t="shared" si="9"/>
        <v>0.17037037037037039</v>
      </c>
      <c r="J88" s="23"/>
    </row>
    <row r="89" spans="1:10" s="26" customFormat="1">
      <c r="A89" s="43"/>
      <c r="B89" s="14">
        <v>7501058752093</v>
      </c>
      <c r="C89" s="15" t="s">
        <v>429</v>
      </c>
      <c r="D89" s="30">
        <f t="shared" si="11"/>
        <v>13.165999999999999</v>
      </c>
      <c r="E89" s="65">
        <v>16.2</v>
      </c>
      <c r="F89" s="5">
        <f t="shared" si="8"/>
        <v>0.18728395061728398</v>
      </c>
      <c r="G89" s="30">
        <v>11.2</v>
      </c>
      <c r="H89" s="39">
        <v>13.5</v>
      </c>
      <c r="I89" s="4">
        <f t="shared" si="9"/>
        <v>0.17037037037037039</v>
      </c>
      <c r="J89" s="68"/>
    </row>
    <row r="90" spans="1:10" s="26" customFormat="1">
      <c r="A90" s="43"/>
      <c r="B90" s="34">
        <v>7501058752130</v>
      </c>
      <c r="C90" s="35" t="s">
        <v>430</v>
      </c>
      <c r="D90" s="30">
        <f t="shared" si="11"/>
        <v>13.165999999999999</v>
      </c>
      <c r="E90" s="33">
        <v>16.2</v>
      </c>
      <c r="F90" s="5">
        <f t="shared" si="8"/>
        <v>0.18728395061728398</v>
      </c>
      <c r="G90" s="30">
        <v>11.2</v>
      </c>
      <c r="H90" s="39">
        <v>13.5</v>
      </c>
      <c r="I90" s="4">
        <f t="shared" si="9"/>
        <v>0.17037037037037039</v>
      </c>
      <c r="J90" s="68"/>
    </row>
    <row r="91" spans="1:10" s="26" customFormat="1">
      <c r="A91" s="43"/>
      <c r="B91" s="34">
        <v>7501058752086</v>
      </c>
      <c r="C91" s="35" t="s">
        <v>431</v>
      </c>
      <c r="D91" s="30">
        <f t="shared" si="11"/>
        <v>13.165999999999999</v>
      </c>
      <c r="E91" s="33">
        <v>16.2</v>
      </c>
      <c r="F91" s="5">
        <f t="shared" si="8"/>
        <v>0.18728395061728398</v>
      </c>
      <c r="G91" s="30">
        <v>11.2</v>
      </c>
      <c r="H91" s="39">
        <v>13.5</v>
      </c>
      <c r="I91" s="4">
        <f t="shared" si="9"/>
        <v>0.17037037037037039</v>
      </c>
      <c r="J91" s="68"/>
    </row>
    <row r="92" spans="1:10" s="26" customFormat="1">
      <c r="A92" s="43"/>
      <c r="B92" s="34"/>
      <c r="C92" s="35"/>
      <c r="D92" s="33"/>
      <c r="E92" s="33"/>
      <c r="F92" s="5" t="e">
        <f t="shared" si="8"/>
        <v>#DIV/0!</v>
      </c>
      <c r="G92" s="33"/>
      <c r="H92" s="38"/>
      <c r="I92" s="4" t="e">
        <f t="shared" si="9"/>
        <v>#DIV/0!</v>
      </c>
      <c r="J92" s="68"/>
    </row>
    <row r="93" spans="1:10" s="71" customFormat="1">
      <c r="A93" s="43"/>
      <c r="B93" s="34">
        <v>7501035910034</v>
      </c>
      <c r="C93" s="35" t="s">
        <v>65</v>
      </c>
      <c r="D93" s="33">
        <v>25.917068</v>
      </c>
      <c r="E93" s="33">
        <v>31.6</v>
      </c>
      <c r="F93" s="5">
        <f t="shared" si="8"/>
        <v>0.17983962025316458</v>
      </c>
      <c r="G93" s="33">
        <v>19.9636</v>
      </c>
      <c r="H93" s="38">
        <v>22.9</v>
      </c>
      <c r="I93" s="4">
        <f t="shared" si="9"/>
        <v>0.12822707423580781</v>
      </c>
      <c r="J93" s="23"/>
    </row>
    <row r="94" spans="1:10" s="71" customFormat="1">
      <c r="A94" s="43"/>
      <c r="B94" s="34" t="s">
        <v>66</v>
      </c>
      <c r="C94" s="35" t="s">
        <v>67</v>
      </c>
      <c r="D94" s="33">
        <v>25.917068</v>
      </c>
      <c r="E94" s="33">
        <v>31.6</v>
      </c>
      <c r="F94" s="5">
        <f t="shared" si="8"/>
        <v>0.17983962025316458</v>
      </c>
      <c r="G94" s="33">
        <v>19.9636</v>
      </c>
      <c r="H94" s="38">
        <v>22.9</v>
      </c>
      <c r="I94" s="4">
        <f t="shared" si="9"/>
        <v>0.12822707423580781</v>
      </c>
      <c r="J94" s="23"/>
    </row>
    <row r="95" spans="1:10" s="71" customFormat="1">
      <c r="A95" s="43"/>
      <c r="B95" s="34" t="s">
        <v>68</v>
      </c>
      <c r="C95" s="35" t="s">
        <v>69</v>
      </c>
      <c r="D95" s="33">
        <v>25.917068</v>
      </c>
      <c r="E95" s="33">
        <v>31.6</v>
      </c>
      <c r="F95" s="5">
        <f t="shared" si="8"/>
        <v>0.17983962025316458</v>
      </c>
      <c r="G95" s="33">
        <v>19.9636</v>
      </c>
      <c r="H95" s="38">
        <v>22.9</v>
      </c>
      <c r="I95" s="4">
        <f t="shared" si="9"/>
        <v>0.12822707423580781</v>
      </c>
      <c r="J95" s="23"/>
    </row>
    <row r="96" spans="1:10" s="71" customFormat="1">
      <c r="A96" s="43"/>
      <c r="B96" s="34" t="s">
        <v>70</v>
      </c>
      <c r="C96" s="35" t="s">
        <v>71</v>
      </c>
      <c r="D96" s="33">
        <v>25.917068</v>
      </c>
      <c r="E96" s="33">
        <v>31.6</v>
      </c>
      <c r="F96" s="5">
        <f t="shared" si="8"/>
        <v>0.17983962025316458</v>
      </c>
      <c r="G96" s="33">
        <v>19.9636</v>
      </c>
      <c r="H96" s="38">
        <v>22.9</v>
      </c>
      <c r="I96" s="4">
        <f t="shared" si="9"/>
        <v>0.12822707423580781</v>
      </c>
      <c r="J96" s="23"/>
    </row>
    <row r="97" spans="1:10" s="71" customFormat="1">
      <c r="A97" s="43"/>
      <c r="B97" s="34" t="s">
        <v>72</v>
      </c>
      <c r="C97" s="35" t="s">
        <v>73</v>
      </c>
      <c r="D97" s="33">
        <v>25.917068</v>
      </c>
      <c r="E97" s="33">
        <v>31.6</v>
      </c>
      <c r="F97" s="5">
        <f t="shared" si="8"/>
        <v>0.17983962025316458</v>
      </c>
      <c r="G97" s="33">
        <v>19.9636</v>
      </c>
      <c r="H97" s="38">
        <v>22.9</v>
      </c>
      <c r="I97" s="4">
        <f t="shared" si="9"/>
        <v>0.12822707423580781</v>
      </c>
      <c r="J97" s="23"/>
    </row>
    <row r="98" spans="1:10" s="71" customFormat="1">
      <c r="A98" s="43"/>
      <c r="B98" s="34" t="s">
        <v>79</v>
      </c>
      <c r="C98" s="35" t="s">
        <v>80</v>
      </c>
      <c r="D98" s="33">
        <v>25.917068</v>
      </c>
      <c r="E98" s="33">
        <v>31.6</v>
      </c>
      <c r="F98" s="5">
        <f t="shared" si="8"/>
        <v>0.17983962025316458</v>
      </c>
      <c r="G98" s="33">
        <v>19.9636</v>
      </c>
      <c r="H98" s="38">
        <v>22.9</v>
      </c>
      <c r="I98" s="4">
        <f t="shared" si="9"/>
        <v>0.12822707423580781</v>
      </c>
      <c r="J98" s="23"/>
    </row>
    <row r="99" spans="1:10" s="26" customFormat="1">
      <c r="A99" s="7" t="s">
        <v>31</v>
      </c>
      <c r="B99" s="29"/>
      <c r="C99" s="28"/>
      <c r="D99" s="30"/>
      <c r="E99" s="45"/>
      <c r="F99" s="5" t="e">
        <f t="shared" si="8"/>
        <v>#DIV/0!</v>
      </c>
      <c r="G99" s="30"/>
      <c r="H99" s="39"/>
      <c r="I99" s="4" t="e">
        <f t="shared" si="9"/>
        <v>#DIV/0!</v>
      </c>
      <c r="J99" s="23"/>
    </row>
    <row r="100" spans="1:10" s="26" customFormat="1">
      <c r="A100" s="7" t="s">
        <v>167</v>
      </c>
      <c r="B100" s="29"/>
      <c r="C100" s="28"/>
      <c r="D100" s="30"/>
      <c r="E100" s="45"/>
      <c r="F100" s="5" t="e">
        <f t="shared" si="8"/>
        <v>#DIV/0!</v>
      </c>
      <c r="G100" s="30"/>
      <c r="H100" s="39"/>
      <c r="I100" s="4" t="e">
        <f t="shared" si="9"/>
        <v>#DIV/0!</v>
      </c>
      <c r="J100" s="23"/>
    </row>
    <row r="101" spans="1:10" s="26" customFormat="1">
      <c r="A101" s="7" t="s">
        <v>32</v>
      </c>
      <c r="B101" s="34"/>
      <c r="C101" s="35"/>
      <c r="D101" s="33"/>
      <c r="E101" s="45"/>
      <c r="F101" s="5" t="e">
        <f t="shared" si="8"/>
        <v>#DIV/0!</v>
      </c>
      <c r="G101" s="33"/>
      <c r="H101" s="38"/>
      <c r="I101" s="4" t="e">
        <f t="shared" si="9"/>
        <v>#DIV/0!</v>
      </c>
      <c r="J101" s="23"/>
    </row>
    <row r="102" spans="1:10" s="26" customFormat="1">
      <c r="A102" s="7" t="s">
        <v>33</v>
      </c>
      <c r="B102" s="29"/>
      <c r="C102" s="28" t="s">
        <v>442</v>
      </c>
      <c r="D102" s="30">
        <v>5.58</v>
      </c>
      <c r="E102" s="45">
        <v>6.9</v>
      </c>
      <c r="F102" s="5">
        <f t="shared" si="8"/>
        <v>0.19130434782608696</v>
      </c>
      <c r="G102" s="30">
        <v>5.0999999999999996</v>
      </c>
      <c r="H102" s="39">
        <v>5.9</v>
      </c>
      <c r="I102" s="4">
        <f t="shared" si="9"/>
        <v>0.13559322033898313</v>
      </c>
      <c r="J102" s="23"/>
    </row>
    <row r="103" spans="1:10" s="26" customFormat="1">
      <c r="A103" s="7" t="s">
        <v>34</v>
      </c>
      <c r="B103" s="29">
        <v>7501003150233</v>
      </c>
      <c r="C103" s="28" t="s">
        <v>90</v>
      </c>
      <c r="D103" s="30">
        <v>32.1</v>
      </c>
      <c r="E103" s="45">
        <v>40.200000000000003</v>
      </c>
      <c r="F103" s="5">
        <f t="shared" si="8"/>
        <v>0.20149253731343286</v>
      </c>
      <c r="G103" s="30">
        <f>+D103*0.9</f>
        <v>28.89</v>
      </c>
      <c r="H103" s="39">
        <v>32.9</v>
      </c>
      <c r="I103" s="4">
        <f t="shared" si="9"/>
        <v>0.12188449848024308</v>
      </c>
      <c r="J103" s="23">
        <f t="shared" ref="J103:J109" si="12">+D103-G103</f>
        <v>3.2100000000000009</v>
      </c>
    </row>
    <row r="104" spans="1:10" s="26" customFormat="1">
      <c r="A104" s="7" t="s">
        <v>35</v>
      </c>
      <c r="B104" s="29">
        <v>75053901</v>
      </c>
      <c r="C104" s="28" t="s">
        <v>308</v>
      </c>
      <c r="D104" s="30">
        <v>12.37</v>
      </c>
      <c r="E104" s="45">
        <v>15.5</v>
      </c>
      <c r="F104" s="5">
        <f t="shared" si="8"/>
        <v>0.20193548387096782</v>
      </c>
      <c r="G104" s="30">
        <f>+D104*0.9</f>
        <v>11.132999999999999</v>
      </c>
      <c r="H104" s="39">
        <v>13.5</v>
      </c>
      <c r="I104" s="4">
        <f t="shared" si="9"/>
        <v>0.17533333333333345</v>
      </c>
      <c r="J104" s="23"/>
    </row>
    <row r="105" spans="1:10" s="71" customFormat="1">
      <c r="A105" s="25"/>
      <c r="B105" s="34">
        <v>7501006582949</v>
      </c>
      <c r="C105" s="35" t="s">
        <v>443</v>
      </c>
      <c r="D105" s="33">
        <v>18.9971</v>
      </c>
      <c r="E105" s="65">
        <v>23.8</v>
      </c>
      <c r="F105" s="5">
        <f t="shared" si="8"/>
        <v>0.20180252100840335</v>
      </c>
      <c r="G105" s="33">
        <f>+D105*0.95</f>
        <v>18.047245</v>
      </c>
      <c r="H105" s="38">
        <v>20.9</v>
      </c>
      <c r="I105" s="4">
        <f t="shared" si="9"/>
        <v>0.13649545454545453</v>
      </c>
      <c r="J105" s="23"/>
    </row>
    <row r="106" spans="1:10" s="26" customFormat="1">
      <c r="A106" s="25" t="s">
        <v>304</v>
      </c>
      <c r="B106" s="34">
        <v>7501017005611</v>
      </c>
      <c r="C106" s="35" t="s">
        <v>444</v>
      </c>
      <c r="D106" s="33">
        <v>5.65</v>
      </c>
      <c r="E106" s="45">
        <v>6.8</v>
      </c>
      <c r="F106" s="5">
        <f t="shared" si="8"/>
        <v>0.16911764705882348</v>
      </c>
      <c r="G106" s="33">
        <f>+D106*0.9</f>
        <v>5.0850000000000009</v>
      </c>
      <c r="H106" s="38">
        <v>5.9</v>
      </c>
      <c r="I106" s="4">
        <f t="shared" si="9"/>
        <v>0.13813559322033886</v>
      </c>
      <c r="J106" s="23">
        <f>+D106-G106</f>
        <v>0.5649999999999995</v>
      </c>
    </row>
    <row r="107" spans="1:10" s="26" customFormat="1">
      <c r="A107" s="7" t="s">
        <v>36</v>
      </c>
      <c r="B107" s="29">
        <v>7501006535303</v>
      </c>
      <c r="C107" s="28" t="s">
        <v>236</v>
      </c>
      <c r="D107" s="30">
        <v>14.268800000000001</v>
      </c>
      <c r="E107" s="45">
        <v>17.399999999999999</v>
      </c>
      <c r="F107" s="5">
        <f t="shared" si="8"/>
        <v>0.1799540229885056</v>
      </c>
      <c r="G107" s="30">
        <v>12.12848</v>
      </c>
      <c r="H107" s="39">
        <v>13.5</v>
      </c>
      <c r="I107" s="4">
        <f t="shared" si="9"/>
        <v>0.10159407407407406</v>
      </c>
      <c r="J107" s="23"/>
    </row>
    <row r="108" spans="1:10" s="21" customFormat="1">
      <c r="A108" s="17" t="s">
        <v>37</v>
      </c>
      <c r="B108" s="14"/>
      <c r="C108" s="15"/>
      <c r="D108" s="13"/>
      <c r="E108" s="13"/>
      <c r="F108" s="5" t="e">
        <f t="shared" ref="F108" si="13">+((D108/E108)-1)*-1</f>
        <v>#DIV/0!</v>
      </c>
      <c r="G108" s="30"/>
      <c r="H108" s="39"/>
      <c r="I108" s="4" t="e">
        <f t="shared" si="9"/>
        <v>#DIV/0!</v>
      </c>
      <c r="J108" s="23">
        <f t="shared" si="12"/>
        <v>0</v>
      </c>
    </row>
    <row r="109" spans="1:10" s="21" customFormat="1">
      <c r="A109" s="17"/>
      <c r="B109" s="36" t="s">
        <v>50</v>
      </c>
      <c r="C109" s="36" t="s">
        <v>45</v>
      </c>
      <c r="D109" s="13"/>
      <c r="E109" s="13"/>
      <c r="F109" s="5" t="e">
        <f t="shared" ref="F109" si="14">+((D109/E109)-1)*-1</f>
        <v>#DIV/0!</v>
      </c>
      <c r="G109" s="13"/>
      <c r="H109" s="20"/>
      <c r="I109" s="4" t="e">
        <f t="shared" si="9"/>
        <v>#DIV/0!</v>
      </c>
      <c r="J109" s="23">
        <f t="shared" si="12"/>
        <v>0</v>
      </c>
    </row>
    <row r="110" spans="1:10" s="16" customFormat="1">
      <c r="A110" s="8"/>
      <c r="B110" s="18">
        <v>7501018310011</v>
      </c>
      <c r="C110" s="61" t="s">
        <v>450</v>
      </c>
      <c r="D110" s="9"/>
      <c r="E110" s="9"/>
      <c r="F110" s="10"/>
      <c r="G110" s="9"/>
      <c r="H110" s="11"/>
      <c r="I110" s="4" t="e">
        <f t="shared" si="9"/>
        <v>#DIV/0!</v>
      </c>
      <c r="J110" s="12"/>
    </row>
    <row r="111" spans="1:10" s="71" customFormat="1">
      <c r="A111" s="17"/>
      <c r="B111" s="14">
        <v>7501018310035</v>
      </c>
      <c r="C111" s="15" t="s">
        <v>451</v>
      </c>
      <c r="D111" s="13"/>
      <c r="E111" s="13"/>
      <c r="F111" s="5"/>
      <c r="G111" s="30"/>
      <c r="H111" s="39"/>
      <c r="I111" s="4" t="e">
        <f t="shared" si="9"/>
        <v>#DIV/0!</v>
      </c>
      <c r="J111" s="23"/>
    </row>
    <row r="112" spans="1:10" s="16" customFormat="1">
      <c r="A112" s="8"/>
      <c r="B112" s="18">
        <v>7501018310042</v>
      </c>
      <c r="C112" s="61" t="s">
        <v>452</v>
      </c>
      <c r="D112" s="9"/>
      <c r="E112" s="9"/>
      <c r="F112" s="10"/>
      <c r="G112" s="9"/>
      <c r="H112" s="11"/>
      <c r="I112" s="4" t="e">
        <f t="shared" ref="I112:I114" si="15">+((G112/H112)-1)*-1</f>
        <v>#DIV/0!</v>
      </c>
      <c r="J112" s="12"/>
    </row>
    <row r="113" spans="1:10" s="16" customFormat="1">
      <c r="A113" s="8"/>
      <c r="B113" s="18">
        <v>7501018310066</v>
      </c>
      <c r="C113" s="61" t="s">
        <v>453</v>
      </c>
      <c r="D113" s="9"/>
      <c r="E113" s="9"/>
      <c r="F113" s="10"/>
      <c r="G113" s="9"/>
      <c r="H113" s="11"/>
      <c r="I113" s="4" t="e">
        <f t="shared" si="15"/>
        <v>#DIV/0!</v>
      </c>
      <c r="J113" s="12"/>
    </row>
    <row r="114" spans="1:10" s="16" customFormat="1">
      <c r="A114" s="8"/>
      <c r="B114" s="18">
        <v>7501018310103</v>
      </c>
      <c r="C114" s="61" t="s">
        <v>454</v>
      </c>
      <c r="D114" s="9"/>
      <c r="E114" s="9"/>
      <c r="F114" s="10"/>
      <c r="G114" s="9"/>
      <c r="H114" s="11"/>
      <c r="I114" s="4" t="e">
        <f t="shared" si="15"/>
        <v>#DIV/0!</v>
      </c>
      <c r="J114" s="12"/>
    </row>
    <row r="115" spans="1:10" s="26" customFormat="1">
      <c r="A115" s="8"/>
      <c r="B115" s="18">
        <v>7501018310219</v>
      </c>
      <c r="C115" s="61" t="s">
        <v>455</v>
      </c>
      <c r="D115" s="31"/>
      <c r="E115" s="31"/>
      <c r="F115" s="10"/>
      <c r="G115" s="31"/>
      <c r="H115" s="32"/>
      <c r="I115" s="4" t="e">
        <f>+((G115/H115)-1)*-1</f>
        <v>#DIV/0!</v>
      </c>
      <c r="J115" s="12"/>
    </row>
    <row r="116" spans="1:10" s="26" customFormat="1">
      <c r="A116" s="8"/>
      <c r="B116" s="18">
        <v>7501018310257</v>
      </c>
      <c r="C116" s="61" t="s">
        <v>456</v>
      </c>
      <c r="D116" s="31"/>
      <c r="E116" s="31"/>
      <c r="F116" s="10"/>
      <c r="G116" s="31"/>
      <c r="H116" s="32"/>
      <c r="I116" s="4" t="e">
        <f>+((G116/H116)-1)*-1</f>
        <v>#DIV/0!</v>
      </c>
      <c r="J116" s="12"/>
    </row>
    <row r="117" spans="1:10" s="26" customFormat="1">
      <c r="A117" s="8"/>
      <c r="B117" s="18">
        <v>7501018310516</v>
      </c>
      <c r="C117" s="61" t="s">
        <v>457</v>
      </c>
      <c r="D117" s="31"/>
      <c r="E117" s="31"/>
      <c r="F117" s="10"/>
      <c r="G117" s="31"/>
      <c r="H117" s="32"/>
      <c r="I117" s="4" t="e">
        <f>+((G117/H117)-1)*-1</f>
        <v>#DIV/0!</v>
      </c>
      <c r="J117" s="12"/>
    </row>
    <row r="118" spans="1:10">
      <c r="B118" s="18">
        <v>7501018310523</v>
      </c>
      <c r="C118" s="61" t="s">
        <v>458</v>
      </c>
      <c r="I118" s="4" t="e">
        <f>+((G118/H118)-1)*-1</f>
        <v>#DIV/0!</v>
      </c>
    </row>
    <row r="119" spans="1:10">
      <c r="B119" s="18">
        <v>7501018310530</v>
      </c>
      <c r="C119" s="61" t="s">
        <v>459</v>
      </c>
      <c r="E119" s="1">
        <v>12345678</v>
      </c>
      <c r="I119" s="4"/>
    </row>
    <row r="120" spans="1:10">
      <c r="B120" s="18">
        <v>7501018310554</v>
      </c>
      <c r="C120" s="61" t="s">
        <v>460</v>
      </c>
      <c r="I120" s="4"/>
    </row>
    <row r="121" spans="1:10">
      <c r="B121" s="18">
        <v>7501018310561</v>
      </c>
      <c r="C121" s="61" t="s">
        <v>461</v>
      </c>
      <c r="I121" s="4"/>
    </row>
    <row r="122" spans="1:10" s="26" customFormat="1">
      <c r="B122" s="18">
        <v>7501018310578</v>
      </c>
      <c r="C122" s="61" t="s">
        <v>462</v>
      </c>
      <c r="I122" s="4"/>
    </row>
    <row r="123" spans="1:10" s="26" customFormat="1">
      <c r="B123" s="18">
        <v>7501018310585</v>
      </c>
      <c r="C123" s="61" t="s">
        <v>463</v>
      </c>
      <c r="I123" s="4"/>
    </row>
    <row r="124" spans="1:10" s="26" customFormat="1">
      <c r="B124" s="18">
        <v>7501018310592</v>
      </c>
      <c r="C124" s="61" t="s">
        <v>464</v>
      </c>
      <c r="I124" s="4"/>
    </row>
    <row r="125" spans="1:10" s="26" customFormat="1">
      <c r="B125" s="18"/>
      <c r="C125" s="61"/>
      <c r="I125" s="4"/>
    </row>
    <row r="126" spans="1:10" s="26" customFormat="1">
      <c r="B126" s="18"/>
      <c r="C126" s="61"/>
      <c r="I126" s="4"/>
    </row>
    <row r="128" spans="1:10" s="26" customFormat="1"/>
    <row r="129" spans="2:9" s="26" customFormat="1">
      <c r="B129" s="18" t="s">
        <v>50</v>
      </c>
      <c r="C129" s="61" t="s">
        <v>45</v>
      </c>
      <c r="I129" s="4"/>
    </row>
    <row r="130" spans="2:9" s="26" customFormat="1">
      <c r="B130" s="18">
        <v>613963110091</v>
      </c>
      <c r="C130" s="61" t="s">
        <v>152</v>
      </c>
      <c r="I130" s="4"/>
    </row>
    <row r="131" spans="2:9" s="26" customFormat="1">
      <c r="B131" s="18">
        <v>613963110213</v>
      </c>
      <c r="C131" s="61" t="s">
        <v>153</v>
      </c>
      <c r="I131" s="4"/>
    </row>
    <row r="132" spans="2:9" s="26" customFormat="1">
      <c r="B132" s="18">
        <v>613963110220</v>
      </c>
      <c r="C132" s="61" t="s">
        <v>154</v>
      </c>
      <c r="I132" s="4"/>
    </row>
    <row r="133" spans="2:9" s="26" customFormat="1">
      <c r="B133" s="18">
        <v>613963110237</v>
      </c>
      <c r="C133" s="61" t="s">
        <v>155</v>
      </c>
      <c r="I133" s="4"/>
    </row>
    <row r="134" spans="2:9" s="26" customFormat="1">
      <c r="B134" s="18">
        <v>613963110312</v>
      </c>
      <c r="C134" s="61" t="s">
        <v>156</v>
      </c>
      <c r="I134" s="4"/>
    </row>
    <row r="135" spans="2:9" s="26" customFormat="1">
      <c r="B135" s="18">
        <v>613963110329</v>
      </c>
      <c r="C135" s="61" t="s">
        <v>157</v>
      </c>
      <c r="I135" s="4"/>
    </row>
    <row r="136" spans="2:9" s="26" customFormat="1">
      <c r="B136" s="18">
        <v>613963110411</v>
      </c>
      <c r="C136" s="61" t="s">
        <v>158</v>
      </c>
      <c r="I136" s="4"/>
    </row>
    <row r="137" spans="2:9" s="26" customFormat="1">
      <c r="B137" s="18">
        <v>613963110510</v>
      </c>
      <c r="C137" s="61" t="s">
        <v>159</v>
      </c>
      <c r="I137" s="4"/>
    </row>
    <row r="138" spans="2:9" s="26" customFormat="1">
      <c r="B138" s="18">
        <v>613963110534</v>
      </c>
      <c r="C138" s="61" t="s">
        <v>160</v>
      </c>
      <c r="I138" s="4"/>
    </row>
    <row r="139" spans="2:9" s="26" customFormat="1">
      <c r="B139" s="18">
        <v>613963110626</v>
      </c>
      <c r="C139" s="61" t="s">
        <v>161</v>
      </c>
      <c r="I139" s="4"/>
    </row>
    <row r="140" spans="2:9" s="26" customFormat="1">
      <c r="B140" s="18">
        <v>613963110633</v>
      </c>
      <c r="C140" s="61" t="s">
        <v>162</v>
      </c>
      <c r="I140" s="4"/>
    </row>
    <row r="141" spans="2:9" s="26" customFormat="1">
      <c r="B141" s="18">
        <v>613963110718</v>
      </c>
      <c r="C141" s="61" t="s">
        <v>163</v>
      </c>
      <c r="I141" s="4"/>
    </row>
    <row r="142" spans="2:9" s="26" customFormat="1">
      <c r="B142" s="18">
        <v>613963110725</v>
      </c>
      <c r="C142" s="61" t="s">
        <v>164</v>
      </c>
      <c r="I142" s="4"/>
    </row>
    <row r="143" spans="2:9" s="26" customFormat="1">
      <c r="B143" s="18">
        <v>613963110817</v>
      </c>
      <c r="C143" s="61" t="s">
        <v>165</v>
      </c>
      <c r="I143" s="4"/>
    </row>
    <row r="144" spans="2:9" s="26" customFormat="1">
      <c r="B144" s="18">
        <v>613963111012</v>
      </c>
      <c r="C144" s="61" t="s">
        <v>166</v>
      </c>
      <c r="I144" s="4"/>
    </row>
    <row r="145" spans="2:9" s="26" customFormat="1">
      <c r="B145" s="18"/>
      <c r="C145" s="61"/>
      <c r="I145" s="4"/>
    </row>
    <row r="146" spans="2:9" s="26" customFormat="1">
      <c r="B146" s="18"/>
      <c r="C146" s="61"/>
      <c r="I146" s="4"/>
    </row>
    <row r="147" spans="2:9" s="26" customFormat="1">
      <c r="B147" s="18"/>
      <c r="C147" s="61"/>
      <c r="I147" s="4"/>
    </row>
    <row r="148" spans="2:9" s="26" customFormat="1">
      <c r="B148" s="18"/>
      <c r="C148" s="61"/>
      <c r="I148" s="4"/>
    </row>
    <row r="149" spans="2:9" s="26" customFormat="1">
      <c r="B149" s="18"/>
      <c r="C149" s="61"/>
      <c r="I149" s="4"/>
    </row>
    <row r="150" spans="2:9" s="26" customFormat="1">
      <c r="B150" s="18"/>
      <c r="C150" s="61"/>
      <c r="I150" s="4"/>
    </row>
    <row r="151" spans="2:9" s="26" customFormat="1">
      <c r="B151" s="18"/>
      <c r="C151" s="61"/>
      <c r="I151" s="4"/>
    </row>
    <row r="152" spans="2:9" s="26" customFormat="1">
      <c r="B152" s="18"/>
      <c r="C152" s="61"/>
      <c r="I152" s="4"/>
    </row>
    <row r="153" spans="2:9" s="26" customFormat="1">
      <c r="B153" s="18"/>
      <c r="C153" s="61"/>
      <c r="I153" s="4"/>
    </row>
    <row r="154" spans="2:9" s="26" customFormat="1">
      <c r="B154" s="18"/>
      <c r="C154" s="61"/>
      <c r="I154" s="4"/>
    </row>
    <row r="155" spans="2:9" s="26" customFormat="1">
      <c r="B155" s="18"/>
      <c r="C155" s="61"/>
      <c r="I155" s="4"/>
    </row>
    <row r="176" spans="1:3" s="26" customFormat="1" ht="18">
      <c r="A176" s="82" t="s">
        <v>128</v>
      </c>
      <c r="B176" s="82"/>
      <c r="C176" s="82"/>
    </row>
    <row r="177" spans="1:10" s="26" customFormat="1" ht="23.25" customHeight="1">
      <c r="A177" s="78" t="s">
        <v>266</v>
      </c>
      <c r="B177" s="78"/>
      <c r="C177" s="78"/>
      <c r="D177" s="79" t="s">
        <v>0</v>
      </c>
      <c r="E177" s="80"/>
      <c r="F177" s="81"/>
      <c r="G177" s="79" t="s">
        <v>1</v>
      </c>
      <c r="H177" s="80"/>
      <c r="I177" s="81"/>
    </row>
    <row r="178" spans="1:10" s="26" customFormat="1" ht="22.5">
      <c r="A178" s="41" t="s">
        <v>11</v>
      </c>
      <c r="B178" s="41" t="s">
        <v>2</v>
      </c>
      <c r="C178" s="41" t="s">
        <v>3</v>
      </c>
      <c r="D178" s="27" t="s">
        <v>4</v>
      </c>
      <c r="E178" s="27" t="s">
        <v>5</v>
      </c>
      <c r="F178" s="3" t="s">
        <v>6</v>
      </c>
      <c r="G178" s="27" t="s">
        <v>7</v>
      </c>
      <c r="H178" s="37" t="s">
        <v>8</v>
      </c>
      <c r="I178" s="3" t="s">
        <v>9</v>
      </c>
      <c r="J178" s="6" t="s">
        <v>10</v>
      </c>
    </row>
    <row r="179" spans="1:10" s="26" customFormat="1">
      <c r="A179" s="7"/>
      <c r="B179" s="52"/>
      <c r="C179" s="54"/>
      <c r="D179" s="45"/>
      <c r="E179" s="45"/>
      <c r="F179" s="5" t="e">
        <f t="shared" ref="F179:F220" si="16">+((D179/E179)-1)*-1</f>
        <v>#DIV/0!</v>
      </c>
      <c r="G179" s="45"/>
      <c r="H179" s="56"/>
      <c r="I179" s="4" t="e">
        <f t="shared" ref="I179:I220" si="17">+((G179/H179)-1)*-1</f>
        <v>#DIV/0!</v>
      </c>
      <c r="J179" s="23">
        <f t="shared" ref="J179:J181" si="18">+D179-G179</f>
        <v>0</v>
      </c>
    </row>
    <row r="180" spans="1:10" s="26" customFormat="1">
      <c r="A180" s="7"/>
      <c r="B180" s="52">
        <v>7501005181365</v>
      </c>
      <c r="C180" s="54" t="s">
        <v>267</v>
      </c>
      <c r="D180" s="45">
        <v>16.350000000000001</v>
      </c>
      <c r="E180" s="45">
        <v>22.9</v>
      </c>
      <c r="F180" s="5">
        <f t="shared" si="16"/>
        <v>0.28602620087336239</v>
      </c>
      <c r="G180" s="45">
        <v>12.15</v>
      </c>
      <c r="H180" s="56">
        <v>13.5</v>
      </c>
      <c r="I180" s="4">
        <f t="shared" si="17"/>
        <v>9.9999999999999978E-2</v>
      </c>
      <c r="J180" s="23">
        <f t="shared" si="18"/>
        <v>4.2000000000000011</v>
      </c>
    </row>
    <row r="181" spans="1:10" s="26" customFormat="1">
      <c r="A181" s="7"/>
      <c r="B181" s="52">
        <v>7501005117371</v>
      </c>
      <c r="C181" s="54" t="s">
        <v>268</v>
      </c>
      <c r="D181" s="45">
        <v>15.81</v>
      </c>
      <c r="E181" s="45">
        <v>20.7</v>
      </c>
      <c r="F181" s="5">
        <f t="shared" si="16"/>
        <v>0.23623188405797091</v>
      </c>
      <c r="G181" s="45">
        <v>14.31</v>
      </c>
      <c r="H181" s="56">
        <v>15.9</v>
      </c>
      <c r="I181" s="4">
        <f t="shared" si="17"/>
        <v>9.9999999999999978E-2</v>
      </c>
      <c r="J181" s="23">
        <f t="shared" si="18"/>
        <v>1.5</v>
      </c>
    </row>
    <row r="182" spans="1:10" s="26" customFormat="1">
      <c r="A182" s="25"/>
      <c r="B182" s="50">
        <v>7501079702855</v>
      </c>
      <c r="C182" s="54" t="s">
        <v>270</v>
      </c>
      <c r="D182" s="45">
        <v>8.5417000000000005</v>
      </c>
      <c r="E182" s="45">
        <v>10.8</v>
      </c>
      <c r="F182" s="5">
        <f t="shared" si="16"/>
        <v>0.20910185185185182</v>
      </c>
      <c r="G182" s="45">
        <f>+D182*0.8</f>
        <v>6.8333600000000008</v>
      </c>
      <c r="H182" s="56">
        <v>7.9</v>
      </c>
      <c r="I182" s="4">
        <f t="shared" si="17"/>
        <v>0.13501772151898728</v>
      </c>
      <c r="J182" s="23">
        <f>+D182-G182</f>
        <v>1.7083399999999997</v>
      </c>
    </row>
    <row r="183" spans="1:10" s="26" customFormat="1">
      <c r="A183" s="7"/>
      <c r="B183" s="52">
        <v>7501025403034</v>
      </c>
      <c r="C183" s="54" t="s">
        <v>55</v>
      </c>
      <c r="D183" s="45">
        <v>21.383562380000001</v>
      </c>
      <c r="E183" s="45">
        <v>26.7</v>
      </c>
      <c r="F183" s="5">
        <f t="shared" si="16"/>
        <v>0.19911751385767784</v>
      </c>
      <c r="G183" s="45">
        <v>16.11</v>
      </c>
      <c r="H183" s="56">
        <v>17.899999999999999</v>
      </c>
      <c r="I183" s="4">
        <f t="shared" si="17"/>
        <v>9.9999999999999978E-2</v>
      </c>
      <c r="J183" s="23">
        <f t="shared" ref="J183:J188" si="19">+D183-G183</f>
        <v>5.2735623800000013</v>
      </c>
    </row>
    <row r="184" spans="1:10" s="26" customFormat="1">
      <c r="A184" s="7"/>
      <c r="B184" s="52">
        <v>7501025411756</v>
      </c>
      <c r="C184" s="54" t="s">
        <v>199</v>
      </c>
      <c r="D184" s="45">
        <v>18.536799999999999</v>
      </c>
      <c r="E184" s="45">
        <v>23.2</v>
      </c>
      <c r="F184" s="5">
        <f t="shared" si="16"/>
        <v>0.20099999999999996</v>
      </c>
      <c r="G184" s="45">
        <v>16.11</v>
      </c>
      <c r="H184" s="56">
        <v>17.899999999999999</v>
      </c>
      <c r="I184" s="4">
        <f t="shared" si="17"/>
        <v>9.9999999999999978E-2</v>
      </c>
      <c r="J184" s="23">
        <f t="shared" si="19"/>
        <v>2.4268000000000001</v>
      </c>
    </row>
    <row r="185" spans="1:10" s="26" customFormat="1">
      <c r="A185" s="7"/>
      <c r="B185" s="52">
        <v>7501025411763</v>
      </c>
      <c r="C185" s="54" t="s">
        <v>200</v>
      </c>
      <c r="D185" s="45">
        <v>18.536799999999999</v>
      </c>
      <c r="E185" s="45">
        <v>23.2</v>
      </c>
      <c r="F185" s="5">
        <f t="shared" si="16"/>
        <v>0.20099999999999996</v>
      </c>
      <c r="G185" s="45">
        <v>16.11</v>
      </c>
      <c r="H185" s="56">
        <v>17.899999999999999</v>
      </c>
      <c r="I185" s="4">
        <f t="shared" si="17"/>
        <v>9.9999999999999978E-2</v>
      </c>
      <c r="J185" s="23">
        <f t="shared" si="19"/>
        <v>2.4268000000000001</v>
      </c>
    </row>
    <row r="186" spans="1:10" s="26" customFormat="1">
      <c r="A186" s="7"/>
      <c r="B186" s="52">
        <v>7501025431945</v>
      </c>
      <c r="C186" s="54" t="s">
        <v>201</v>
      </c>
      <c r="D186" s="45">
        <v>18.536799999999999</v>
      </c>
      <c r="E186" s="45">
        <v>23.2</v>
      </c>
      <c r="F186" s="5">
        <f t="shared" si="16"/>
        <v>0.20099999999999996</v>
      </c>
      <c r="G186" s="45">
        <v>16.11</v>
      </c>
      <c r="H186" s="56">
        <v>17.899999999999999</v>
      </c>
      <c r="I186" s="4">
        <f t="shared" si="17"/>
        <v>9.9999999999999978E-2</v>
      </c>
      <c r="J186" s="23">
        <f t="shared" si="19"/>
        <v>2.4268000000000001</v>
      </c>
    </row>
    <row r="187" spans="1:10" s="26" customFormat="1">
      <c r="A187" s="7"/>
      <c r="B187" s="52">
        <v>7501025431952</v>
      </c>
      <c r="C187" s="54" t="s">
        <v>202</v>
      </c>
      <c r="D187" s="45">
        <v>18.536799999999999</v>
      </c>
      <c r="E187" s="45">
        <v>23.2</v>
      </c>
      <c r="F187" s="5">
        <f t="shared" si="16"/>
        <v>0.20099999999999996</v>
      </c>
      <c r="G187" s="45">
        <v>16.11</v>
      </c>
      <c r="H187" s="56">
        <v>17.899999999999999</v>
      </c>
      <c r="I187" s="4">
        <f t="shared" si="17"/>
        <v>9.9999999999999978E-2</v>
      </c>
      <c r="J187" s="23">
        <f t="shared" si="19"/>
        <v>2.4268000000000001</v>
      </c>
    </row>
    <row r="188" spans="1:10" s="26" customFormat="1">
      <c r="A188" s="7"/>
      <c r="B188" s="52">
        <v>7509546016306</v>
      </c>
      <c r="C188" s="54" t="s">
        <v>271</v>
      </c>
      <c r="D188" s="45">
        <f>14.77*1.16</f>
        <v>17.133199999999999</v>
      </c>
      <c r="E188" s="45">
        <v>31.3</v>
      </c>
      <c r="F188" s="5">
        <f t="shared" si="16"/>
        <v>0.45261341853035153</v>
      </c>
      <c r="G188" s="45">
        <v>16.11</v>
      </c>
      <c r="H188" s="56">
        <v>17.899999999999999</v>
      </c>
      <c r="I188" s="4">
        <f t="shared" si="17"/>
        <v>9.9999999999999978E-2</v>
      </c>
      <c r="J188" s="23">
        <f t="shared" si="19"/>
        <v>1.0231999999999992</v>
      </c>
    </row>
    <row r="189" spans="1:10" s="26" customFormat="1">
      <c r="A189" s="7"/>
      <c r="B189" s="52">
        <v>7509546016313</v>
      </c>
      <c r="C189" s="54" t="s">
        <v>272</v>
      </c>
      <c r="D189" s="45">
        <f>14.77*1.16</f>
        <v>17.133199999999999</v>
      </c>
      <c r="E189" s="45">
        <v>31.3</v>
      </c>
      <c r="F189" s="5">
        <f t="shared" si="16"/>
        <v>0.45261341853035153</v>
      </c>
      <c r="G189" s="45">
        <v>16.11</v>
      </c>
      <c r="H189" s="56">
        <v>17.899999999999999</v>
      </c>
      <c r="I189" s="4">
        <f t="shared" si="17"/>
        <v>9.9999999999999978E-2</v>
      </c>
      <c r="J189" s="23">
        <f>+D189-G189</f>
        <v>1.0231999999999992</v>
      </c>
    </row>
    <row r="190" spans="1:10" s="26" customFormat="1">
      <c r="A190" s="7"/>
      <c r="B190" s="52">
        <v>7509546043579</v>
      </c>
      <c r="C190" s="54" t="s">
        <v>273</v>
      </c>
      <c r="D190" s="45">
        <f t="shared" ref="D190:D191" si="20">14.77*1.16</f>
        <v>17.133199999999999</v>
      </c>
      <c r="E190" s="45">
        <v>31.3</v>
      </c>
      <c r="F190" s="5">
        <f t="shared" si="16"/>
        <v>0.45261341853035153</v>
      </c>
      <c r="G190" s="45">
        <v>16.11</v>
      </c>
      <c r="H190" s="56">
        <v>17.899999999999999</v>
      </c>
      <c r="I190" s="4">
        <f t="shared" si="17"/>
        <v>9.9999999999999978E-2</v>
      </c>
      <c r="J190" s="23">
        <f t="shared" ref="J190:J192" si="21">+D190-G190</f>
        <v>1.0231999999999992</v>
      </c>
    </row>
    <row r="191" spans="1:10" s="26" customFormat="1">
      <c r="A191" s="7"/>
      <c r="B191" s="52">
        <v>7509546050102</v>
      </c>
      <c r="C191" s="54" t="s">
        <v>274</v>
      </c>
      <c r="D191" s="45">
        <f t="shared" si="20"/>
        <v>17.133199999999999</v>
      </c>
      <c r="E191" s="45">
        <v>31.3</v>
      </c>
      <c r="F191" s="5">
        <f t="shared" si="16"/>
        <v>0.45261341853035153</v>
      </c>
      <c r="G191" s="45">
        <v>16.11</v>
      </c>
      <c r="H191" s="56">
        <v>17.899999999999999</v>
      </c>
      <c r="I191" s="4">
        <f t="shared" si="17"/>
        <v>9.9999999999999978E-2</v>
      </c>
      <c r="J191" s="23">
        <f t="shared" si="21"/>
        <v>1.0231999999999992</v>
      </c>
    </row>
    <row r="192" spans="1:10" s="26" customFormat="1">
      <c r="A192" s="7"/>
      <c r="B192" s="52">
        <v>7506425605781</v>
      </c>
      <c r="C192" s="54" t="s">
        <v>64</v>
      </c>
      <c r="D192" s="45">
        <f>12.88*1.16</f>
        <v>14.940799999999999</v>
      </c>
      <c r="E192" s="45">
        <v>19.899999999999999</v>
      </c>
      <c r="F192" s="5">
        <f t="shared" si="16"/>
        <v>0.24920603015075371</v>
      </c>
      <c r="G192" s="45">
        <v>13.41</v>
      </c>
      <c r="H192" s="56">
        <v>14.9</v>
      </c>
      <c r="I192" s="4">
        <f t="shared" si="17"/>
        <v>9.9999999999999978E-2</v>
      </c>
      <c r="J192" s="23">
        <f t="shared" si="21"/>
        <v>1.5307999999999993</v>
      </c>
    </row>
    <row r="193" spans="1:10" s="26" customFormat="1">
      <c r="A193" s="7"/>
      <c r="B193" s="52"/>
      <c r="C193" s="54"/>
      <c r="D193" s="45"/>
      <c r="E193" s="45"/>
      <c r="F193" s="5" t="e">
        <f t="shared" si="16"/>
        <v>#DIV/0!</v>
      </c>
      <c r="G193" s="45"/>
      <c r="H193" s="56"/>
      <c r="I193" s="4" t="e">
        <f t="shared" si="17"/>
        <v>#DIV/0!</v>
      </c>
      <c r="J193" s="23"/>
    </row>
    <row r="194" spans="1:10" s="26" customFormat="1">
      <c r="A194" s="25"/>
      <c r="B194" s="58">
        <v>7501039122105</v>
      </c>
      <c r="C194" s="59" t="s">
        <v>297</v>
      </c>
      <c r="D194" s="45">
        <v>34</v>
      </c>
      <c r="E194" s="45">
        <v>38.6</v>
      </c>
      <c r="F194" s="5">
        <f t="shared" si="16"/>
        <v>0.11917098445595853</v>
      </c>
      <c r="G194" s="45">
        <f>+D194-1.5</f>
        <v>32.5</v>
      </c>
      <c r="H194" s="56">
        <v>35.9</v>
      </c>
      <c r="I194" s="4">
        <f t="shared" si="17"/>
        <v>9.4707520891364916E-2</v>
      </c>
      <c r="J194" s="23">
        <f>+D194-G194</f>
        <v>1.5</v>
      </c>
    </row>
    <row r="195" spans="1:10" s="26" customFormat="1">
      <c r="A195" s="25"/>
      <c r="B195" s="58" t="s">
        <v>295</v>
      </c>
      <c r="C195" s="59" t="s">
        <v>296</v>
      </c>
      <c r="D195" s="45">
        <v>30</v>
      </c>
      <c r="E195" s="45">
        <v>38.6</v>
      </c>
      <c r="F195" s="5">
        <f t="shared" si="16"/>
        <v>0.22279792746113991</v>
      </c>
      <c r="G195" s="45"/>
      <c r="H195" s="56">
        <v>33.5</v>
      </c>
      <c r="I195" s="4">
        <f t="shared" si="17"/>
        <v>1</v>
      </c>
      <c r="J195" s="23">
        <f>+H194-H195</f>
        <v>2.3999999999999986</v>
      </c>
    </row>
    <row r="196" spans="1:10" s="26" customFormat="1">
      <c r="A196" s="7"/>
      <c r="B196" s="52"/>
      <c r="C196" s="54"/>
      <c r="D196" s="45"/>
      <c r="E196" s="45"/>
      <c r="F196" s="5" t="e">
        <f t="shared" si="16"/>
        <v>#DIV/0!</v>
      </c>
      <c r="G196" s="45"/>
      <c r="H196" s="56"/>
      <c r="I196" s="4" t="e">
        <f t="shared" si="17"/>
        <v>#DIV/0!</v>
      </c>
      <c r="J196" s="23">
        <f t="shared" ref="J196" si="22">+D196-G196</f>
        <v>0</v>
      </c>
    </row>
    <row r="197" spans="1:10" s="26" customFormat="1">
      <c r="A197" s="17" t="s">
        <v>12</v>
      </c>
      <c r="B197" s="34">
        <v>7501039122600</v>
      </c>
      <c r="C197" s="35" t="s">
        <v>298</v>
      </c>
      <c r="D197" s="33">
        <v>37.5</v>
      </c>
      <c r="E197" s="33">
        <v>42.6</v>
      </c>
      <c r="F197" s="5">
        <f t="shared" si="16"/>
        <v>0.11971830985915499</v>
      </c>
      <c r="G197" s="33">
        <v>35.5</v>
      </c>
      <c r="H197" s="38">
        <v>39.5</v>
      </c>
      <c r="I197" s="4">
        <f t="shared" si="17"/>
        <v>0.10126582278481011</v>
      </c>
      <c r="J197" s="23">
        <f>+D197-G197</f>
        <v>2</v>
      </c>
    </row>
    <row r="198" spans="1:10" s="26" customFormat="1">
      <c r="A198" s="7" t="s">
        <v>13</v>
      </c>
      <c r="B198" s="29">
        <v>7501005151979</v>
      </c>
      <c r="C198" s="44" t="s">
        <v>269</v>
      </c>
      <c r="D198" s="45">
        <v>43.76</v>
      </c>
      <c r="E198" s="45">
        <v>55.6</v>
      </c>
      <c r="F198" s="5">
        <f t="shared" si="16"/>
        <v>0.21294964028776986</v>
      </c>
      <c r="G198" s="45">
        <f>+D198*0.9</f>
        <v>39.384</v>
      </c>
      <c r="H198" s="46">
        <v>44.9</v>
      </c>
      <c r="I198" s="4">
        <f t="shared" si="17"/>
        <v>0.12285077951002221</v>
      </c>
      <c r="J198" s="23">
        <f t="shared" ref="J198" si="23">+D198-G198</f>
        <v>4.3759999999999977</v>
      </c>
    </row>
    <row r="199" spans="1:10" s="26" customFormat="1">
      <c r="A199" s="17" t="s">
        <v>14</v>
      </c>
      <c r="B199" s="34">
        <v>7501125412042</v>
      </c>
      <c r="C199" s="35" t="s">
        <v>151</v>
      </c>
      <c r="D199" s="33">
        <v>15.7</v>
      </c>
      <c r="E199" s="33">
        <v>17.399999999999999</v>
      </c>
      <c r="F199" s="5">
        <f t="shared" si="16"/>
        <v>9.7701149425287293E-2</v>
      </c>
      <c r="G199" s="33">
        <f>+D199-1.4</f>
        <v>14.299999999999999</v>
      </c>
      <c r="H199" s="38">
        <v>15.9</v>
      </c>
      <c r="I199" s="4">
        <f t="shared" si="17"/>
        <v>0.10062893081761015</v>
      </c>
      <c r="J199" s="23">
        <f>+D199-G199</f>
        <v>1.4000000000000004</v>
      </c>
    </row>
    <row r="200" spans="1:10" s="26" customFormat="1">
      <c r="A200" s="25"/>
      <c r="B200" s="34">
        <v>7501125410109</v>
      </c>
      <c r="C200" s="35" t="s">
        <v>85</v>
      </c>
      <c r="D200" s="33">
        <v>20.5</v>
      </c>
      <c r="E200" s="33">
        <v>29.3</v>
      </c>
      <c r="F200" s="5">
        <f t="shared" si="16"/>
        <v>0.30034129692832767</v>
      </c>
      <c r="G200" s="33">
        <v>19.7</v>
      </c>
      <c r="H200" s="38">
        <v>21.9</v>
      </c>
      <c r="I200" s="4">
        <f t="shared" si="17"/>
        <v>0.1004566210045662</v>
      </c>
      <c r="J200" s="23">
        <f>+D200-G200</f>
        <v>0.80000000000000071</v>
      </c>
    </row>
    <row r="201" spans="1:10" s="26" customFormat="1">
      <c r="A201" s="7" t="s">
        <v>15</v>
      </c>
      <c r="B201" s="29">
        <v>7501468700240</v>
      </c>
      <c r="C201" s="47" t="s">
        <v>252</v>
      </c>
      <c r="D201" s="48">
        <v>18</v>
      </c>
      <c r="E201" s="48">
        <v>28.4</v>
      </c>
      <c r="F201" s="5">
        <f t="shared" si="16"/>
        <v>0.36619718309859151</v>
      </c>
      <c r="G201" s="48">
        <v>18</v>
      </c>
      <c r="H201" s="49">
        <v>20.5</v>
      </c>
      <c r="I201" s="4">
        <f t="shared" si="17"/>
        <v>0.12195121951219512</v>
      </c>
      <c r="J201" s="23"/>
    </row>
    <row r="202" spans="1:10" s="26" customFormat="1">
      <c r="A202" s="7" t="s">
        <v>16</v>
      </c>
      <c r="B202" s="29">
        <v>75000615</v>
      </c>
      <c r="C202" s="28" t="s">
        <v>52</v>
      </c>
      <c r="D202" s="30">
        <v>13.328399999999998</v>
      </c>
      <c r="E202" s="30">
        <v>16.7</v>
      </c>
      <c r="F202" s="5">
        <f t="shared" si="16"/>
        <v>0.20189221556886239</v>
      </c>
      <c r="G202" s="30">
        <v>9.81</v>
      </c>
      <c r="H202" s="39">
        <v>10.9</v>
      </c>
      <c r="I202" s="4">
        <f t="shared" si="17"/>
        <v>9.9999999999999978E-2</v>
      </c>
      <c r="J202" s="23">
        <f t="shared" ref="J202" si="24">+D202-G202</f>
        <v>3.518399999999998</v>
      </c>
    </row>
    <row r="203" spans="1:10" s="26" customFormat="1">
      <c r="A203" s="25"/>
      <c r="B203" s="34"/>
      <c r="C203" s="35"/>
      <c r="D203" s="33"/>
      <c r="E203" s="33"/>
      <c r="F203" s="5" t="e">
        <f t="shared" si="16"/>
        <v>#DIV/0!</v>
      </c>
      <c r="G203" s="33"/>
      <c r="H203" s="38"/>
      <c r="I203" s="4" t="e">
        <f t="shared" si="17"/>
        <v>#DIV/0!</v>
      </c>
      <c r="J203" s="23"/>
    </row>
    <row r="204" spans="1:10" s="26" customFormat="1">
      <c r="A204" s="7"/>
      <c r="B204" s="29">
        <v>7509546067506</v>
      </c>
      <c r="C204" s="28" t="s">
        <v>74</v>
      </c>
      <c r="D204" s="30">
        <f>24.51*1.16</f>
        <v>28.4316</v>
      </c>
      <c r="E204" s="30">
        <v>34.700000000000003</v>
      </c>
      <c r="F204" s="5">
        <f t="shared" si="16"/>
        <v>0.18064553314121046</v>
      </c>
      <c r="G204" s="30">
        <f>16.61*1.16</f>
        <v>19.267599999999998</v>
      </c>
      <c r="H204" s="39">
        <v>21.9</v>
      </c>
      <c r="I204" s="4">
        <f t="shared" si="17"/>
        <v>0.12020091324200921</v>
      </c>
      <c r="J204" s="23">
        <f t="shared" ref="J204:J216" si="25">+D204-G204</f>
        <v>9.1640000000000015</v>
      </c>
    </row>
    <row r="205" spans="1:10" s="26" customFormat="1">
      <c r="A205" s="7"/>
      <c r="B205" s="29">
        <v>7509546067513</v>
      </c>
      <c r="C205" s="28" t="s">
        <v>75</v>
      </c>
      <c r="D205" s="30">
        <f t="shared" ref="D205:D207" si="26">24.51*1.16</f>
        <v>28.4316</v>
      </c>
      <c r="E205" s="30">
        <v>34.700000000000003</v>
      </c>
      <c r="F205" s="5">
        <f t="shared" si="16"/>
        <v>0.18064553314121046</v>
      </c>
      <c r="G205" s="30">
        <f t="shared" ref="G205:G207" si="27">16.61*1.16</f>
        <v>19.267599999999998</v>
      </c>
      <c r="H205" s="39">
        <v>21.9</v>
      </c>
      <c r="I205" s="4">
        <f t="shared" si="17"/>
        <v>0.12020091324200921</v>
      </c>
      <c r="J205" s="23">
        <f t="shared" si="25"/>
        <v>9.1640000000000015</v>
      </c>
    </row>
    <row r="206" spans="1:10" s="26" customFormat="1">
      <c r="A206" s="43"/>
      <c r="B206" s="34">
        <v>7509546067520</v>
      </c>
      <c r="C206" s="35" t="s">
        <v>76</v>
      </c>
      <c r="D206" s="30">
        <f t="shared" si="26"/>
        <v>28.4316</v>
      </c>
      <c r="E206" s="33">
        <v>34.700000000000003</v>
      </c>
      <c r="F206" s="5">
        <f t="shared" si="16"/>
        <v>0.18064553314121046</v>
      </c>
      <c r="G206" s="30">
        <f t="shared" si="27"/>
        <v>19.267599999999998</v>
      </c>
      <c r="H206" s="39">
        <v>21.9</v>
      </c>
      <c r="I206" s="4">
        <f t="shared" si="17"/>
        <v>0.12020091324200921</v>
      </c>
      <c r="J206" s="23">
        <f t="shared" si="25"/>
        <v>9.1640000000000015</v>
      </c>
    </row>
    <row r="207" spans="1:10" s="26" customFormat="1">
      <c r="A207" s="7"/>
      <c r="B207" s="29">
        <v>7509546067544</v>
      </c>
      <c r="C207" s="28" t="s">
        <v>77</v>
      </c>
      <c r="D207" s="30">
        <f t="shared" si="26"/>
        <v>28.4316</v>
      </c>
      <c r="E207" s="30">
        <v>34.700000000000003</v>
      </c>
      <c r="F207" s="5">
        <f t="shared" si="16"/>
        <v>0.18064553314121046</v>
      </c>
      <c r="G207" s="30">
        <f t="shared" si="27"/>
        <v>19.267599999999998</v>
      </c>
      <c r="H207" s="39">
        <v>21.9</v>
      </c>
      <c r="I207" s="4">
        <f t="shared" si="17"/>
        <v>0.12020091324200921</v>
      </c>
      <c r="J207" s="23">
        <f t="shared" si="25"/>
        <v>9.1640000000000015</v>
      </c>
    </row>
    <row r="208" spans="1:10" s="26" customFormat="1">
      <c r="A208" s="7"/>
      <c r="B208" s="29"/>
      <c r="C208" s="28"/>
      <c r="D208" s="30"/>
      <c r="E208" s="30"/>
      <c r="F208" s="5" t="e">
        <f t="shared" si="16"/>
        <v>#DIV/0!</v>
      </c>
      <c r="G208" s="30"/>
      <c r="H208" s="39"/>
      <c r="I208" s="4" t="e">
        <f t="shared" si="17"/>
        <v>#DIV/0!</v>
      </c>
      <c r="J208" s="23">
        <f t="shared" si="25"/>
        <v>0</v>
      </c>
    </row>
    <row r="209" spans="1:10" s="26" customFormat="1">
      <c r="A209" s="7"/>
      <c r="B209" s="29">
        <v>7501025444969</v>
      </c>
      <c r="C209" s="28" t="s">
        <v>255</v>
      </c>
      <c r="D209" s="30">
        <f>10.6209*1.16</f>
        <v>12.320244000000001</v>
      </c>
      <c r="E209" s="30">
        <v>16.2</v>
      </c>
      <c r="F209" s="5">
        <f t="shared" si="16"/>
        <v>0.23949111111111099</v>
      </c>
      <c r="G209" s="30">
        <v>11.32</v>
      </c>
      <c r="H209" s="39">
        <v>12.9</v>
      </c>
      <c r="I209" s="4">
        <f t="shared" si="17"/>
        <v>0.1224806201550388</v>
      </c>
      <c r="J209" s="23">
        <f t="shared" si="25"/>
        <v>1.0002440000000004</v>
      </c>
    </row>
    <row r="210" spans="1:10" s="26" customFormat="1">
      <c r="A210" s="7"/>
      <c r="B210" s="29">
        <v>7500435196253</v>
      </c>
      <c r="C210" s="28" t="s">
        <v>190</v>
      </c>
      <c r="D210" s="30">
        <f>17.63*1.16</f>
        <v>20.450799999999997</v>
      </c>
      <c r="E210" s="30">
        <v>25.9</v>
      </c>
      <c r="F210" s="5">
        <f t="shared" si="16"/>
        <v>0.21039382239382243</v>
      </c>
      <c r="G210" s="30">
        <v>17.010000000000002</v>
      </c>
      <c r="H210" s="39">
        <v>18.899999999999999</v>
      </c>
      <c r="I210" s="4">
        <f t="shared" si="17"/>
        <v>9.9999999999999867E-2</v>
      </c>
      <c r="J210" s="23">
        <f t="shared" si="25"/>
        <v>3.4407999999999959</v>
      </c>
    </row>
    <row r="211" spans="1:10" s="26" customFormat="1">
      <c r="A211" s="7"/>
      <c r="B211" s="29">
        <v>7500435196291</v>
      </c>
      <c r="C211" s="28" t="s">
        <v>188</v>
      </c>
      <c r="D211" s="30">
        <f t="shared" ref="D211:D216" si="28">17.63*1.16</f>
        <v>20.450799999999997</v>
      </c>
      <c r="E211" s="30">
        <v>25.9</v>
      </c>
      <c r="F211" s="5">
        <f t="shared" si="16"/>
        <v>0.21039382239382243</v>
      </c>
      <c r="G211" s="30">
        <v>17.010000000000002</v>
      </c>
      <c r="H211" s="39">
        <v>18.899999999999999</v>
      </c>
      <c r="I211" s="4">
        <f t="shared" si="17"/>
        <v>9.9999999999999867E-2</v>
      </c>
      <c r="J211" s="23">
        <f t="shared" si="25"/>
        <v>3.4407999999999959</v>
      </c>
    </row>
    <row r="212" spans="1:10" s="26" customFormat="1">
      <c r="A212" s="7"/>
      <c r="B212" s="29">
        <v>7500435196260</v>
      </c>
      <c r="C212" s="28" t="s">
        <v>191</v>
      </c>
      <c r="D212" s="30">
        <f t="shared" si="28"/>
        <v>20.450799999999997</v>
      </c>
      <c r="E212" s="30">
        <v>25.9</v>
      </c>
      <c r="F212" s="5">
        <f t="shared" si="16"/>
        <v>0.21039382239382243</v>
      </c>
      <c r="G212" s="30">
        <v>17.010000000000002</v>
      </c>
      <c r="H212" s="39">
        <v>18.899999999999999</v>
      </c>
      <c r="I212" s="4">
        <f t="shared" si="17"/>
        <v>9.9999999999999867E-2</v>
      </c>
      <c r="J212" s="23">
        <f t="shared" si="25"/>
        <v>3.4407999999999959</v>
      </c>
    </row>
    <row r="213" spans="1:10" s="26" customFormat="1">
      <c r="A213" s="7"/>
      <c r="B213" s="29">
        <v>7500435196277</v>
      </c>
      <c r="C213" s="28" t="s">
        <v>189</v>
      </c>
      <c r="D213" s="30">
        <f t="shared" si="28"/>
        <v>20.450799999999997</v>
      </c>
      <c r="E213" s="30">
        <v>25.9</v>
      </c>
      <c r="F213" s="5">
        <f t="shared" si="16"/>
        <v>0.21039382239382243</v>
      </c>
      <c r="G213" s="30">
        <v>17.010000000000002</v>
      </c>
      <c r="H213" s="39">
        <v>18.899999999999999</v>
      </c>
      <c r="I213" s="4">
        <f t="shared" si="17"/>
        <v>9.9999999999999867E-2</v>
      </c>
      <c r="J213" s="23">
        <f t="shared" si="25"/>
        <v>3.4407999999999959</v>
      </c>
    </row>
    <row r="214" spans="1:10" s="26" customFormat="1">
      <c r="A214" s="7"/>
      <c r="B214" s="29">
        <v>7500435193498</v>
      </c>
      <c r="C214" s="28" t="s">
        <v>275</v>
      </c>
      <c r="D214" s="30">
        <f t="shared" si="28"/>
        <v>20.450799999999997</v>
      </c>
      <c r="E214" s="30">
        <v>25.9</v>
      </c>
      <c r="F214" s="5">
        <f t="shared" si="16"/>
        <v>0.21039382239382243</v>
      </c>
      <c r="G214" s="30">
        <v>17.010000000000002</v>
      </c>
      <c r="H214" s="39">
        <v>18.899999999999999</v>
      </c>
      <c r="I214" s="4">
        <f t="shared" si="17"/>
        <v>9.9999999999999867E-2</v>
      </c>
      <c r="J214" s="23">
        <f t="shared" si="25"/>
        <v>3.4407999999999959</v>
      </c>
    </row>
    <row r="215" spans="1:10" s="26" customFormat="1">
      <c r="A215" s="7"/>
      <c r="B215" s="29">
        <v>7500435193481</v>
      </c>
      <c r="C215" s="28" t="s">
        <v>276</v>
      </c>
      <c r="D215" s="30">
        <f t="shared" si="28"/>
        <v>20.450799999999997</v>
      </c>
      <c r="E215" s="30">
        <v>25.9</v>
      </c>
      <c r="F215" s="5">
        <f t="shared" si="16"/>
        <v>0.21039382239382243</v>
      </c>
      <c r="G215" s="30">
        <v>17.010000000000002</v>
      </c>
      <c r="H215" s="39">
        <v>18.899999999999999</v>
      </c>
      <c r="I215" s="4">
        <f t="shared" si="17"/>
        <v>9.9999999999999867E-2</v>
      </c>
      <c r="J215" s="23">
        <f t="shared" si="25"/>
        <v>3.4407999999999959</v>
      </c>
    </row>
    <row r="216" spans="1:10" s="26" customFormat="1">
      <c r="A216" s="7"/>
      <c r="B216" s="29">
        <v>7500435184434</v>
      </c>
      <c r="C216" s="28" t="s">
        <v>277</v>
      </c>
      <c r="D216" s="30">
        <f t="shared" si="28"/>
        <v>20.450799999999997</v>
      </c>
      <c r="E216" s="30">
        <v>25.9</v>
      </c>
      <c r="F216" s="5">
        <f t="shared" si="16"/>
        <v>0.21039382239382243</v>
      </c>
      <c r="G216" s="30">
        <v>17.010000000000002</v>
      </c>
      <c r="H216" s="39">
        <v>18.899999999999999</v>
      </c>
      <c r="I216" s="4">
        <f t="shared" si="17"/>
        <v>9.9999999999999867E-2</v>
      </c>
      <c r="J216" s="23">
        <f t="shared" si="25"/>
        <v>3.4407999999999959</v>
      </c>
    </row>
    <row r="217" spans="1:10" s="26" customFormat="1">
      <c r="A217" s="7" t="s">
        <v>17</v>
      </c>
      <c r="B217" s="29"/>
      <c r="C217" s="28"/>
      <c r="D217" s="30"/>
      <c r="E217" s="30"/>
      <c r="F217" s="5" t="e">
        <f t="shared" si="16"/>
        <v>#DIV/0!</v>
      </c>
      <c r="G217" s="30"/>
      <c r="H217" s="39"/>
      <c r="I217" s="4" t="e">
        <f t="shared" si="17"/>
        <v>#DIV/0!</v>
      </c>
      <c r="J217" s="23"/>
    </row>
    <row r="218" spans="1:10" s="26" customFormat="1">
      <c r="A218" s="7" t="s">
        <v>169</v>
      </c>
      <c r="B218" s="29"/>
      <c r="C218" s="28"/>
      <c r="D218" s="30"/>
      <c r="E218" s="30"/>
      <c r="F218" s="5" t="e">
        <f t="shared" si="16"/>
        <v>#DIV/0!</v>
      </c>
      <c r="G218" s="30"/>
      <c r="H218" s="39"/>
      <c r="I218" s="4" t="e">
        <f t="shared" si="17"/>
        <v>#DIV/0!</v>
      </c>
      <c r="J218" s="23">
        <f t="shared" ref="J218:J220" si="29">+D218-G218</f>
        <v>0</v>
      </c>
    </row>
    <row r="219" spans="1:10" s="26" customFormat="1">
      <c r="A219" s="7" t="s">
        <v>18</v>
      </c>
      <c r="B219" s="29">
        <v>7506475104722</v>
      </c>
      <c r="C219" s="28" t="s">
        <v>184</v>
      </c>
      <c r="D219" s="30">
        <v>19.91</v>
      </c>
      <c r="E219" s="30">
        <v>24.9</v>
      </c>
      <c r="F219" s="5">
        <f t="shared" si="16"/>
        <v>0.20040160642570271</v>
      </c>
      <c r="G219" s="30">
        <f>+D219*0.9</f>
        <v>17.919</v>
      </c>
      <c r="H219" s="39">
        <v>20.5</v>
      </c>
      <c r="I219" s="4">
        <f t="shared" si="17"/>
        <v>0.12590243902439024</v>
      </c>
      <c r="J219" s="23">
        <f t="shared" si="29"/>
        <v>1.9909999999999997</v>
      </c>
    </row>
    <row r="220" spans="1:10" s="26" customFormat="1">
      <c r="A220" s="25"/>
      <c r="B220" s="34">
        <v>7501001600426</v>
      </c>
      <c r="C220" s="35" t="s">
        <v>278</v>
      </c>
      <c r="D220" s="33">
        <v>12.23</v>
      </c>
      <c r="E220" s="33">
        <v>15.4</v>
      </c>
      <c r="F220" s="5">
        <f t="shared" si="16"/>
        <v>0.20584415584415583</v>
      </c>
      <c r="G220" s="33">
        <f>+D220*0.9</f>
        <v>11.007000000000001</v>
      </c>
      <c r="H220" s="38">
        <v>12.5</v>
      </c>
      <c r="I220" s="4">
        <f t="shared" si="17"/>
        <v>0.11943999999999988</v>
      </c>
      <c r="J220" s="23">
        <f t="shared" si="29"/>
        <v>1.222999999999999</v>
      </c>
    </row>
    <row r="221" spans="1:10" s="26" customFormat="1">
      <c r="A221" s="25"/>
      <c r="B221" s="34"/>
      <c r="C221" s="35"/>
      <c r="D221" s="33"/>
      <c r="E221" s="33"/>
      <c r="F221" s="40"/>
      <c r="G221" s="33"/>
      <c r="H221" s="38"/>
      <c r="I221" s="42"/>
      <c r="J221" s="23"/>
    </row>
    <row r="222" spans="1:10" s="26" customFormat="1">
      <c r="A222" s="7" t="s">
        <v>19</v>
      </c>
      <c r="B222" s="29"/>
      <c r="C222" s="28"/>
      <c r="D222" s="30"/>
      <c r="E222" s="30"/>
      <c r="F222" s="5" t="e">
        <f t="shared" ref="F222:F248" si="30">+((D222/E222)-1)*-1</f>
        <v>#DIV/0!</v>
      </c>
      <c r="G222" s="30"/>
      <c r="H222" s="39"/>
      <c r="I222" s="4" t="e">
        <f t="shared" ref="I222:I275" si="31">+((G222/H222)-1)*-1</f>
        <v>#DIV/0!</v>
      </c>
      <c r="J222" s="23">
        <f t="shared" ref="J222" si="32">+D222-G222</f>
        <v>0</v>
      </c>
    </row>
    <row r="223" spans="1:10" s="26" customFormat="1">
      <c r="A223" s="7" t="s">
        <v>20</v>
      </c>
      <c r="B223" s="29">
        <v>7501023310037</v>
      </c>
      <c r="C223" s="28" t="s">
        <v>279</v>
      </c>
      <c r="D223" s="30">
        <v>13.78</v>
      </c>
      <c r="E223" s="30">
        <v>16.8</v>
      </c>
      <c r="F223" s="5">
        <f t="shared" si="30"/>
        <v>0.17976190476190479</v>
      </c>
      <c r="G223" s="30">
        <v>12.62</v>
      </c>
      <c r="H223" s="39">
        <v>14.5</v>
      </c>
      <c r="I223" s="4">
        <f t="shared" si="31"/>
        <v>0.12965517241379321</v>
      </c>
      <c r="J223" s="23"/>
    </row>
    <row r="224" spans="1:10" s="26" customFormat="1">
      <c r="A224" s="7"/>
      <c r="B224" s="29">
        <v>7501023311034</v>
      </c>
      <c r="C224" s="28" t="s">
        <v>280</v>
      </c>
      <c r="D224" s="30">
        <v>16.89</v>
      </c>
      <c r="E224" s="30">
        <v>20.6</v>
      </c>
      <c r="F224" s="5">
        <f t="shared" si="30"/>
        <v>0.18009708737864083</v>
      </c>
      <c r="G224" s="30">
        <v>15.92</v>
      </c>
      <c r="H224" s="39">
        <v>18.5</v>
      </c>
      <c r="I224" s="4">
        <f t="shared" si="31"/>
        <v>0.13945945945945948</v>
      </c>
      <c r="J224" s="23"/>
    </row>
    <row r="225" spans="1:10" s="26" customFormat="1">
      <c r="A225" s="25"/>
      <c r="B225" s="34">
        <v>7501023315032</v>
      </c>
      <c r="C225" s="35" t="s">
        <v>281</v>
      </c>
      <c r="D225" s="30">
        <v>15.5</v>
      </c>
      <c r="E225" s="33">
        <v>18.899999999999999</v>
      </c>
      <c r="F225" s="5">
        <f t="shared" si="30"/>
        <v>0.17989417989417988</v>
      </c>
      <c r="G225" s="33">
        <v>14.3</v>
      </c>
      <c r="H225" s="39">
        <v>16.5</v>
      </c>
      <c r="I225" s="4">
        <f t="shared" si="31"/>
        <v>0.1333333333333333</v>
      </c>
      <c r="J225" s="23"/>
    </row>
    <row r="226" spans="1:10" s="26" customFormat="1">
      <c r="A226" s="7" t="s">
        <v>21</v>
      </c>
      <c r="B226" s="29"/>
      <c r="C226" s="28"/>
      <c r="D226" s="30"/>
      <c r="E226" s="30"/>
      <c r="F226" s="5" t="e">
        <f t="shared" si="30"/>
        <v>#DIV/0!</v>
      </c>
      <c r="G226" s="30"/>
      <c r="H226" s="39"/>
      <c r="I226" s="4" t="e">
        <f t="shared" si="31"/>
        <v>#DIV/0!</v>
      </c>
      <c r="J226" s="23">
        <f t="shared" ref="J226" si="33">+D226-G226</f>
        <v>0</v>
      </c>
    </row>
    <row r="227" spans="1:10" s="26" customFormat="1">
      <c r="A227" s="7" t="s">
        <v>39</v>
      </c>
      <c r="B227" s="29">
        <v>7501045404400</v>
      </c>
      <c r="C227" s="28" t="s">
        <v>213</v>
      </c>
      <c r="D227" s="30">
        <v>11.25</v>
      </c>
      <c r="E227" s="30">
        <v>13.2</v>
      </c>
      <c r="F227" s="5">
        <f t="shared" si="30"/>
        <v>0.14772727272727271</v>
      </c>
      <c r="G227" s="30">
        <v>10.67</v>
      </c>
      <c r="H227" s="39">
        <v>11.9</v>
      </c>
      <c r="I227" s="4">
        <f t="shared" si="31"/>
        <v>0.1033613445378152</v>
      </c>
      <c r="J227" s="23"/>
    </row>
    <row r="228" spans="1:10" s="26" customFormat="1">
      <c r="A228" s="25"/>
      <c r="B228" s="34">
        <v>7501045404417</v>
      </c>
      <c r="C228" s="35" t="s">
        <v>214</v>
      </c>
      <c r="D228" s="33">
        <v>11.25</v>
      </c>
      <c r="E228" s="33">
        <v>13.2</v>
      </c>
      <c r="F228" s="5">
        <f t="shared" si="30"/>
        <v>0.14772727272727271</v>
      </c>
      <c r="G228" s="33">
        <v>10.67</v>
      </c>
      <c r="H228" s="38">
        <v>11.9</v>
      </c>
      <c r="I228" s="4">
        <f t="shared" si="31"/>
        <v>0.1033613445378152</v>
      </c>
      <c r="J228" s="23"/>
    </row>
    <row r="229" spans="1:10" s="26" customFormat="1">
      <c r="A229" s="25"/>
      <c r="B229" s="34">
        <v>7501045403908</v>
      </c>
      <c r="C229" s="35" t="s">
        <v>282</v>
      </c>
      <c r="D229" s="33">
        <v>17.68</v>
      </c>
      <c r="E229" s="33">
        <v>20.8</v>
      </c>
      <c r="F229" s="5">
        <f t="shared" si="30"/>
        <v>0.15000000000000002</v>
      </c>
      <c r="G229" s="33">
        <v>16.940000000000001</v>
      </c>
      <c r="H229" s="38">
        <v>19.5</v>
      </c>
      <c r="I229" s="4">
        <f t="shared" si="31"/>
        <v>0.13128205128205117</v>
      </c>
      <c r="J229" s="23"/>
    </row>
    <row r="230" spans="1:10" s="26" customFormat="1">
      <c r="A230" s="7"/>
      <c r="B230" s="29">
        <v>7501045403915</v>
      </c>
      <c r="C230" s="28" t="s">
        <v>283</v>
      </c>
      <c r="D230" s="30">
        <v>17.68</v>
      </c>
      <c r="E230" s="30">
        <v>20.8</v>
      </c>
      <c r="F230" s="5">
        <f t="shared" si="30"/>
        <v>0.15000000000000002</v>
      </c>
      <c r="G230" s="30">
        <v>16.940000000000001</v>
      </c>
      <c r="H230" s="39">
        <v>19.5</v>
      </c>
      <c r="I230" s="4">
        <f t="shared" si="31"/>
        <v>0.13128205128205117</v>
      </c>
      <c r="J230" s="23"/>
    </row>
    <row r="231" spans="1:10" s="26" customFormat="1">
      <c r="A231" s="7" t="s">
        <v>22</v>
      </c>
      <c r="B231" s="29">
        <v>7509546052977</v>
      </c>
      <c r="C231" s="28" t="s">
        <v>284</v>
      </c>
      <c r="D231" s="30">
        <v>40.119999999999997</v>
      </c>
      <c r="E231" s="30">
        <v>47.2</v>
      </c>
      <c r="F231" s="5">
        <f t="shared" si="30"/>
        <v>0.15000000000000013</v>
      </c>
      <c r="G231" s="30">
        <f>22.62*1.16</f>
        <v>26.2392</v>
      </c>
      <c r="H231" s="39">
        <v>29.9</v>
      </c>
      <c r="I231" s="4">
        <f t="shared" si="31"/>
        <v>0.12243478260869556</v>
      </c>
      <c r="J231" s="23">
        <f t="shared" ref="J231" si="34">+D231-G231</f>
        <v>13.880799999999997</v>
      </c>
    </row>
    <row r="232" spans="1:10" s="26" customFormat="1">
      <c r="A232" s="25"/>
      <c r="B232" s="34">
        <v>7501025423827</v>
      </c>
      <c r="C232" s="35" t="s">
        <v>285</v>
      </c>
      <c r="D232" s="33">
        <f>19.34*1.16</f>
        <v>22.434399999999997</v>
      </c>
      <c r="E232" s="33">
        <v>27.9</v>
      </c>
      <c r="F232" s="5">
        <f t="shared" si="30"/>
        <v>0.19589964157706097</v>
      </c>
      <c r="G232" s="33">
        <v>17.010000000000002</v>
      </c>
      <c r="H232" s="38">
        <v>18.899999999999999</v>
      </c>
      <c r="I232" s="4">
        <f t="shared" si="31"/>
        <v>9.9999999999999867E-2</v>
      </c>
      <c r="J232" s="23">
        <f>+D232-G232</f>
        <v>5.424399999999995</v>
      </c>
    </row>
    <row r="233" spans="1:10" s="26" customFormat="1">
      <c r="A233" s="25"/>
      <c r="B233" s="34">
        <v>7501025423841</v>
      </c>
      <c r="C233" s="35" t="s">
        <v>286</v>
      </c>
      <c r="D233" s="33">
        <f t="shared" ref="D233:D235" si="35">19.34*1.16</f>
        <v>22.434399999999997</v>
      </c>
      <c r="E233" s="33">
        <v>27.9</v>
      </c>
      <c r="F233" s="5">
        <f t="shared" si="30"/>
        <v>0.19589964157706097</v>
      </c>
      <c r="G233" s="33">
        <v>17.010000000000002</v>
      </c>
      <c r="H233" s="38">
        <v>18.899999999999999</v>
      </c>
      <c r="I233" s="4">
        <f t="shared" si="31"/>
        <v>9.9999999999999867E-2</v>
      </c>
      <c r="J233" s="23">
        <f t="shared" ref="J233:J236" si="36">+D233-G233</f>
        <v>5.424399999999995</v>
      </c>
    </row>
    <row r="234" spans="1:10" s="26" customFormat="1">
      <c r="A234" s="25"/>
      <c r="B234" s="34">
        <v>7501025423872</v>
      </c>
      <c r="C234" s="35" t="s">
        <v>287</v>
      </c>
      <c r="D234" s="33">
        <f t="shared" si="35"/>
        <v>22.434399999999997</v>
      </c>
      <c r="E234" s="33">
        <v>27.9</v>
      </c>
      <c r="F234" s="5">
        <f t="shared" si="30"/>
        <v>0.19589964157706097</v>
      </c>
      <c r="G234" s="33">
        <v>17.010000000000002</v>
      </c>
      <c r="H234" s="38">
        <v>18.899999999999999</v>
      </c>
      <c r="I234" s="4">
        <f t="shared" si="31"/>
        <v>9.9999999999999867E-2</v>
      </c>
      <c r="J234" s="23">
        <f t="shared" si="36"/>
        <v>5.424399999999995</v>
      </c>
    </row>
    <row r="235" spans="1:10" s="26" customFormat="1">
      <c r="A235" s="25"/>
      <c r="B235" s="34">
        <v>7501025423896</v>
      </c>
      <c r="C235" s="35" t="s">
        <v>288</v>
      </c>
      <c r="D235" s="33">
        <f t="shared" si="35"/>
        <v>22.434399999999997</v>
      </c>
      <c r="E235" s="33">
        <v>27.9</v>
      </c>
      <c r="F235" s="5">
        <f t="shared" si="30"/>
        <v>0.19589964157706097</v>
      </c>
      <c r="G235" s="33">
        <v>17.010000000000002</v>
      </c>
      <c r="H235" s="38">
        <v>18.899999999999999</v>
      </c>
      <c r="I235" s="4">
        <f t="shared" si="31"/>
        <v>9.9999999999999867E-2</v>
      </c>
      <c r="J235" s="23">
        <f t="shared" si="36"/>
        <v>5.424399999999995</v>
      </c>
    </row>
    <row r="236" spans="1:10" s="26" customFormat="1">
      <c r="A236" s="7" t="s">
        <v>23</v>
      </c>
      <c r="B236" s="29"/>
      <c r="C236" s="28"/>
      <c r="D236" s="30"/>
      <c r="E236" s="30"/>
      <c r="F236" s="5" t="e">
        <f t="shared" si="30"/>
        <v>#DIV/0!</v>
      </c>
      <c r="G236" s="30"/>
      <c r="H236" s="39"/>
      <c r="I236" s="4" t="e">
        <f t="shared" si="31"/>
        <v>#DIV/0!</v>
      </c>
      <c r="J236" s="23">
        <f t="shared" si="36"/>
        <v>0</v>
      </c>
    </row>
    <row r="237" spans="1:10" s="26" customFormat="1">
      <c r="A237" s="7" t="s">
        <v>24</v>
      </c>
      <c r="B237" s="34"/>
      <c r="C237" s="35"/>
      <c r="D237" s="33"/>
      <c r="E237" s="33"/>
      <c r="F237" s="5" t="e">
        <f t="shared" si="30"/>
        <v>#DIV/0!</v>
      </c>
      <c r="G237" s="33"/>
      <c r="H237" s="38"/>
      <c r="I237" s="4" t="e">
        <f t="shared" si="31"/>
        <v>#DIV/0!</v>
      </c>
      <c r="J237" s="23">
        <f>+D237-G237</f>
        <v>0</v>
      </c>
    </row>
    <row r="238" spans="1:10" s="26" customFormat="1">
      <c r="A238" s="25"/>
      <c r="B238" s="34"/>
      <c r="C238" s="35"/>
      <c r="D238" s="33"/>
      <c r="E238" s="33"/>
      <c r="F238" s="5" t="e">
        <f t="shared" si="30"/>
        <v>#DIV/0!</v>
      </c>
      <c r="G238" s="33"/>
      <c r="H238" s="38"/>
      <c r="I238" s="4" t="e">
        <f t="shared" si="31"/>
        <v>#DIV/0!</v>
      </c>
      <c r="J238" s="23">
        <f t="shared" ref="J238:J239" si="37">+D238-G238</f>
        <v>0</v>
      </c>
    </row>
    <row r="239" spans="1:10" s="26" customFormat="1">
      <c r="A239" s="7"/>
      <c r="B239" s="29"/>
      <c r="C239" s="28"/>
      <c r="D239" s="30"/>
      <c r="E239" s="30"/>
      <c r="F239" s="5" t="e">
        <f t="shared" si="30"/>
        <v>#DIV/0!</v>
      </c>
      <c r="G239" s="33"/>
      <c r="H239" s="38"/>
      <c r="I239" s="4" t="e">
        <f t="shared" si="31"/>
        <v>#DIV/0!</v>
      </c>
      <c r="J239" s="23">
        <f t="shared" si="37"/>
        <v>0</v>
      </c>
    </row>
    <row r="240" spans="1:10" s="26" customFormat="1">
      <c r="A240" s="7" t="s">
        <v>25</v>
      </c>
      <c r="B240" s="29">
        <v>7500478018192</v>
      </c>
      <c r="C240" s="28" t="s">
        <v>237</v>
      </c>
      <c r="D240" s="30">
        <v>39.83</v>
      </c>
      <c r="E240" s="30">
        <v>45.3</v>
      </c>
      <c r="F240" s="5">
        <f t="shared" si="30"/>
        <v>0.12075055187637962</v>
      </c>
      <c r="G240" s="30">
        <v>36.85</v>
      </c>
      <c r="H240" s="39">
        <v>41.9</v>
      </c>
      <c r="I240" s="4">
        <f t="shared" si="31"/>
        <v>0.12052505966587101</v>
      </c>
      <c r="J240" s="23"/>
    </row>
    <row r="241" spans="1:10" s="26" customFormat="1">
      <c r="A241" s="7"/>
      <c r="B241" s="29">
        <v>7501000642014</v>
      </c>
      <c r="C241" s="28" t="s">
        <v>291</v>
      </c>
      <c r="D241" s="30">
        <f>43.2099*1.08</f>
        <v>46.666691999999998</v>
      </c>
      <c r="E241" s="30">
        <v>56.2</v>
      </c>
      <c r="F241" s="5">
        <f t="shared" si="30"/>
        <v>0.16963181494661927</v>
      </c>
      <c r="G241" s="30">
        <v>43.25</v>
      </c>
      <c r="H241" s="39">
        <v>49.9</v>
      </c>
      <c r="I241" s="4">
        <f t="shared" si="31"/>
        <v>0.13326653306613223</v>
      </c>
      <c r="J241" s="23"/>
    </row>
    <row r="242" spans="1:10" s="26" customFormat="1">
      <c r="A242" s="25"/>
      <c r="B242" s="34">
        <v>7501000641499</v>
      </c>
      <c r="C242" s="35" t="s">
        <v>292</v>
      </c>
      <c r="D242" s="33">
        <f>40*1.08</f>
        <v>43.2</v>
      </c>
      <c r="E242" s="33">
        <v>54.7</v>
      </c>
      <c r="F242" s="5">
        <f t="shared" si="30"/>
        <v>0.21023765996343691</v>
      </c>
      <c r="G242" s="33">
        <v>43.2</v>
      </c>
      <c r="H242" s="38">
        <v>49.9</v>
      </c>
      <c r="I242" s="4">
        <f t="shared" si="31"/>
        <v>0.13426853707414821</v>
      </c>
      <c r="J242" s="23"/>
    </row>
    <row r="243" spans="1:10" s="26" customFormat="1">
      <c r="A243" s="7" t="s">
        <v>26</v>
      </c>
      <c r="B243" s="29"/>
      <c r="C243" s="28"/>
      <c r="D243" s="30"/>
      <c r="E243" s="30"/>
      <c r="F243" s="5" t="e">
        <f t="shared" si="30"/>
        <v>#DIV/0!</v>
      </c>
      <c r="G243" s="30"/>
      <c r="H243" s="39"/>
      <c r="I243" s="4" t="e">
        <f t="shared" si="31"/>
        <v>#DIV/0!</v>
      </c>
      <c r="J243" s="23"/>
    </row>
    <row r="244" spans="1:10" s="26" customFormat="1">
      <c r="A244" s="7" t="s">
        <v>27</v>
      </c>
      <c r="B244" s="29"/>
      <c r="C244" s="28"/>
      <c r="D244" s="30"/>
      <c r="E244" s="30"/>
      <c r="F244" s="5" t="e">
        <f t="shared" si="30"/>
        <v>#DIV/0!</v>
      </c>
      <c r="G244" s="30"/>
      <c r="H244" s="39"/>
      <c r="I244" s="4" t="e">
        <f t="shared" si="31"/>
        <v>#DIV/0!</v>
      </c>
      <c r="J244" s="23"/>
    </row>
    <row r="245" spans="1:10" s="26" customFormat="1">
      <c r="A245" s="7" t="s">
        <v>28</v>
      </c>
      <c r="B245" s="29">
        <v>7501761869156</v>
      </c>
      <c r="C245" s="28" t="s">
        <v>290</v>
      </c>
      <c r="D245" s="30">
        <v>29.5</v>
      </c>
      <c r="E245" s="30">
        <v>35.6</v>
      </c>
      <c r="F245" s="5">
        <f t="shared" si="30"/>
        <v>0.1713483146067416</v>
      </c>
      <c r="G245" s="30">
        <v>26.55</v>
      </c>
      <c r="H245" s="39">
        <v>29.9</v>
      </c>
      <c r="I245" s="4">
        <f t="shared" si="31"/>
        <v>0.11204013377926414</v>
      </c>
      <c r="J245" s="23"/>
    </row>
    <row r="246" spans="1:10" s="26" customFormat="1">
      <c r="A246" s="7" t="s">
        <v>29</v>
      </c>
      <c r="B246" s="29"/>
      <c r="C246" s="28"/>
      <c r="D246" s="30"/>
      <c r="E246" s="30"/>
      <c r="F246" s="5" t="e">
        <f t="shared" si="30"/>
        <v>#DIV/0!</v>
      </c>
      <c r="G246" s="30"/>
      <c r="H246" s="39"/>
      <c r="I246" s="4" t="e">
        <f t="shared" si="31"/>
        <v>#DIV/0!</v>
      </c>
      <c r="J246" s="23">
        <f>+D246-G246</f>
        <v>0</v>
      </c>
    </row>
    <row r="247" spans="1:10" s="26" customFormat="1">
      <c r="A247" s="7" t="s">
        <v>30</v>
      </c>
      <c r="B247" s="29"/>
      <c r="C247" s="28"/>
      <c r="D247" s="30"/>
      <c r="E247" s="30"/>
      <c r="F247" s="5" t="e">
        <f t="shared" si="30"/>
        <v>#DIV/0!</v>
      </c>
      <c r="G247" s="30"/>
      <c r="H247" s="39"/>
      <c r="I247" s="4" t="e">
        <f t="shared" si="31"/>
        <v>#DIV/0!</v>
      </c>
      <c r="J247" s="23">
        <f>+D247-G247</f>
        <v>0</v>
      </c>
    </row>
    <row r="248" spans="1:10" s="26" customFormat="1">
      <c r="A248" s="7" t="s">
        <v>38</v>
      </c>
      <c r="B248" s="29"/>
      <c r="C248" s="28"/>
      <c r="D248" s="30"/>
      <c r="E248" s="30"/>
      <c r="F248" s="5" t="e">
        <f t="shared" si="30"/>
        <v>#DIV/0!</v>
      </c>
      <c r="G248" s="30"/>
      <c r="H248" s="39"/>
      <c r="I248" s="4" t="e">
        <f t="shared" si="31"/>
        <v>#DIV/0!</v>
      </c>
      <c r="J248" s="23">
        <f>+D248-G248</f>
        <v>0</v>
      </c>
    </row>
    <row r="249" spans="1:10" s="26" customFormat="1">
      <c r="A249" s="7"/>
      <c r="B249" s="29">
        <v>7501025431457</v>
      </c>
      <c r="C249" s="28" t="s">
        <v>49</v>
      </c>
      <c r="D249" s="30">
        <v>11.484</v>
      </c>
      <c r="E249" s="30">
        <v>14.4</v>
      </c>
      <c r="F249" s="5">
        <v>0.20250000000000001</v>
      </c>
      <c r="G249" s="30">
        <v>10.71</v>
      </c>
      <c r="H249" s="39">
        <v>11.9</v>
      </c>
      <c r="I249" s="4">
        <f t="shared" si="31"/>
        <v>9.9999999999999978E-2</v>
      </c>
      <c r="J249" s="23">
        <f t="shared" ref="J249:J254" si="38">+D249-G249</f>
        <v>0.77399999999999913</v>
      </c>
    </row>
    <row r="250" spans="1:10" s="26" customFormat="1">
      <c r="A250" s="7"/>
      <c r="B250" s="29">
        <v>7501025440282</v>
      </c>
      <c r="C250" s="28" t="s">
        <v>46</v>
      </c>
      <c r="D250" s="30">
        <v>11.484</v>
      </c>
      <c r="E250" s="30">
        <v>14.4</v>
      </c>
      <c r="F250" s="5">
        <v>0.20250000000000001</v>
      </c>
      <c r="G250" s="30">
        <v>10.71</v>
      </c>
      <c r="H250" s="39">
        <v>11.9</v>
      </c>
      <c r="I250" s="4">
        <f t="shared" si="31"/>
        <v>9.9999999999999978E-2</v>
      </c>
      <c r="J250" s="23">
        <f t="shared" si="38"/>
        <v>0.77399999999999913</v>
      </c>
    </row>
    <row r="251" spans="1:10" s="26" customFormat="1">
      <c r="A251" s="7"/>
      <c r="B251" s="29">
        <v>7501025440299</v>
      </c>
      <c r="C251" s="28" t="s">
        <v>47</v>
      </c>
      <c r="D251" s="30">
        <v>11.484</v>
      </c>
      <c r="E251" s="30">
        <v>14.4</v>
      </c>
      <c r="F251" s="5">
        <v>0.20250000000000001</v>
      </c>
      <c r="G251" s="30">
        <v>10.71</v>
      </c>
      <c r="H251" s="39">
        <v>11.9</v>
      </c>
      <c r="I251" s="4">
        <f t="shared" si="31"/>
        <v>9.9999999999999978E-2</v>
      </c>
      <c r="J251" s="23">
        <f t="shared" si="38"/>
        <v>0.77399999999999913</v>
      </c>
    </row>
    <row r="252" spans="1:10" s="26" customFormat="1">
      <c r="A252" s="7"/>
      <c r="B252" s="29">
        <v>7501025440305</v>
      </c>
      <c r="C252" s="28" t="s">
        <v>48</v>
      </c>
      <c r="D252" s="30">
        <v>11.484</v>
      </c>
      <c r="E252" s="30">
        <v>14.4</v>
      </c>
      <c r="F252" s="5">
        <v>0.20250000000000001</v>
      </c>
      <c r="G252" s="30">
        <v>10.71</v>
      </c>
      <c r="H252" s="39">
        <v>11.9</v>
      </c>
      <c r="I252" s="4">
        <f t="shared" si="31"/>
        <v>9.9999999999999978E-2</v>
      </c>
      <c r="J252" s="23">
        <f t="shared" si="38"/>
        <v>0.77399999999999913</v>
      </c>
    </row>
    <row r="253" spans="1:10" s="26" customFormat="1">
      <c r="A253" s="25"/>
      <c r="B253" s="34" t="s">
        <v>185</v>
      </c>
      <c r="C253" s="35" t="s">
        <v>186</v>
      </c>
      <c r="D253" s="33">
        <v>11.484</v>
      </c>
      <c r="E253" s="33">
        <v>14.4</v>
      </c>
      <c r="F253" s="5">
        <v>0.20250000000000001</v>
      </c>
      <c r="G253" s="30">
        <v>10.71</v>
      </c>
      <c r="H253" s="39">
        <v>11.9</v>
      </c>
      <c r="I253" s="4">
        <f t="shared" si="31"/>
        <v>9.9999999999999978E-2</v>
      </c>
      <c r="J253" s="23">
        <f t="shared" si="38"/>
        <v>0.77399999999999913</v>
      </c>
    </row>
    <row r="254" spans="1:10" s="26" customFormat="1">
      <c r="A254" s="25"/>
      <c r="B254" s="34"/>
      <c r="C254" s="35"/>
      <c r="D254" s="33"/>
      <c r="E254" s="33"/>
      <c r="F254" s="5" t="e">
        <f t="shared" ref="F254:F275" si="39">+((D254/E254)-1)*-1</f>
        <v>#DIV/0!</v>
      </c>
      <c r="G254" s="33"/>
      <c r="H254" s="38"/>
      <c r="I254" s="4" t="e">
        <f t="shared" si="31"/>
        <v>#DIV/0!</v>
      </c>
      <c r="J254" s="23">
        <f t="shared" si="38"/>
        <v>0</v>
      </c>
    </row>
    <row r="255" spans="1:10" s="26" customFormat="1">
      <c r="A255" s="7" t="s">
        <v>31</v>
      </c>
      <c r="B255" s="29" t="s">
        <v>205</v>
      </c>
      <c r="C255" s="28" t="s">
        <v>206</v>
      </c>
      <c r="D255" s="30">
        <f>58.24394161344*1.16</f>
        <v>67.562972271590397</v>
      </c>
      <c r="E255" s="30">
        <v>82.8</v>
      </c>
      <c r="F255" s="5">
        <f t="shared" si="39"/>
        <v>0.18402207401460868</v>
      </c>
      <c r="G255" s="30">
        <f>+D255*0.95</f>
        <v>64.18482365801087</v>
      </c>
      <c r="H255" s="39">
        <v>72.900000000000006</v>
      </c>
      <c r="I255" s="4">
        <f t="shared" si="31"/>
        <v>0.11954974406020757</v>
      </c>
      <c r="J255" s="23"/>
    </row>
    <row r="256" spans="1:10" s="26" customFormat="1">
      <c r="A256" s="25"/>
      <c r="B256" s="34" t="s">
        <v>207</v>
      </c>
      <c r="C256" s="35" t="s">
        <v>208</v>
      </c>
      <c r="D256" s="33">
        <f>72.71200113408*1.16</f>
        <v>84.345921315532792</v>
      </c>
      <c r="E256" s="33">
        <v>103.4</v>
      </c>
      <c r="F256" s="5">
        <f t="shared" si="39"/>
        <v>0.18427542248034057</v>
      </c>
      <c r="G256" s="30">
        <f t="shared" ref="G256:G258" si="40">+D256*0.95</f>
        <v>80.128625249756155</v>
      </c>
      <c r="H256" s="39">
        <v>91.9</v>
      </c>
      <c r="I256" s="4">
        <f t="shared" si="31"/>
        <v>0.12808895266859466</v>
      </c>
      <c r="J256" s="23"/>
    </row>
    <row r="257" spans="1:10" s="26" customFormat="1">
      <c r="A257" s="7"/>
      <c r="B257" s="29">
        <v>7502247330054</v>
      </c>
      <c r="C257" s="28" t="s">
        <v>209</v>
      </c>
      <c r="D257" s="33">
        <f>83.371842579312*1.16</f>
        <v>96.711337392001909</v>
      </c>
      <c r="E257" s="57">
        <v>118.5</v>
      </c>
      <c r="F257" s="5">
        <f t="shared" si="39"/>
        <v>0.18387057053162947</v>
      </c>
      <c r="G257" s="30">
        <f t="shared" si="40"/>
        <v>91.875770522401808</v>
      </c>
      <c r="H257" s="39">
        <v>104.9</v>
      </c>
      <c r="I257" s="4">
        <f t="shared" si="31"/>
        <v>0.12415852695517826</v>
      </c>
      <c r="J257" s="23"/>
    </row>
    <row r="258" spans="1:10" s="26" customFormat="1">
      <c r="A258" s="7"/>
      <c r="B258" s="29" t="s">
        <v>210</v>
      </c>
      <c r="C258" s="28" t="s">
        <v>211</v>
      </c>
      <c r="D258" s="33">
        <f>87.557126556672*1.16</f>
        <v>101.56626680573952</v>
      </c>
      <c r="E258" s="33">
        <v>124.5</v>
      </c>
      <c r="F258" s="5">
        <f t="shared" si="39"/>
        <v>0.18420669232337739</v>
      </c>
      <c r="G258" s="30">
        <f t="shared" si="40"/>
        <v>96.487953465452534</v>
      </c>
      <c r="H258" s="39">
        <v>109.9</v>
      </c>
      <c r="I258" s="4">
        <f t="shared" si="31"/>
        <v>0.12203863998678322</v>
      </c>
      <c r="J258" s="23"/>
    </row>
    <row r="259" spans="1:10" s="26" customFormat="1">
      <c r="A259" s="7"/>
      <c r="B259" s="29"/>
      <c r="C259" s="28"/>
      <c r="D259" s="33"/>
      <c r="E259" s="33"/>
      <c r="F259" s="5" t="e">
        <f t="shared" si="39"/>
        <v>#DIV/0!</v>
      </c>
      <c r="G259" s="33"/>
      <c r="H259" s="38"/>
      <c r="I259" s="4" t="e">
        <f t="shared" si="31"/>
        <v>#DIV/0!</v>
      </c>
      <c r="J259" s="23"/>
    </row>
    <row r="260" spans="1:10" s="26" customFormat="1">
      <c r="A260" s="7" t="s">
        <v>167</v>
      </c>
      <c r="B260" s="29" t="s">
        <v>40</v>
      </c>
      <c r="C260" s="28" t="s">
        <v>57</v>
      </c>
      <c r="D260" s="30">
        <v>23.1</v>
      </c>
      <c r="E260" s="30">
        <v>27.2</v>
      </c>
      <c r="F260" s="5">
        <f t="shared" si="39"/>
        <v>0.15073529411764697</v>
      </c>
      <c r="G260" s="30">
        <v>20.7</v>
      </c>
      <c r="H260" s="39">
        <v>23.9</v>
      </c>
      <c r="I260" s="4">
        <f t="shared" si="31"/>
        <v>0.13389121338912136</v>
      </c>
      <c r="J260" s="23"/>
    </row>
    <row r="261" spans="1:10" s="26" customFormat="1">
      <c r="A261" s="25"/>
      <c r="B261" s="34">
        <v>7502247338845</v>
      </c>
      <c r="C261" s="35" t="s">
        <v>212</v>
      </c>
      <c r="D261" s="33">
        <v>7.98</v>
      </c>
      <c r="E261" s="33">
        <v>9.4</v>
      </c>
      <c r="F261" s="5">
        <f t="shared" si="39"/>
        <v>0.15106382978723398</v>
      </c>
      <c r="G261" s="33">
        <f>5.7*1.16</f>
        <v>6.6120000000000001</v>
      </c>
      <c r="H261" s="38">
        <v>7.5</v>
      </c>
      <c r="I261" s="4">
        <f t="shared" si="31"/>
        <v>0.11839999999999995</v>
      </c>
      <c r="J261" s="23"/>
    </row>
    <row r="262" spans="1:10" s="26" customFormat="1">
      <c r="A262" s="7"/>
      <c r="B262" s="29">
        <v>7502247335677</v>
      </c>
      <c r="C262" s="28" t="s">
        <v>59</v>
      </c>
      <c r="D262" s="30">
        <v>18.45</v>
      </c>
      <c r="E262" s="30">
        <v>21.7</v>
      </c>
      <c r="F262" s="5">
        <f t="shared" si="39"/>
        <v>0.14976958525345618</v>
      </c>
      <c r="G262" s="30">
        <v>14.72</v>
      </c>
      <c r="H262" s="39">
        <v>16.899999999999999</v>
      </c>
      <c r="I262" s="4">
        <f t="shared" si="31"/>
        <v>0.12899408284023661</v>
      </c>
      <c r="J262" s="23"/>
    </row>
    <row r="263" spans="1:10" s="26" customFormat="1">
      <c r="A263" s="7"/>
      <c r="B263" s="29" t="s">
        <v>41</v>
      </c>
      <c r="C263" s="28" t="s">
        <v>58</v>
      </c>
      <c r="D263" s="30">
        <v>23.1</v>
      </c>
      <c r="E263" s="30">
        <v>27.2</v>
      </c>
      <c r="F263" s="5">
        <f t="shared" si="39"/>
        <v>0.15073529411764697</v>
      </c>
      <c r="G263" s="30">
        <v>20.71</v>
      </c>
      <c r="H263" s="39">
        <v>23.9</v>
      </c>
      <c r="I263" s="4">
        <f t="shared" si="31"/>
        <v>0.13347280334728029</v>
      </c>
      <c r="J263" s="23"/>
    </row>
    <row r="264" spans="1:10" s="26" customFormat="1">
      <c r="A264" s="7"/>
      <c r="B264" s="29">
        <v>7501943412217</v>
      </c>
      <c r="C264" s="28" t="s">
        <v>187</v>
      </c>
      <c r="D264" s="30">
        <v>19.21</v>
      </c>
      <c r="E264" s="30">
        <v>22.6</v>
      </c>
      <c r="F264" s="5">
        <f t="shared" si="39"/>
        <v>0.15000000000000002</v>
      </c>
      <c r="G264" s="30">
        <f>15.61*1.16</f>
        <v>18.107599999999998</v>
      </c>
      <c r="H264" s="39">
        <v>20.9</v>
      </c>
      <c r="I264" s="4">
        <f t="shared" si="31"/>
        <v>0.1336076555023924</v>
      </c>
      <c r="J264" s="23"/>
    </row>
    <row r="265" spans="1:10" s="26" customFormat="1">
      <c r="A265" s="25"/>
      <c r="B265" s="34">
        <v>7501036619233</v>
      </c>
      <c r="C265" s="35" t="s">
        <v>203</v>
      </c>
      <c r="D265" s="33">
        <f>27.948*1.16</f>
        <v>32.41968</v>
      </c>
      <c r="E265" s="33">
        <v>38.200000000000003</v>
      </c>
      <c r="F265" s="5">
        <f t="shared" si="39"/>
        <v>0.15131727748691104</v>
      </c>
      <c r="G265" s="33">
        <f>17.32*1.16</f>
        <v>20.091200000000001</v>
      </c>
      <c r="H265" s="38">
        <v>23.9</v>
      </c>
      <c r="I265" s="4">
        <f t="shared" si="31"/>
        <v>0.15936401673640155</v>
      </c>
      <c r="J265" s="23"/>
    </row>
    <row r="266" spans="1:10" s="26" customFormat="1">
      <c r="A266" s="7" t="s">
        <v>32</v>
      </c>
      <c r="B266" s="55" t="s">
        <v>88</v>
      </c>
      <c r="C266" s="35" t="s">
        <v>89</v>
      </c>
      <c r="D266" s="33">
        <v>18.784099999999999</v>
      </c>
      <c r="E266" s="33">
        <v>23.5</v>
      </c>
      <c r="F266" s="5">
        <f t="shared" si="39"/>
        <v>0.20067659574468089</v>
      </c>
      <c r="G266" s="33">
        <v>17.010000000000002</v>
      </c>
      <c r="H266" s="38">
        <v>18.899999999999999</v>
      </c>
      <c r="I266" s="4">
        <f t="shared" si="31"/>
        <v>9.9999999999999867E-2</v>
      </c>
      <c r="J266" s="23">
        <f>+D266-G266</f>
        <v>1.7740999999999971</v>
      </c>
    </row>
    <row r="267" spans="1:10" s="26" customFormat="1">
      <c r="A267" s="25"/>
      <c r="B267" s="34">
        <v>7501125419010</v>
      </c>
      <c r="C267" s="35" t="s">
        <v>171</v>
      </c>
      <c r="D267" s="33">
        <v>10.33</v>
      </c>
      <c r="E267" s="33">
        <v>11.9</v>
      </c>
      <c r="F267" s="5">
        <f t="shared" si="39"/>
        <v>0.13193277310924367</v>
      </c>
      <c r="G267" s="33">
        <f>+D267-1.6</f>
        <v>8.73</v>
      </c>
      <c r="H267" s="38">
        <v>9.9</v>
      </c>
      <c r="I267" s="4">
        <f t="shared" si="31"/>
        <v>0.11818181818181817</v>
      </c>
      <c r="J267" s="23">
        <f>+D267-G267</f>
        <v>1.5999999999999996</v>
      </c>
    </row>
    <row r="268" spans="1:10" s="26" customFormat="1">
      <c r="A268" s="25"/>
      <c r="B268" s="34">
        <v>7501125419027</v>
      </c>
      <c r="C268" s="35" t="s">
        <v>172</v>
      </c>
      <c r="D268" s="33">
        <v>10.33</v>
      </c>
      <c r="E268" s="33">
        <v>11.9</v>
      </c>
      <c r="F268" s="5">
        <f t="shared" si="39"/>
        <v>0.13193277310924367</v>
      </c>
      <c r="G268" s="33">
        <f t="shared" ref="G268:G269" si="41">+D268-1.6</f>
        <v>8.73</v>
      </c>
      <c r="H268" s="38">
        <v>9.9</v>
      </c>
      <c r="I268" s="4">
        <f t="shared" si="31"/>
        <v>0.11818181818181817</v>
      </c>
      <c r="J268" s="23">
        <f>+D268-G268</f>
        <v>1.5999999999999996</v>
      </c>
    </row>
    <row r="269" spans="1:10" s="26" customFormat="1">
      <c r="A269" s="25"/>
      <c r="B269" s="34">
        <v>7501125419034</v>
      </c>
      <c r="C269" s="35" t="s">
        <v>173</v>
      </c>
      <c r="D269" s="33">
        <v>10.33</v>
      </c>
      <c r="E269" s="33">
        <v>11.9</v>
      </c>
      <c r="F269" s="5">
        <f t="shared" si="39"/>
        <v>0.13193277310924367</v>
      </c>
      <c r="G269" s="33">
        <f t="shared" si="41"/>
        <v>8.73</v>
      </c>
      <c r="H269" s="38">
        <v>9.9</v>
      </c>
      <c r="I269" s="4">
        <f t="shared" si="31"/>
        <v>0.11818181818181817</v>
      </c>
      <c r="J269" s="23">
        <f>+D269-G269</f>
        <v>1.5999999999999996</v>
      </c>
    </row>
    <row r="270" spans="1:10" s="26" customFormat="1">
      <c r="A270" s="25"/>
      <c r="B270" s="34"/>
      <c r="C270" s="35"/>
      <c r="D270" s="33"/>
      <c r="E270" s="33"/>
      <c r="F270" s="5" t="e">
        <f t="shared" si="39"/>
        <v>#DIV/0!</v>
      </c>
      <c r="G270" s="33"/>
      <c r="H270" s="38"/>
      <c r="I270" s="4" t="e">
        <f t="shared" si="31"/>
        <v>#DIV/0!</v>
      </c>
      <c r="J270" s="23"/>
    </row>
    <row r="271" spans="1:10" s="26" customFormat="1">
      <c r="A271" s="7" t="s">
        <v>33</v>
      </c>
      <c r="B271" s="29"/>
      <c r="C271" s="28" t="s">
        <v>289</v>
      </c>
      <c r="D271" s="30">
        <v>4.5049999999999999</v>
      </c>
      <c r="E271" s="30">
        <v>5.4</v>
      </c>
      <c r="F271" s="5">
        <f t="shared" si="39"/>
        <v>0.16574074074074086</v>
      </c>
      <c r="G271" s="30">
        <v>4.0999999999999996</v>
      </c>
      <c r="H271" s="39">
        <v>4.9000000000000004</v>
      </c>
      <c r="I271" s="4">
        <f t="shared" si="31"/>
        <v>0.16326530612244916</v>
      </c>
      <c r="J271" s="23"/>
    </row>
    <row r="272" spans="1:10" s="26" customFormat="1">
      <c r="A272" s="7" t="s">
        <v>34</v>
      </c>
      <c r="B272" s="29"/>
      <c r="C272" s="28"/>
      <c r="D272" s="30"/>
      <c r="E272" s="30"/>
      <c r="F272" s="5" t="e">
        <f t="shared" si="39"/>
        <v>#DIV/0!</v>
      </c>
      <c r="G272" s="30"/>
      <c r="H272" s="39"/>
      <c r="I272" s="4" t="e">
        <f t="shared" si="31"/>
        <v>#DIV/0!</v>
      </c>
      <c r="J272" s="23">
        <f t="shared" ref="J272" si="42">+D272-G272</f>
        <v>0</v>
      </c>
    </row>
    <row r="273" spans="1:10" s="26" customFormat="1">
      <c r="A273" s="7" t="s">
        <v>35</v>
      </c>
      <c r="B273" s="29">
        <v>75014339</v>
      </c>
      <c r="C273" s="28" t="s">
        <v>293</v>
      </c>
      <c r="D273" s="30">
        <v>10.32</v>
      </c>
      <c r="E273" s="30">
        <v>12.9</v>
      </c>
      <c r="F273" s="5">
        <f t="shared" si="39"/>
        <v>0.19999999999999996</v>
      </c>
      <c r="G273" s="30">
        <v>9.8000000000000007</v>
      </c>
      <c r="H273" s="39">
        <v>11.5</v>
      </c>
      <c r="I273" s="4">
        <f t="shared" si="31"/>
        <v>0.14782608695652166</v>
      </c>
      <c r="J273" s="23"/>
    </row>
    <row r="274" spans="1:10" s="26" customFormat="1">
      <c r="A274" s="7" t="s">
        <v>36</v>
      </c>
      <c r="B274" s="29">
        <v>7501006535303</v>
      </c>
      <c r="C274" s="28" t="s">
        <v>236</v>
      </c>
      <c r="D274" s="30">
        <v>14.26</v>
      </c>
      <c r="E274" s="30">
        <v>17.399999999999999</v>
      </c>
      <c r="F274" s="5">
        <f t="shared" si="39"/>
        <v>0.18045977011494252</v>
      </c>
      <c r="G274" s="30">
        <v>13.55</v>
      </c>
      <c r="H274" s="39">
        <v>15.5</v>
      </c>
      <c r="I274" s="4">
        <f t="shared" si="31"/>
        <v>0.12580645161290316</v>
      </c>
      <c r="J274" s="23"/>
    </row>
    <row r="275" spans="1:10" s="26" customFormat="1">
      <c r="A275" s="17" t="s">
        <v>37</v>
      </c>
      <c r="B275" s="14">
        <v>7501006532814</v>
      </c>
      <c r="C275" s="15" t="s">
        <v>294</v>
      </c>
      <c r="D275" s="13">
        <v>8.7899999999999991</v>
      </c>
      <c r="E275" s="13">
        <v>10.7</v>
      </c>
      <c r="F275" s="5">
        <f t="shared" si="39"/>
        <v>0.17850467289719629</v>
      </c>
      <c r="G275" s="30">
        <v>8.35</v>
      </c>
      <c r="H275" s="39">
        <v>9.9</v>
      </c>
      <c r="I275" s="4">
        <f t="shared" si="31"/>
        <v>0.15656565656565669</v>
      </c>
      <c r="J275" s="23"/>
    </row>
    <row r="276" spans="1:10" s="26" customFormat="1">
      <c r="A276" s="7"/>
      <c r="B276" s="29">
        <v>7501045404417</v>
      </c>
      <c r="C276" s="28" t="s">
        <v>214</v>
      </c>
      <c r="D276" s="30">
        <v>10.42</v>
      </c>
      <c r="E276" s="30">
        <v>11.8</v>
      </c>
      <c r="F276" s="5">
        <f t="shared" ref="F276:F278" si="43">+((D276/E276)-1)*-1</f>
        <v>0.11694915254237293</v>
      </c>
      <c r="G276" s="30">
        <v>8.7799999999999994</v>
      </c>
      <c r="H276" s="39">
        <v>9.9</v>
      </c>
      <c r="I276" s="4">
        <f t="shared" ref="I276:I278" si="44">+((G276/H276)-1)*-1</f>
        <v>0.11313131313131319</v>
      </c>
      <c r="J276" s="23">
        <f t="shared" ref="J276:J277" si="45">+D276-G276</f>
        <v>1.6400000000000006</v>
      </c>
    </row>
    <row r="277" spans="1:10" s="26" customFormat="1">
      <c r="A277" s="7" t="s">
        <v>22</v>
      </c>
      <c r="B277" s="29">
        <v>7501026026546</v>
      </c>
      <c r="C277" s="28" t="s">
        <v>215</v>
      </c>
      <c r="D277" s="30">
        <f>28.64*1.16</f>
        <v>33.2224</v>
      </c>
      <c r="E277" s="30">
        <v>38.700000000000003</v>
      </c>
      <c r="F277" s="5">
        <f t="shared" si="43"/>
        <v>0.14154005167958661</v>
      </c>
      <c r="G277" s="30">
        <f>+H277*0.9</f>
        <v>31.41</v>
      </c>
      <c r="H277" s="39">
        <v>34.9</v>
      </c>
      <c r="I277" s="4">
        <f t="shared" si="44"/>
        <v>9.9999999999999978E-2</v>
      </c>
      <c r="J277" s="23">
        <f t="shared" si="45"/>
        <v>1.8124000000000002</v>
      </c>
    </row>
    <row r="278" spans="1:10" s="26" customFormat="1">
      <c r="A278" s="25"/>
      <c r="B278" s="34">
        <v>7501026028007</v>
      </c>
      <c r="C278" s="35" t="s">
        <v>216</v>
      </c>
      <c r="D278" s="33">
        <f>27.14*1.16</f>
        <v>31.482399999999998</v>
      </c>
      <c r="E278" s="33">
        <v>36.6</v>
      </c>
      <c r="F278" s="5">
        <f t="shared" si="43"/>
        <v>0.13982513661202189</v>
      </c>
      <c r="G278" s="33">
        <f>+H278*0.9</f>
        <v>31.41</v>
      </c>
      <c r="H278" s="38">
        <v>34.9</v>
      </c>
      <c r="I278" s="4">
        <f t="shared" si="44"/>
        <v>9.9999999999999978E-2</v>
      </c>
      <c r="J278" s="23"/>
    </row>
    <row r="279" spans="1:10" s="26" customFormat="1">
      <c r="A279" s="25"/>
      <c r="B279" s="34"/>
      <c r="C279" s="35"/>
      <c r="D279" s="33"/>
      <c r="E279" s="33"/>
      <c r="F279" s="40"/>
      <c r="G279" s="33"/>
      <c r="H279" s="38"/>
      <c r="I279" s="42"/>
      <c r="J279" s="23"/>
    </row>
    <row r="280" spans="1:10" s="26" customFormat="1">
      <c r="A280" s="25"/>
      <c r="B280" s="29">
        <v>7500435137287</v>
      </c>
      <c r="C280" s="28" t="s">
        <v>42</v>
      </c>
      <c r="D280" s="30">
        <v>17.921999999999997</v>
      </c>
      <c r="E280" s="30">
        <v>20.9</v>
      </c>
      <c r="F280" s="5">
        <f t="shared" ref="F280:F295" si="46">+((D280/E280)-1)*-1</f>
        <v>0.142488038277512</v>
      </c>
      <c r="G280" s="30">
        <v>16.421999999999997</v>
      </c>
      <c r="H280" s="39">
        <v>18.5</v>
      </c>
      <c r="I280" s="4">
        <f t="shared" ref="I280:I295" si="47">+((G280/H280)-1)*-1</f>
        <v>0.11232432432432449</v>
      </c>
      <c r="J280" s="23">
        <f t="shared" ref="J280:J295" si="48">+D280-G280</f>
        <v>1.5</v>
      </c>
    </row>
    <row r="281" spans="1:10" s="26" customFormat="1">
      <c r="A281" s="7"/>
      <c r="B281" s="29">
        <v>7500435143592</v>
      </c>
      <c r="C281" s="28" t="s">
        <v>51</v>
      </c>
      <c r="D281" s="30">
        <v>24.301999999999996</v>
      </c>
      <c r="E281" s="30">
        <v>26.9</v>
      </c>
      <c r="F281" s="5">
        <f t="shared" si="46"/>
        <v>9.657992565055773E-2</v>
      </c>
      <c r="G281" s="30">
        <v>22.001999999999995</v>
      </c>
      <c r="H281" s="39">
        <v>24.9</v>
      </c>
      <c r="I281" s="4">
        <f t="shared" si="47"/>
        <v>0.1163855421686748</v>
      </c>
      <c r="J281" s="23">
        <f t="shared" si="48"/>
        <v>2.3000000000000007</v>
      </c>
    </row>
    <row r="282" spans="1:10" s="26" customFormat="1">
      <c r="A282" s="7"/>
      <c r="B282" s="29">
        <v>7500435143622</v>
      </c>
      <c r="C282" s="28" t="s">
        <v>143</v>
      </c>
      <c r="D282" s="30">
        <v>24.301999999999996</v>
      </c>
      <c r="E282" s="30">
        <v>26.9</v>
      </c>
      <c r="F282" s="5">
        <f t="shared" si="46"/>
        <v>9.657992565055773E-2</v>
      </c>
      <c r="G282" s="30">
        <v>22.001999999999995</v>
      </c>
      <c r="H282" s="39">
        <v>24.9</v>
      </c>
      <c r="I282" s="4">
        <f t="shared" si="47"/>
        <v>0.1163855421686748</v>
      </c>
      <c r="J282" s="23">
        <f t="shared" si="48"/>
        <v>2.3000000000000007</v>
      </c>
    </row>
    <row r="283" spans="1:10" s="26" customFormat="1">
      <c r="A283" s="7"/>
      <c r="B283" s="29">
        <v>7500435153485</v>
      </c>
      <c r="C283" s="28" t="s">
        <v>142</v>
      </c>
      <c r="D283" s="30">
        <v>24.301999999999996</v>
      </c>
      <c r="E283" s="30">
        <v>26.9</v>
      </c>
      <c r="F283" s="5">
        <f t="shared" si="46"/>
        <v>9.657992565055773E-2</v>
      </c>
      <c r="G283" s="30">
        <v>22.001999999999995</v>
      </c>
      <c r="H283" s="39">
        <v>24.9</v>
      </c>
      <c r="I283" s="4">
        <f t="shared" si="47"/>
        <v>0.1163855421686748</v>
      </c>
      <c r="J283" s="23">
        <f t="shared" si="48"/>
        <v>2.3000000000000007</v>
      </c>
    </row>
    <row r="284" spans="1:10" s="26" customFormat="1">
      <c r="A284" s="7"/>
      <c r="B284" s="29">
        <v>7500435159036</v>
      </c>
      <c r="C284" s="28" t="s">
        <v>141</v>
      </c>
      <c r="D284" s="30">
        <v>24.301999999999996</v>
      </c>
      <c r="E284" s="30">
        <v>26.9</v>
      </c>
      <c r="F284" s="5">
        <f t="shared" si="46"/>
        <v>9.657992565055773E-2</v>
      </c>
      <c r="G284" s="30">
        <v>22.001999999999995</v>
      </c>
      <c r="H284" s="39">
        <v>24.9</v>
      </c>
      <c r="I284" s="4">
        <f t="shared" si="47"/>
        <v>0.1163855421686748</v>
      </c>
      <c r="J284" s="23">
        <f t="shared" si="48"/>
        <v>2.3000000000000007</v>
      </c>
    </row>
    <row r="285" spans="1:10" s="26" customFormat="1">
      <c r="A285" s="7"/>
      <c r="B285" s="29"/>
      <c r="C285" s="28"/>
      <c r="D285" s="30"/>
      <c r="E285" s="30"/>
      <c r="F285" s="5" t="e">
        <f t="shared" si="46"/>
        <v>#DIV/0!</v>
      </c>
      <c r="G285" s="30"/>
      <c r="H285" s="39"/>
      <c r="I285" s="4" t="e">
        <f t="shared" si="47"/>
        <v>#DIV/0!</v>
      </c>
      <c r="J285" s="23">
        <f t="shared" si="48"/>
        <v>0</v>
      </c>
    </row>
    <row r="286" spans="1:10" s="26" customFormat="1">
      <c r="A286" s="7"/>
      <c r="B286" s="29">
        <v>7500435148870</v>
      </c>
      <c r="C286" s="28" t="s">
        <v>82</v>
      </c>
      <c r="D286" s="30">
        <v>26.448</v>
      </c>
      <c r="E286" s="30">
        <v>29.9</v>
      </c>
      <c r="F286" s="5">
        <f t="shared" si="46"/>
        <v>0.1154515050167223</v>
      </c>
      <c r="G286" s="30">
        <v>24.448</v>
      </c>
      <c r="H286" s="39">
        <v>26.9</v>
      </c>
      <c r="I286" s="4">
        <f t="shared" si="47"/>
        <v>9.1152416356877208E-2</v>
      </c>
      <c r="J286" s="23">
        <f t="shared" si="48"/>
        <v>2</v>
      </c>
    </row>
    <row r="287" spans="1:10" s="26" customFormat="1">
      <c r="A287" s="7"/>
      <c r="B287" s="29">
        <v>7500435138826</v>
      </c>
      <c r="C287" s="28" t="s">
        <v>83</v>
      </c>
      <c r="D287" s="30">
        <v>26.448</v>
      </c>
      <c r="E287" s="30">
        <v>29.9</v>
      </c>
      <c r="F287" s="5">
        <f t="shared" si="46"/>
        <v>0.1154515050167223</v>
      </c>
      <c r="G287" s="30">
        <v>24.448</v>
      </c>
      <c r="H287" s="39">
        <v>26.9</v>
      </c>
      <c r="I287" s="4">
        <f t="shared" si="47"/>
        <v>9.1152416356877208E-2</v>
      </c>
      <c r="J287" s="23">
        <f t="shared" si="48"/>
        <v>2</v>
      </c>
    </row>
    <row r="288" spans="1:10" s="26" customFormat="1">
      <c r="A288" s="25"/>
      <c r="B288" s="34">
        <v>7506309859774</v>
      </c>
      <c r="C288" s="35" t="s">
        <v>43</v>
      </c>
      <c r="D288" s="33">
        <v>26.448</v>
      </c>
      <c r="E288" s="33">
        <v>29.9</v>
      </c>
      <c r="F288" s="5">
        <f t="shared" si="46"/>
        <v>0.1154515050167223</v>
      </c>
      <c r="G288" s="33">
        <v>24.448</v>
      </c>
      <c r="H288" s="38">
        <v>26.9</v>
      </c>
      <c r="I288" s="4">
        <f t="shared" si="47"/>
        <v>9.1152416356877208E-2</v>
      </c>
      <c r="J288" s="23">
        <f t="shared" si="48"/>
        <v>2</v>
      </c>
    </row>
    <row r="289" spans="1:10" s="26" customFormat="1">
      <c r="A289" s="25"/>
      <c r="B289" s="34">
        <v>7500435108256</v>
      </c>
      <c r="C289" s="35" t="s">
        <v>78</v>
      </c>
      <c r="D289" s="33">
        <v>20.752399999999998</v>
      </c>
      <c r="E289" s="33">
        <v>24.2</v>
      </c>
      <c r="F289" s="5">
        <f t="shared" si="46"/>
        <v>0.14246280991735538</v>
      </c>
      <c r="G289" s="33">
        <v>17.452399999999997</v>
      </c>
      <c r="H289" s="38">
        <v>19.899999999999999</v>
      </c>
      <c r="I289" s="4">
        <f t="shared" si="47"/>
        <v>0.12299497487437194</v>
      </c>
      <c r="J289" s="23">
        <f t="shared" si="48"/>
        <v>3.3000000000000007</v>
      </c>
    </row>
    <row r="290" spans="1:10" s="26" customFormat="1">
      <c r="A290" s="25"/>
      <c r="B290" s="50">
        <v>7500435147903</v>
      </c>
      <c r="C290" s="51" t="s">
        <v>147</v>
      </c>
      <c r="D290" s="33">
        <v>30.310799999999997</v>
      </c>
      <c r="E290" s="33">
        <v>37.4</v>
      </c>
      <c r="F290" s="5">
        <f t="shared" si="46"/>
        <v>0.18955080213903752</v>
      </c>
      <c r="G290" s="33">
        <v>26.110799999999998</v>
      </c>
      <c r="H290" s="38">
        <v>31.9</v>
      </c>
      <c r="I290" s="4">
        <f t="shared" si="47"/>
        <v>0.18147962382445149</v>
      </c>
      <c r="J290" s="23">
        <f t="shared" si="48"/>
        <v>4.1999999999999993</v>
      </c>
    </row>
    <row r="291" spans="1:10" s="26" customFormat="1">
      <c r="A291" s="25"/>
      <c r="B291" s="50">
        <v>7506309807904</v>
      </c>
      <c r="C291" s="51" t="s">
        <v>149</v>
      </c>
      <c r="D291" s="33">
        <v>31.969599999999996</v>
      </c>
      <c r="E291" s="33">
        <v>37.4</v>
      </c>
      <c r="F291" s="5">
        <f t="shared" si="46"/>
        <v>0.14519786096256693</v>
      </c>
      <c r="G291" s="33">
        <v>27.769599999999997</v>
      </c>
      <c r="H291" s="38">
        <v>31.9</v>
      </c>
      <c r="I291" s="4">
        <f t="shared" si="47"/>
        <v>0.12947962382445144</v>
      </c>
      <c r="J291" s="23">
        <f t="shared" si="48"/>
        <v>4.1999999999999993</v>
      </c>
    </row>
    <row r="292" spans="1:10" s="26" customFormat="1">
      <c r="A292" s="25"/>
      <c r="B292" s="50">
        <v>7506309807928</v>
      </c>
      <c r="C292" s="51" t="s">
        <v>150</v>
      </c>
      <c r="D292" s="33">
        <v>31.969599999999996</v>
      </c>
      <c r="E292" s="33">
        <v>37.4</v>
      </c>
      <c r="F292" s="5">
        <f t="shared" si="46"/>
        <v>0.14519786096256693</v>
      </c>
      <c r="G292" s="33">
        <v>27.769599999999997</v>
      </c>
      <c r="H292" s="38">
        <v>31.9</v>
      </c>
      <c r="I292" s="4">
        <f t="shared" si="47"/>
        <v>0.12947962382445144</v>
      </c>
      <c r="J292" s="23">
        <f t="shared" si="48"/>
        <v>4.1999999999999993</v>
      </c>
    </row>
    <row r="293" spans="1:10" s="26" customFormat="1">
      <c r="A293" s="25"/>
      <c r="B293" s="50">
        <v>7506339304824</v>
      </c>
      <c r="C293" s="51" t="s">
        <v>140</v>
      </c>
      <c r="D293" s="33">
        <v>31.957999999999998</v>
      </c>
      <c r="E293" s="33">
        <v>37.299999999999997</v>
      </c>
      <c r="F293" s="5">
        <f t="shared" si="46"/>
        <v>0.14321715817694369</v>
      </c>
      <c r="G293" s="33">
        <v>27.757999999999999</v>
      </c>
      <c r="H293" s="38">
        <v>31.9</v>
      </c>
      <c r="I293" s="4">
        <f t="shared" si="47"/>
        <v>0.12984326018808778</v>
      </c>
      <c r="J293" s="23">
        <f t="shared" si="48"/>
        <v>4.1999999999999993</v>
      </c>
    </row>
    <row r="294" spans="1:10" s="26" customFormat="1">
      <c r="A294" s="25"/>
      <c r="B294" s="50">
        <v>7500435158602</v>
      </c>
      <c r="C294" s="51" t="s">
        <v>148</v>
      </c>
      <c r="D294" s="33">
        <v>29.208799999999997</v>
      </c>
      <c r="E294" s="33">
        <v>35.9</v>
      </c>
      <c r="F294" s="5">
        <f t="shared" si="46"/>
        <v>0.18638440111420618</v>
      </c>
      <c r="G294" s="33">
        <v>26.008799999999997</v>
      </c>
      <c r="H294" s="38">
        <v>31.9</v>
      </c>
      <c r="I294" s="4">
        <f t="shared" si="47"/>
        <v>0.18467711598746084</v>
      </c>
      <c r="J294" s="23">
        <f t="shared" si="48"/>
        <v>3.1999999999999993</v>
      </c>
    </row>
    <row r="295" spans="1:10" s="26" customFormat="1">
      <c r="A295" s="7" t="s">
        <v>23</v>
      </c>
      <c r="B295" s="29"/>
      <c r="C295" s="28"/>
      <c r="D295" s="30"/>
      <c r="E295" s="30"/>
      <c r="F295" s="5" t="e">
        <f t="shared" si="46"/>
        <v>#DIV/0!</v>
      </c>
      <c r="G295" s="30"/>
      <c r="H295" s="39"/>
      <c r="I295" s="4" t="e">
        <f t="shared" si="47"/>
        <v>#DIV/0!</v>
      </c>
      <c r="J295" s="23">
        <f t="shared" si="48"/>
        <v>0</v>
      </c>
    </row>
    <row r="296" spans="1:10" s="26" customFormat="1">
      <c r="A296" s="7" t="s">
        <v>24</v>
      </c>
      <c r="B296" s="34">
        <v>7502233115825</v>
      </c>
      <c r="C296" s="35" t="s">
        <v>242</v>
      </c>
      <c r="D296" s="33">
        <f>27.6863*1.08</f>
        <v>29.901204</v>
      </c>
      <c r="E296" s="33">
        <v>35.5</v>
      </c>
      <c r="F296" s="5">
        <f>+((D296/E296)-1)*-1</f>
        <v>0.15771256338028172</v>
      </c>
      <c r="G296" s="33">
        <f>+D296*0.91</f>
        <v>27.210095640000002</v>
      </c>
      <c r="H296" s="38">
        <v>31.9</v>
      </c>
      <c r="I296" s="4">
        <f>+((G296/H296)-1)*-1</f>
        <v>0.1470189454545453</v>
      </c>
      <c r="J296" s="23">
        <f>+D296-G296</f>
        <v>2.6911083599999976</v>
      </c>
    </row>
    <row r="297" spans="1:10" s="26" customFormat="1">
      <c r="A297" s="25"/>
      <c r="B297" s="34">
        <v>7502233116372</v>
      </c>
      <c r="C297" s="35" t="s">
        <v>243</v>
      </c>
      <c r="D297" s="33">
        <f>29.9113*1.08</f>
        <v>32.304204000000006</v>
      </c>
      <c r="E297" s="33">
        <v>41.4</v>
      </c>
      <c r="F297" s="5">
        <f>+((D297/E297)-1)*-1</f>
        <v>0.21970521739130422</v>
      </c>
      <c r="G297" s="33">
        <f t="shared" ref="G297:G299" si="49">+D297*0.91</f>
        <v>29.396825640000007</v>
      </c>
      <c r="H297" s="38">
        <v>33.9</v>
      </c>
      <c r="I297" s="4">
        <f>+((G297/H297)-1)*-1</f>
        <v>0.13283700176991131</v>
      </c>
      <c r="J297" s="23">
        <f t="shared" ref="J297:J299" si="50">+D297-G297</f>
        <v>2.9073783599999992</v>
      </c>
    </row>
    <row r="298" spans="1:10" s="26" customFormat="1">
      <c r="A298" s="7"/>
      <c r="B298" s="29">
        <v>7502233114545</v>
      </c>
      <c r="C298" s="28" t="s">
        <v>240</v>
      </c>
      <c r="D298" s="30">
        <f>31.41*1.08</f>
        <v>33.922800000000002</v>
      </c>
      <c r="E298" s="30">
        <v>41.4</v>
      </c>
      <c r="F298" s="5">
        <f t="shared" ref="F298:F318" si="51">+((D298/E298)-1)*-1</f>
        <v>0.18060869565217386</v>
      </c>
      <c r="G298" s="33">
        <f t="shared" si="49"/>
        <v>30.869748000000005</v>
      </c>
      <c r="H298" s="38">
        <v>35.9</v>
      </c>
      <c r="I298" s="4">
        <f t="shared" ref="I298:I318" si="52">+((G298/H298)-1)*-1</f>
        <v>0.14011844011142049</v>
      </c>
      <c r="J298" s="23">
        <f t="shared" si="50"/>
        <v>3.0530519999999974</v>
      </c>
    </row>
    <row r="299" spans="1:10" s="26" customFormat="1">
      <c r="A299" s="7"/>
      <c r="B299" s="29">
        <v>7502233114569</v>
      </c>
      <c r="C299" s="28" t="s">
        <v>241</v>
      </c>
      <c r="D299" s="30">
        <v>33.92</v>
      </c>
      <c r="E299" s="30">
        <v>41.4</v>
      </c>
      <c r="F299" s="5">
        <f t="shared" si="51"/>
        <v>0.18067632850241544</v>
      </c>
      <c r="G299" s="33">
        <f t="shared" si="49"/>
        <v>30.867200000000004</v>
      </c>
      <c r="H299" s="38">
        <v>35.69</v>
      </c>
      <c r="I299" s="4">
        <f t="shared" si="52"/>
        <v>0.13513028859624532</v>
      </c>
      <c r="J299" s="23">
        <f t="shared" si="50"/>
        <v>3.0527999999999977</v>
      </c>
    </row>
    <row r="300" spans="1:10" s="26" customFormat="1">
      <c r="A300" s="7" t="s">
        <v>25</v>
      </c>
      <c r="B300" s="29">
        <v>7501000601189</v>
      </c>
      <c r="C300" s="28" t="s">
        <v>238</v>
      </c>
      <c r="D300" s="30">
        <v>26.01</v>
      </c>
      <c r="E300" s="30">
        <v>30.6</v>
      </c>
      <c r="F300" s="5">
        <f t="shared" si="51"/>
        <v>0.15000000000000002</v>
      </c>
      <c r="G300" s="30">
        <v>24</v>
      </c>
      <c r="H300" s="39">
        <v>27.9</v>
      </c>
      <c r="I300" s="4">
        <f t="shared" si="52"/>
        <v>0.13978494623655913</v>
      </c>
      <c r="J300" s="23"/>
    </row>
    <row r="301" spans="1:10" s="26" customFormat="1">
      <c r="A301" s="7"/>
      <c r="B301" s="29">
        <v>7500478018192</v>
      </c>
      <c r="C301" s="28" t="s">
        <v>237</v>
      </c>
      <c r="D301" s="30">
        <v>38</v>
      </c>
      <c r="E301" s="30">
        <v>44.7</v>
      </c>
      <c r="F301" s="5">
        <f t="shared" si="51"/>
        <v>0.14988814317673382</v>
      </c>
      <c r="G301" s="30">
        <v>35.5</v>
      </c>
      <c r="H301" s="39">
        <v>39.9</v>
      </c>
      <c r="I301" s="4">
        <f t="shared" si="52"/>
        <v>0.11027568922305764</v>
      </c>
      <c r="J301" s="23"/>
    </row>
    <row r="302" spans="1:10" s="26" customFormat="1">
      <c r="A302" s="7"/>
      <c r="B302" s="29">
        <v>7501000625062</v>
      </c>
      <c r="C302" s="28" t="s">
        <v>239</v>
      </c>
      <c r="D302" s="30">
        <v>51.68</v>
      </c>
      <c r="E302" s="30">
        <v>60.8</v>
      </c>
      <c r="F302" s="5">
        <f t="shared" si="51"/>
        <v>0.14999999999999991</v>
      </c>
      <c r="G302" s="30">
        <f>42.43*1.08</f>
        <v>45.824400000000004</v>
      </c>
      <c r="H302" s="39">
        <v>51.9</v>
      </c>
      <c r="I302" s="4">
        <f t="shared" si="52"/>
        <v>0.11706358381502879</v>
      </c>
      <c r="J302" s="23"/>
    </row>
    <row r="303" spans="1:10" s="26" customFormat="1">
      <c r="A303" s="7" t="s">
        <v>26</v>
      </c>
      <c r="B303" s="29">
        <v>7501404603116</v>
      </c>
      <c r="C303" s="28" t="s">
        <v>217</v>
      </c>
      <c r="D303" s="30">
        <v>15.25</v>
      </c>
      <c r="E303" s="30">
        <v>17.3</v>
      </c>
      <c r="F303" s="5">
        <f t="shared" si="51"/>
        <v>0.11849710982658967</v>
      </c>
      <c r="G303" s="30">
        <v>13.58</v>
      </c>
      <c r="H303" s="39">
        <v>15.5</v>
      </c>
      <c r="I303" s="4">
        <f t="shared" si="52"/>
        <v>0.12387096774193551</v>
      </c>
      <c r="J303" s="23"/>
    </row>
    <row r="304" spans="1:10" s="26" customFormat="1">
      <c r="A304" s="7" t="s">
        <v>27</v>
      </c>
      <c r="B304" s="29"/>
      <c r="C304" s="28"/>
      <c r="D304" s="30"/>
      <c r="E304" s="30"/>
      <c r="F304" s="5" t="e">
        <f t="shared" si="51"/>
        <v>#DIV/0!</v>
      </c>
      <c r="G304" s="30"/>
      <c r="H304" s="39"/>
      <c r="I304" s="4" t="e">
        <f t="shared" si="52"/>
        <v>#DIV/0!</v>
      </c>
      <c r="J304" s="23"/>
    </row>
    <row r="305" spans="1:10" s="26" customFormat="1">
      <c r="A305" s="7" t="s">
        <v>28</v>
      </c>
      <c r="B305" s="29"/>
      <c r="C305" s="28"/>
      <c r="D305" s="30"/>
      <c r="E305" s="30"/>
      <c r="F305" s="5" t="e">
        <f t="shared" si="51"/>
        <v>#DIV/0!</v>
      </c>
      <c r="G305" s="30"/>
      <c r="H305" s="39"/>
      <c r="I305" s="4" t="e">
        <f t="shared" si="52"/>
        <v>#DIV/0!</v>
      </c>
      <c r="J305" s="23"/>
    </row>
    <row r="306" spans="1:10" s="26" customFormat="1">
      <c r="A306" s="7" t="s">
        <v>29</v>
      </c>
      <c r="B306" s="29"/>
      <c r="C306" s="28"/>
      <c r="D306" s="30"/>
      <c r="E306" s="30"/>
      <c r="F306" s="5" t="e">
        <f t="shared" si="51"/>
        <v>#DIV/0!</v>
      </c>
      <c r="G306" s="30"/>
      <c r="H306" s="39"/>
      <c r="I306" s="4" t="e">
        <f t="shared" si="52"/>
        <v>#DIV/0!</v>
      </c>
      <c r="J306" s="23">
        <f>+D306-G306</f>
        <v>0</v>
      </c>
    </row>
    <row r="307" spans="1:10" s="26" customFormat="1">
      <c r="A307" s="7" t="s">
        <v>30</v>
      </c>
      <c r="B307" s="29"/>
      <c r="C307" s="28"/>
      <c r="D307" s="30"/>
      <c r="E307" s="30"/>
      <c r="F307" s="5" t="e">
        <f t="shared" si="51"/>
        <v>#DIV/0!</v>
      </c>
      <c r="G307" s="30"/>
      <c r="H307" s="39"/>
      <c r="I307" s="4" t="e">
        <f t="shared" si="52"/>
        <v>#DIV/0!</v>
      </c>
      <c r="J307" s="23">
        <f>+D307-G307</f>
        <v>0</v>
      </c>
    </row>
    <row r="308" spans="1:10" s="26" customFormat="1">
      <c r="A308" s="7" t="s">
        <v>38</v>
      </c>
      <c r="B308" s="29">
        <v>7501025403034</v>
      </c>
      <c r="C308" s="28" t="s">
        <v>55</v>
      </c>
      <c r="D308" s="30">
        <v>21.383562380000001</v>
      </c>
      <c r="E308" s="30">
        <v>26.7</v>
      </c>
      <c r="F308" s="5">
        <f t="shared" si="51"/>
        <v>0.19911751385767784</v>
      </c>
      <c r="G308" s="30">
        <v>17.91</v>
      </c>
      <c r="H308" s="39">
        <v>19.899999999999999</v>
      </c>
      <c r="I308" s="4">
        <f t="shared" si="52"/>
        <v>9.9999999999999978E-2</v>
      </c>
      <c r="J308" s="23">
        <f>+D308-G308</f>
        <v>3.4735623800000006</v>
      </c>
    </row>
    <row r="309" spans="1:10" s="26" customFormat="1">
      <c r="A309" s="7"/>
      <c r="B309" s="29">
        <v>7501025431457</v>
      </c>
      <c r="C309" s="28" t="s">
        <v>49</v>
      </c>
      <c r="D309" s="30">
        <f>9.9*1.16</f>
        <v>11.484</v>
      </c>
      <c r="E309" s="30">
        <v>14.4</v>
      </c>
      <c r="F309" s="5">
        <f t="shared" si="51"/>
        <v>0.20250000000000001</v>
      </c>
      <c r="G309" s="30">
        <v>10.71</v>
      </c>
      <c r="H309" s="39">
        <v>11.9</v>
      </c>
      <c r="I309" s="4">
        <f t="shared" si="52"/>
        <v>9.9999999999999978E-2</v>
      </c>
      <c r="J309" s="23">
        <f t="shared" ref="J309:J313" si="53">+D309-G309</f>
        <v>0.77399999999999913</v>
      </c>
    </row>
    <row r="310" spans="1:10" s="26" customFormat="1">
      <c r="A310" s="7"/>
      <c r="B310" s="29">
        <v>7501025440282</v>
      </c>
      <c r="C310" s="28" t="s">
        <v>46</v>
      </c>
      <c r="D310" s="30">
        <f t="shared" ref="D310:D313" si="54">9.9*1.16</f>
        <v>11.484</v>
      </c>
      <c r="E310" s="30">
        <v>14.4</v>
      </c>
      <c r="F310" s="5">
        <f t="shared" si="51"/>
        <v>0.20250000000000001</v>
      </c>
      <c r="G310" s="30">
        <v>10.71</v>
      </c>
      <c r="H310" s="39">
        <v>11.9</v>
      </c>
      <c r="I310" s="4">
        <f t="shared" si="52"/>
        <v>9.9999999999999978E-2</v>
      </c>
      <c r="J310" s="23">
        <f t="shared" si="53"/>
        <v>0.77399999999999913</v>
      </c>
    </row>
    <row r="311" spans="1:10" s="26" customFormat="1">
      <c r="A311" s="7"/>
      <c r="B311" s="29">
        <v>7501025440299</v>
      </c>
      <c r="C311" s="28" t="s">
        <v>47</v>
      </c>
      <c r="D311" s="30">
        <f t="shared" si="54"/>
        <v>11.484</v>
      </c>
      <c r="E311" s="30">
        <v>14.4</v>
      </c>
      <c r="F311" s="5">
        <f t="shared" si="51"/>
        <v>0.20250000000000001</v>
      </c>
      <c r="G311" s="30">
        <v>10.71</v>
      </c>
      <c r="H311" s="39">
        <v>11.9</v>
      </c>
      <c r="I311" s="4">
        <f t="shared" si="52"/>
        <v>9.9999999999999978E-2</v>
      </c>
      <c r="J311" s="23">
        <f t="shared" si="53"/>
        <v>0.77399999999999913</v>
      </c>
    </row>
    <row r="312" spans="1:10" s="26" customFormat="1">
      <c r="A312" s="7"/>
      <c r="B312" s="29">
        <v>7501025440305</v>
      </c>
      <c r="C312" s="28" t="s">
        <v>48</v>
      </c>
      <c r="D312" s="30">
        <f t="shared" si="54"/>
        <v>11.484</v>
      </c>
      <c r="E312" s="30">
        <v>14.4</v>
      </c>
      <c r="F312" s="5">
        <f t="shared" si="51"/>
        <v>0.20250000000000001</v>
      </c>
      <c r="G312" s="30">
        <v>10.71</v>
      </c>
      <c r="H312" s="39">
        <v>11.9</v>
      </c>
      <c r="I312" s="4">
        <f t="shared" si="52"/>
        <v>9.9999999999999978E-2</v>
      </c>
      <c r="J312" s="23">
        <f t="shared" si="53"/>
        <v>0.77399999999999913</v>
      </c>
    </row>
    <row r="313" spans="1:10" s="26" customFormat="1">
      <c r="A313" s="7"/>
      <c r="B313" s="29" t="s">
        <v>185</v>
      </c>
      <c r="C313" s="28" t="s">
        <v>186</v>
      </c>
      <c r="D313" s="30">
        <f t="shared" si="54"/>
        <v>11.484</v>
      </c>
      <c r="E313" s="30">
        <v>14.4</v>
      </c>
      <c r="F313" s="5">
        <f t="shared" si="51"/>
        <v>0.20250000000000001</v>
      </c>
      <c r="G313" s="30">
        <v>10.71</v>
      </c>
      <c r="H313" s="39">
        <v>11.9</v>
      </c>
      <c r="I313" s="4">
        <f t="shared" si="52"/>
        <v>9.9999999999999978E-2</v>
      </c>
      <c r="J313" s="23">
        <f t="shared" si="53"/>
        <v>0.77399999999999913</v>
      </c>
    </row>
    <row r="314" spans="1:10" s="26" customFormat="1">
      <c r="A314" s="25"/>
      <c r="B314" s="34"/>
      <c r="C314" s="35"/>
      <c r="D314" s="33"/>
      <c r="E314" s="33"/>
      <c r="F314" s="5" t="e">
        <f t="shared" si="51"/>
        <v>#DIV/0!</v>
      </c>
      <c r="G314" s="33"/>
      <c r="H314" s="38"/>
      <c r="I314" s="4" t="e">
        <f t="shared" si="52"/>
        <v>#DIV/0!</v>
      </c>
      <c r="J314" s="23"/>
    </row>
    <row r="315" spans="1:10" s="26" customFormat="1">
      <c r="A315" s="25"/>
      <c r="B315" s="34">
        <v>7501025411756</v>
      </c>
      <c r="C315" s="35" t="s">
        <v>199</v>
      </c>
      <c r="D315" s="33">
        <f>15.98*1.16</f>
        <v>18.536799999999999</v>
      </c>
      <c r="E315" s="33">
        <v>23.2</v>
      </c>
      <c r="F315" s="5">
        <f t="shared" si="51"/>
        <v>0.20099999999999996</v>
      </c>
      <c r="G315" s="33">
        <v>17.91</v>
      </c>
      <c r="H315" s="38">
        <v>19.899999999999999</v>
      </c>
      <c r="I315" s="4">
        <f t="shared" si="52"/>
        <v>9.9999999999999978E-2</v>
      </c>
      <c r="J315" s="23">
        <f>+D315-G315</f>
        <v>0.62679999999999936</v>
      </c>
    </row>
    <row r="316" spans="1:10" s="26" customFormat="1">
      <c r="A316" s="25"/>
      <c r="B316" s="34">
        <v>7501025411763</v>
      </c>
      <c r="C316" s="35" t="s">
        <v>200</v>
      </c>
      <c r="D316" s="33">
        <f>15.98*1.16</f>
        <v>18.536799999999999</v>
      </c>
      <c r="E316" s="33">
        <v>23.2</v>
      </c>
      <c r="F316" s="5">
        <f t="shared" si="51"/>
        <v>0.20099999999999996</v>
      </c>
      <c r="G316" s="33">
        <v>17.91</v>
      </c>
      <c r="H316" s="38">
        <v>19.899999999999999</v>
      </c>
      <c r="I316" s="4">
        <f t="shared" si="52"/>
        <v>9.9999999999999978E-2</v>
      </c>
      <c r="J316" s="23">
        <f t="shared" ref="J316:J318" si="55">+D316-G316</f>
        <v>0.62679999999999936</v>
      </c>
    </row>
    <row r="317" spans="1:10" s="26" customFormat="1">
      <c r="A317" s="25"/>
      <c r="B317" s="34">
        <v>7501025431945</v>
      </c>
      <c r="C317" s="35" t="s">
        <v>201</v>
      </c>
      <c r="D317" s="33">
        <f t="shared" ref="D317:D318" si="56">15.98*1.16</f>
        <v>18.536799999999999</v>
      </c>
      <c r="E317" s="33">
        <v>23.2</v>
      </c>
      <c r="F317" s="5">
        <f t="shared" si="51"/>
        <v>0.20099999999999996</v>
      </c>
      <c r="G317" s="33">
        <v>17.91</v>
      </c>
      <c r="H317" s="38">
        <v>19.899999999999999</v>
      </c>
      <c r="I317" s="4">
        <f t="shared" si="52"/>
        <v>9.9999999999999978E-2</v>
      </c>
      <c r="J317" s="23">
        <f t="shared" si="55"/>
        <v>0.62679999999999936</v>
      </c>
    </row>
    <row r="318" spans="1:10" s="26" customFormat="1">
      <c r="A318" s="25"/>
      <c r="B318" s="34">
        <v>7501025431952</v>
      </c>
      <c r="C318" s="35" t="s">
        <v>202</v>
      </c>
      <c r="D318" s="33">
        <f t="shared" si="56"/>
        <v>18.536799999999999</v>
      </c>
      <c r="E318" s="33">
        <v>23.2</v>
      </c>
      <c r="F318" s="5">
        <f t="shared" si="51"/>
        <v>0.20099999999999996</v>
      </c>
      <c r="G318" s="33">
        <v>17.91</v>
      </c>
      <c r="H318" s="38">
        <v>19.899999999999999</v>
      </c>
      <c r="I318" s="4">
        <f t="shared" si="52"/>
        <v>9.9999999999999978E-2</v>
      </c>
      <c r="J318" s="23">
        <f t="shared" si="55"/>
        <v>0.62679999999999936</v>
      </c>
    </row>
    <row r="319" spans="1:10" s="26" customFormat="1">
      <c r="A319" s="25"/>
      <c r="B319" s="34"/>
      <c r="C319" s="35"/>
      <c r="D319" s="33"/>
      <c r="E319" s="33"/>
      <c r="F319" s="40"/>
      <c r="G319" s="33"/>
      <c r="H319" s="38"/>
      <c r="I319" s="42"/>
      <c r="J319" s="23"/>
    </row>
    <row r="320" spans="1:10" s="26" customFormat="1">
      <c r="A320" s="7" t="s">
        <v>31</v>
      </c>
      <c r="B320" s="29" t="s">
        <v>205</v>
      </c>
      <c r="C320" s="28" t="s">
        <v>206</v>
      </c>
      <c r="D320" s="30">
        <v>70.38</v>
      </c>
      <c r="E320" s="30">
        <v>82.8</v>
      </c>
      <c r="F320" s="5">
        <f t="shared" ref="F320:F330" si="57">+((D320/E320)-1)*-1</f>
        <v>0.15000000000000002</v>
      </c>
      <c r="G320" s="30">
        <v>65.064400000000006</v>
      </c>
      <c r="H320" s="39">
        <v>73.900000000000006</v>
      </c>
      <c r="I320" s="4">
        <f t="shared" ref="I320:I340" si="58">+((G320/H320)-1)*-1</f>
        <v>0.11956156968876863</v>
      </c>
      <c r="J320" s="23"/>
    </row>
    <row r="321" spans="1:10" s="26" customFormat="1">
      <c r="A321" s="7"/>
      <c r="B321" s="29" t="s">
        <v>207</v>
      </c>
      <c r="C321" s="28" t="s">
        <v>208</v>
      </c>
      <c r="D321" s="30">
        <v>87.89</v>
      </c>
      <c r="E321" s="30">
        <v>103.4</v>
      </c>
      <c r="F321" s="5">
        <f t="shared" si="57"/>
        <v>0.15000000000000002</v>
      </c>
      <c r="G321" s="30">
        <v>84.345921315532792</v>
      </c>
      <c r="H321" s="39">
        <v>95.9</v>
      </c>
      <c r="I321" s="4">
        <f t="shared" si="58"/>
        <v>0.12048048680362056</v>
      </c>
      <c r="J321" s="23"/>
    </row>
    <row r="322" spans="1:10" s="26" customFormat="1">
      <c r="A322" s="7"/>
      <c r="B322" s="29">
        <v>7502247330054</v>
      </c>
      <c r="C322" s="28" t="s">
        <v>209</v>
      </c>
      <c r="D322" s="30">
        <v>100.73</v>
      </c>
      <c r="E322" s="30">
        <v>118.5</v>
      </c>
      <c r="F322" s="5">
        <f t="shared" si="57"/>
        <v>0.149957805907173</v>
      </c>
      <c r="G322" s="30">
        <v>96.711337392001909</v>
      </c>
      <c r="H322" s="39">
        <v>109.9</v>
      </c>
      <c r="I322" s="4">
        <f t="shared" si="58"/>
        <v>0.12000602919015557</v>
      </c>
      <c r="J322" s="23"/>
    </row>
    <row r="323" spans="1:10" s="26" customFormat="1">
      <c r="A323" s="7"/>
      <c r="B323" s="29" t="s">
        <v>210</v>
      </c>
      <c r="C323" s="28" t="s">
        <v>211</v>
      </c>
      <c r="D323" s="30">
        <v>105.83</v>
      </c>
      <c r="E323" s="30">
        <v>124.5</v>
      </c>
      <c r="F323" s="5">
        <f t="shared" si="57"/>
        <v>0.14995983935742974</v>
      </c>
      <c r="G323" s="30">
        <v>101.56626680573719</v>
      </c>
      <c r="H323" s="39">
        <v>115.5</v>
      </c>
      <c r="I323" s="4">
        <f t="shared" si="58"/>
        <v>0.12063838263431004</v>
      </c>
      <c r="J323" s="23"/>
    </row>
    <row r="324" spans="1:10" s="26" customFormat="1">
      <c r="A324" s="7" t="s">
        <v>167</v>
      </c>
      <c r="B324" s="29" t="s">
        <v>40</v>
      </c>
      <c r="C324" s="28" t="s">
        <v>57</v>
      </c>
      <c r="D324" s="30">
        <v>21.831199999999999</v>
      </c>
      <c r="E324" s="30">
        <v>25.7</v>
      </c>
      <c r="F324" s="5">
        <f t="shared" si="57"/>
        <v>0.15053696498054481</v>
      </c>
      <c r="G324" s="30">
        <f>17.5012523928*1.16</f>
        <v>20.301452775647999</v>
      </c>
      <c r="H324" s="39">
        <v>22.9</v>
      </c>
      <c r="I324" s="4">
        <f t="shared" si="58"/>
        <v>0.1134736779193013</v>
      </c>
      <c r="J324" s="23"/>
    </row>
    <row r="325" spans="1:10" s="26" customFormat="1">
      <c r="A325" s="7"/>
      <c r="B325" s="29" t="s">
        <v>41</v>
      </c>
      <c r="C325" s="28" t="s">
        <v>58</v>
      </c>
      <c r="D325" s="30">
        <v>17.476512979199999</v>
      </c>
      <c r="E325" s="30">
        <v>25.7</v>
      </c>
      <c r="F325" s="5">
        <f t="shared" si="57"/>
        <v>0.31998003971984434</v>
      </c>
      <c r="G325" s="30">
        <f>17.4765129792*1.16</f>
        <v>20.272755055871997</v>
      </c>
      <c r="H325" s="39">
        <v>22.9</v>
      </c>
      <c r="I325" s="4">
        <f t="shared" si="58"/>
        <v>0.11472685345537126</v>
      </c>
      <c r="J325" s="23"/>
    </row>
    <row r="326" spans="1:10" s="26" customFormat="1">
      <c r="A326" s="25"/>
      <c r="B326" s="34">
        <v>7502247338845</v>
      </c>
      <c r="C326" s="35" t="s">
        <v>212</v>
      </c>
      <c r="D326" s="33">
        <v>7.95</v>
      </c>
      <c r="E326" s="33">
        <v>9.4</v>
      </c>
      <c r="F326" s="5">
        <f t="shared" si="57"/>
        <v>0.1542553191489362</v>
      </c>
      <c r="G326" s="33">
        <f>5.7*1.16</f>
        <v>6.6120000000000001</v>
      </c>
      <c r="H326" s="38">
        <v>7.5</v>
      </c>
      <c r="I326" s="4">
        <f t="shared" si="58"/>
        <v>0.11839999999999995</v>
      </c>
      <c r="J326" s="23"/>
    </row>
    <row r="327" spans="1:10" s="26" customFormat="1">
      <c r="A327" s="7"/>
      <c r="B327" s="29">
        <v>7502247335677</v>
      </c>
      <c r="C327" s="28" t="s">
        <v>59</v>
      </c>
      <c r="D327" s="30">
        <v>16.947599999999998</v>
      </c>
      <c r="E327" s="30">
        <v>19.899999999999999</v>
      </c>
      <c r="F327" s="5">
        <f t="shared" si="57"/>
        <v>0.14836180904522622</v>
      </c>
      <c r="G327" s="30">
        <f>11.979083095056*1.16</f>
        <v>13.895736390264959</v>
      </c>
      <c r="H327" s="39">
        <v>15.9</v>
      </c>
      <c r="I327" s="4">
        <f t="shared" si="58"/>
        <v>0.12605431507767551</v>
      </c>
      <c r="J327" s="23"/>
    </row>
    <row r="328" spans="1:10" s="26" customFormat="1">
      <c r="A328" s="7"/>
      <c r="B328" s="29">
        <v>7506425605781</v>
      </c>
      <c r="C328" s="28" t="s">
        <v>64</v>
      </c>
      <c r="D328" s="30">
        <v>13.79</v>
      </c>
      <c r="E328" s="30">
        <v>19.899999999999999</v>
      </c>
      <c r="F328" s="5">
        <f t="shared" si="57"/>
        <v>0.30703517587939699</v>
      </c>
      <c r="G328" s="30">
        <v>13.79</v>
      </c>
      <c r="H328" s="39">
        <v>15.9</v>
      </c>
      <c r="I328" s="4">
        <f t="shared" si="58"/>
        <v>0.13270440251572335</v>
      </c>
      <c r="J328" s="23"/>
    </row>
    <row r="329" spans="1:10" s="26" customFormat="1">
      <c r="A329" s="7"/>
      <c r="B329" s="29">
        <v>7501943412217</v>
      </c>
      <c r="C329" s="28" t="s">
        <v>187</v>
      </c>
      <c r="D329" s="30">
        <v>19.21</v>
      </c>
      <c r="E329" s="30">
        <v>22.6</v>
      </c>
      <c r="F329" s="5">
        <f t="shared" si="57"/>
        <v>0.15000000000000002</v>
      </c>
      <c r="G329" s="30">
        <v>17.850000000000001</v>
      </c>
      <c r="H329" s="39">
        <v>19.899999999999999</v>
      </c>
      <c r="I329" s="4">
        <f t="shared" si="58"/>
        <v>0.10301507537688426</v>
      </c>
      <c r="J329" s="23"/>
    </row>
    <row r="330" spans="1:10" s="26" customFormat="1">
      <c r="A330" s="25"/>
      <c r="B330" s="34">
        <v>7501036619233</v>
      </c>
      <c r="C330" s="35" t="s">
        <v>203</v>
      </c>
      <c r="D330" s="33">
        <f>27.948*1.16</f>
        <v>32.41968</v>
      </c>
      <c r="E330" s="33">
        <v>38.200000000000003</v>
      </c>
      <c r="F330" s="5">
        <f t="shared" si="57"/>
        <v>0.15131727748691104</v>
      </c>
      <c r="G330" s="33">
        <f>18.4152*1.16</f>
        <v>21.361631999999997</v>
      </c>
      <c r="H330" s="38">
        <v>24.9</v>
      </c>
      <c r="I330" s="4">
        <f t="shared" si="58"/>
        <v>0.14210313253012052</v>
      </c>
      <c r="J330" s="23"/>
    </row>
    <row r="331" spans="1:10" s="26" customFormat="1">
      <c r="A331" s="7" t="s">
        <v>32</v>
      </c>
      <c r="B331" s="34">
        <v>7501017004362</v>
      </c>
      <c r="C331" s="35" t="s">
        <v>234</v>
      </c>
      <c r="D331" s="33">
        <v>10.95</v>
      </c>
      <c r="E331" s="33">
        <v>13.3</v>
      </c>
      <c r="F331" s="40">
        <f>+((D331/E331)-1)*-1</f>
        <v>0.17669172932330834</v>
      </c>
      <c r="G331" s="33">
        <v>9.9649999999999999</v>
      </c>
      <c r="H331" s="38">
        <v>11.5</v>
      </c>
      <c r="I331" s="4">
        <f t="shared" si="58"/>
        <v>0.13347826086956527</v>
      </c>
      <c r="J331" s="23"/>
    </row>
    <row r="332" spans="1:10" s="26" customFormat="1">
      <c r="A332" s="25"/>
      <c r="B332" s="34">
        <v>7501017004294</v>
      </c>
      <c r="C332" s="35" t="s">
        <v>233</v>
      </c>
      <c r="D332" s="33">
        <v>10.95</v>
      </c>
      <c r="E332" s="33">
        <v>13.3</v>
      </c>
      <c r="F332" s="40">
        <f>+((D332/E332)-1)*-1</f>
        <v>0.17669172932330834</v>
      </c>
      <c r="G332" s="33">
        <v>9.9649999999999999</v>
      </c>
      <c r="H332" s="38">
        <v>11.5</v>
      </c>
      <c r="I332" s="4">
        <f t="shared" si="58"/>
        <v>0.13347826086956527</v>
      </c>
      <c r="J332" s="23"/>
    </row>
    <row r="333" spans="1:10" s="26" customFormat="1">
      <c r="A333" s="25"/>
      <c r="B333" s="34">
        <v>7501017004270</v>
      </c>
      <c r="C333" s="35" t="s">
        <v>231</v>
      </c>
      <c r="D333" s="33">
        <v>13.08</v>
      </c>
      <c r="E333" s="33">
        <v>15.9</v>
      </c>
      <c r="F333" s="5">
        <f>+((D333/E333)-1)*-1</f>
        <v>0.1773584905660377</v>
      </c>
      <c r="G333" s="33">
        <v>11.238099999999999</v>
      </c>
      <c r="H333" s="38">
        <v>12.9</v>
      </c>
      <c r="I333" s="4">
        <f t="shared" si="58"/>
        <v>0.12882945736434115</v>
      </c>
      <c r="J333" s="23"/>
    </row>
    <row r="334" spans="1:10" s="26" customFormat="1">
      <c r="A334" s="25"/>
      <c r="B334" s="34">
        <v>7501017004423</v>
      </c>
      <c r="C334" s="35" t="s">
        <v>235</v>
      </c>
      <c r="D334" s="33">
        <v>13.08</v>
      </c>
      <c r="E334" s="33">
        <v>15.9</v>
      </c>
      <c r="F334" s="5">
        <f>+((D334/E334)-1)*-1</f>
        <v>0.1773584905660377</v>
      </c>
      <c r="G334" s="33">
        <v>11.238099999999999</v>
      </c>
      <c r="H334" s="38">
        <v>12.9</v>
      </c>
      <c r="I334" s="4">
        <f t="shared" si="58"/>
        <v>0.12882945736434115</v>
      </c>
      <c r="J334" s="23"/>
    </row>
    <row r="335" spans="1:10" s="26" customFormat="1">
      <c r="A335" s="25"/>
      <c r="B335" s="34">
        <v>7501017004287</v>
      </c>
      <c r="C335" s="35" t="s">
        <v>232</v>
      </c>
      <c r="D335" s="33">
        <v>15.42</v>
      </c>
      <c r="E335" s="33">
        <v>19.3</v>
      </c>
      <c r="F335" s="5">
        <f t="shared" ref="F335:F340" si="59">+((D335/E335)-1)*-1</f>
        <v>0.20103626943005182</v>
      </c>
      <c r="G335" s="33">
        <v>13.76</v>
      </c>
      <c r="H335" s="38">
        <v>15.9</v>
      </c>
      <c r="I335" s="4">
        <f t="shared" si="58"/>
        <v>0.13459119496855354</v>
      </c>
      <c r="J335" s="23"/>
    </row>
    <row r="336" spans="1:10" s="26" customFormat="1">
      <c r="A336" s="7" t="s">
        <v>33</v>
      </c>
      <c r="B336" s="52"/>
      <c r="C336" s="53" t="s">
        <v>219</v>
      </c>
      <c r="D336" s="30">
        <v>4.5</v>
      </c>
      <c r="E336" s="30">
        <v>5.4</v>
      </c>
      <c r="F336" s="5">
        <f t="shared" si="59"/>
        <v>0.16666666666666674</v>
      </c>
      <c r="G336" s="30">
        <f>+D336-0.5</f>
        <v>4</v>
      </c>
      <c r="H336" s="39">
        <v>4.9000000000000004</v>
      </c>
      <c r="I336" s="4">
        <f t="shared" si="58"/>
        <v>0.18367346938775519</v>
      </c>
      <c r="J336" s="23">
        <f t="shared" ref="J336:J337" si="60">+D336-G336</f>
        <v>0.5</v>
      </c>
    </row>
    <row r="337" spans="1:10" s="26" customFormat="1">
      <c r="A337" s="7" t="s">
        <v>34</v>
      </c>
      <c r="B337" s="29"/>
      <c r="C337" s="28"/>
      <c r="D337" s="30"/>
      <c r="E337" s="30"/>
      <c r="F337" s="5" t="e">
        <f t="shared" si="59"/>
        <v>#DIV/0!</v>
      </c>
      <c r="G337" s="30"/>
      <c r="H337" s="39"/>
      <c r="I337" s="4" t="e">
        <f t="shared" si="58"/>
        <v>#DIV/0!</v>
      </c>
      <c r="J337" s="23">
        <f t="shared" si="60"/>
        <v>0</v>
      </c>
    </row>
    <row r="338" spans="1:10" s="26" customFormat="1">
      <c r="A338" s="7" t="s">
        <v>35</v>
      </c>
      <c r="B338" s="29">
        <v>75053901</v>
      </c>
      <c r="C338" s="28" t="s">
        <v>129</v>
      </c>
      <c r="D338" s="30">
        <v>12.37</v>
      </c>
      <c r="E338" s="30">
        <v>15.5</v>
      </c>
      <c r="F338" s="5">
        <f t="shared" si="59"/>
        <v>0.20193548387096782</v>
      </c>
      <c r="G338" s="30">
        <f>+D338*0.95</f>
        <v>11.751499999999998</v>
      </c>
      <c r="H338" s="39">
        <v>13.9</v>
      </c>
      <c r="I338" s="4">
        <f t="shared" si="58"/>
        <v>0.1545683453237412</v>
      </c>
      <c r="J338" s="23">
        <f>+D338-G338</f>
        <v>0.61850000000000094</v>
      </c>
    </row>
    <row r="339" spans="1:10" s="26" customFormat="1">
      <c r="A339" s="7" t="s">
        <v>36</v>
      </c>
      <c r="B339" s="29">
        <v>7501006535303</v>
      </c>
      <c r="C339" s="28" t="s">
        <v>236</v>
      </c>
      <c r="D339" s="30">
        <v>12.958299999999999</v>
      </c>
      <c r="E339" s="30">
        <v>17.399999999999999</v>
      </c>
      <c r="F339" s="5">
        <f t="shared" si="59"/>
        <v>0.25527011494252871</v>
      </c>
      <c r="G339" s="30">
        <v>12.96</v>
      </c>
      <c r="H339" s="39">
        <v>14.9</v>
      </c>
      <c r="I339" s="4">
        <f t="shared" si="58"/>
        <v>0.13020134228187918</v>
      </c>
      <c r="J339" s="23"/>
    </row>
    <row r="340" spans="1:10" s="26" customFormat="1">
      <c r="A340" s="17" t="s">
        <v>37</v>
      </c>
      <c r="B340" s="14"/>
      <c r="C340" s="15"/>
      <c r="D340" s="13"/>
      <c r="E340" s="13"/>
      <c r="F340" s="5" t="e">
        <f t="shared" si="59"/>
        <v>#DIV/0!</v>
      </c>
      <c r="G340" s="13"/>
      <c r="H340" s="20"/>
      <c r="I340" s="4" t="e">
        <f t="shared" si="58"/>
        <v>#DIV/0!</v>
      </c>
      <c r="J340" s="23">
        <f>+D340-G340</f>
        <v>0</v>
      </c>
    </row>
    <row r="348" spans="1:10" s="26" customFormat="1" ht="15.75">
      <c r="A348" s="77" t="s">
        <v>332</v>
      </c>
      <c r="B348" s="77"/>
      <c r="C348" s="77"/>
    </row>
    <row r="349" spans="1:10" s="26" customFormat="1" ht="23.25" customHeight="1">
      <c r="A349" s="78" t="s">
        <v>333</v>
      </c>
      <c r="B349" s="78"/>
      <c r="C349" s="78"/>
      <c r="D349" s="79" t="s">
        <v>0</v>
      </c>
      <c r="E349" s="80"/>
      <c r="F349" s="81"/>
      <c r="G349" s="79" t="s">
        <v>1</v>
      </c>
      <c r="H349" s="80"/>
      <c r="I349" s="81"/>
    </row>
    <row r="350" spans="1:10" s="26" customFormat="1" ht="22.5">
      <c r="A350" s="41" t="s">
        <v>11</v>
      </c>
      <c r="B350" s="41" t="s">
        <v>2</v>
      </c>
      <c r="C350" s="41" t="s">
        <v>3</v>
      </c>
      <c r="D350" s="27" t="s">
        <v>4</v>
      </c>
      <c r="E350" s="27" t="s">
        <v>5</v>
      </c>
      <c r="F350" s="3" t="s">
        <v>6</v>
      </c>
      <c r="G350" s="27" t="s">
        <v>7</v>
      </c>
      <c r="H350" s="37" t="s">
        <v>8</v>
      </c>
      <c r="I350" s="3" t="s">
        <v>9</v>
      </c>
      <c r="J350" s="6" t="s">
        <v>10</v>
      </c>
    </row>
    <row r="351" spans="1:10" s="26" customFormat="1">
      <c r="A351" s="7"/>
      <c r="B351" s="52"/>
      <c r="C351" s="54"/>
      <c r="D351" s="45"/>
      <c r="E351" s="45"/>
      <c r="F351" s="5" t="e">
        <f t="shared" ref="F351:F356" si="61">+((D351/E351)-1)*-1</f>
        <v>#DIV/0!</v>
      </c>
      <c r="G351" s="45"/>
      <c r="H351" s="56"/>
      <c r="I351" s="4" t="e">
        <f t="shared" ref="I351:I356" si="62">+((G351/H351)-1)*-1</f>
        <v>#DIV/0!</v>
      </c>
      <c r="J351" s="23">
        <f t="shared" ref="J351:J353" si="63">+D351-G351</f>
        <v>0</v>
      </c>
    </row>
    <row r="352" spans="1:10" s="26" customFormat="1">
      <c r="A352" s="7"/>
      <c r="B352" s="52">
        <v>7622201768126</v>
      </c>
      <c r="C352" s="54" t="s">
        <v>244</v>
      </c>
      <c r="D352" s="45">
        <v>21.077100000000002</v>
      </c>
      <c r="E352" s="45">
        <v>25.7</v>
      </c>
      <c r="F352" s="5">
        <f t="shared" si="61"/>
        <v>0.17987937743190652</v>
      </c>
      <c r="G352" s="45">
        <v>19.18</v>
      </c>
      <c r="H352" s="56">
        <v>21.9</v>
      </c>
      <c r="I352" s="4">
        <f t="shared" si="62"/>
        <v>0.1242009132420091</v>
      </c>
      <c r="J352" s="23">
        <f t="shared" si="63"/>
        <v>1.8971000000000018</v>
      </c>
    </row>
    <row r="353" spans="1:10" s="26" customFormat="1">
      <c r="A353" s="7"/>
      <c r="B353" s="52">
        <v>7622201770778</v>
      </c>
      <c r="C353" s="54" t="s">
        <v>322</v>
      </c>
      <c r="D353" s="45">
        <v>29.5</v>
      </c>
      <c r="E353" s="45">
        <v>37.200000000000003</v>
      </c>
      <c r="F353" s="5">
        <f t="shared" si="61"/>
        <v>0.206989247311828</v>
      </c>
      <c r="G353" s="45">
        <v>26.85</v>
      </c>
      <c r="H353" s="56">
        <v>29.9</v>
      </c>
      <c r="I353" s="4">
        <f t="shared" si="62"/>
        <v>0.10200668896321063</v>
      </c>
      <c r="J353" s="23">
        <f t="shared" si="63"/>
        <v>2.6499999999999986</v>
      </c>
    </row>
    <row r="354" spans="1:10" s="26" customFormat="1">
      <c r="A354" s="25"/>
      <c r="B354" s="50">
        <v>735051016372</v>
      </c>
      <c r="C354" s="54" t="s">
        <v>323</v>
      </c>
      <c r="D354" s="45">
        <v>11.35</v>
      </c>
      <c r="E354" s="45">
        <v>13.8</v>
      </c>
      <c r="F354" s="5">
        <f t="shared" si="61"/>
        <v>0.17753623188405809</v>
      </c>
      <c r="G354" s="45">
        <v>10.220000000000001</v>
      </c>
      <c r="H354" s="56">
        <v>12.5</v>
      </c>
      <c r="I354" s="4">
        <f t="shared" si="62"/>
        <v>0.1823999999999999</v>
      </c>
      <c r="J354" s="23">
        <f>+D354-G354</f>
        <v>1.129999999999999</v>
      </c>
    </row>
    <row r="355" spans="1:10" s="26" customFormat="1">
      <c r="A355" s="7"/>
      <c r="B355" s="52" t="s">
        <v>324</v>
      </c>
      <c r="C355" s="54" t="s">
        <v>325</v>
      </c>
      <c r="D355" s="45">
        <v>18.079999999999998</v>
      </c>
      <c r="E355" s="45">
        <v>22.6</v>
      </c>
      <c r="F355" s="5">
        <f t="shared" si="61"/>
        <v>0.20000000000000018</v>
      </c>
      <c r="G355" s="45">
        <v>16.13</v>
      </c>
      <c r="H355" s="56">
        <v>18.5</v>
      </c>
      <c r="I355" s="4">
        <f t="shared" si="62"/>
        <v>0.12810810810810813</v>
      </c>
      <c r="J355" s="23">
        <f t="shared" ref="J355:J356" si="64">+D355-G355</f>
        <v>1.9499999999999993</v>
      </c>
    </row>
    <row r="356" spans="1:10" s="26" customFormat="1">
      <c r="A356" s="7"/>
      <c r="B356" s="52">
        <v>608875002565</v>
      </c>
      <c r="C356" s="54" t="s">
        <v>326</v>
      </c>
      <c r="D356" s="45">
        <v>24.24</v>
      </c>
      <c r="E356" s="45">
        <v>30.5</v>
      </c>
      <c r="F356" s="5">
        <f t="shared" si="61"/>
        <v>0.20524590163934431</v>
      </c>
      <c r="G356" s="45">
        <v>21.82</v>
      </c>
      <c r="H356" s="56">
        <v>24.9</v>
      </c>
      <c r="I356" s="4">
        <f t="shared" si="62"/>
        <v>0.12369477911646576</v>
      </c>
      <c r="J356" s="23">
        <f t="shared" si="64"/>
        <v>2.4199999999999982</v>
      </c>
    </row>
    <row r="357" spans="1:10" s="26" customFormat="1">
      <c r="A357" s="25"/>
      <c r="B357" s="50">
        <v>7501041419071</v>
      </c>
      <c r="C357" s="54" t="s">
        <v>251</v>
      </c>
      <c r="D357" s="45">
        <v>13.55</v>
      </c>
      <c r="E357" s="45">
        <v>15.9</v>
      </c>
      <c r="F357" s="40">
        <v>0.14779874213836475</v>
      </c>
      <c r="G357" s="45">
        <v>12.05</v>
      </c>
      <c r="H357" s="56">
        <v>13.9</v>
      </c>
      <c r="I357" s="42">
        <v>0.13309352517985606</v>
      </c>
      <c r="J357" s="23"/>
    </row>
    <row r="358" spans="1:10" s="26" customFormat="1">
      <c r="A358" s="25"/>
      <c r="B358" s="50">
        <v>7501041419088</v>
      </c>
      <c r="C358" s="54" t="s">
        <v>250</v>
      </c>
      <c r="D358" s="45">
        <v>13.55</v>
      </c>
      <c r="E358" s="45">
        <v>15.9</v>
      </c>
      <c r="F358" s="40">
        <v>0.14779874213836475</v>
      </c>
      <c r="G358" s="45">
        <v>12.05</v>
      </c>
      <c r="H358" s="56">
        <v>13.9</v>
      </c>
      <c r="I358" s="42">
        <v>0.13309352517985606</v>
      </c>
      <c r="J358" s="23"/>
    </row>
    <row r="359" spans="1:10" s="26" customFormat="1">
      <c r="A359" s="7"/>
      <c r="B359" s="52">
        <v>7500435155069</v>
      </c>
      <c r="C359" s="54" t="s">
        <v>300</v>
      </c>
      <c r="D359" s="45">
        <f>19.014*1.16</f>
        <v>22.056239999999999</v>
      </c>
      <c r="E359" s="45">
        <v>27.6</v>
      </c>
      <c r="F359" s="5">
        <f t="shared" ref="F359:F372" si="65">+((D359/E359)-1)*-1</f>
        <v>0.20086086956521743</v>
      </c>
      <c r="G359" s="45">
        <f>+D359*0.8</f>
        <v>17.644991999999998</v>
      </c>
      <c r="H359" s="56">
        <v>19.899999999999999</v>
      </c>
      <c r="I359" s="4">
        <f t="shared" ref="I359:I372" si="66">+((G359/H359)-1)*-1</f>
        <v>0.11331698492462317</v>
      </c>
      <c r="J359" s="23">
        <f t="shared" ref="J359:J361" si="67">+D359-G359</f>
        <v>4.4112480000000005</v>
      </c>
    </row>
    <row r="360" spans="1:10" s="26" customFormat="1">
      <c r="A360" s="7"/>
      <c r="B360" s="52">
        <v>7500435137287</v>
      </c>
      <c r="C360" s="54" t="s">
        <v>42</v>
      </c>
      <c r="D360" s="45">
        <f>15.6*1.16</f>
        <v>18.096</v>
      </c>
      <c r="E360" s="45">
        <v>20.9</v>
      </c>
      <c r="F360" s="5">
        <f t="shared" si="65"/>
        <v>0.13416267942583726</v>
      </c>
      <c r="G360" s="45">
        <v>15.21</v>
      </c>
      <c r="H360" s="56">
        <v>16.899999999999999</v>
      </c>
      <c r="I360" s="4">
        <f t="shared" si="66"/>
        <v>9.9999999999999867E-2</v>
      </c>
      <c r="J360" s="23">
        <f t="shared" si="67"/>
        <v>2.8859999999999992</v>
      </c>
    </row>
    <row r="361" spans="1:10" s="26" customFormat="1">
      <c r="A361" s="7"/>
      <c r="B361" s="52">
        <v>7501007716206</v>
      </c>
      <c r="C361" s="54" t="s">
        <v>168</v>
      </c>
      <c r="D361" s="45">
        <f>25.82*1.16</f>
        <v>29.951199999999996</v>
      </c>
      <c r="E361" s="45">
        <v>37.6</v>
      </c>
      <c r="F361" s="5">
        <f t="shared" si="65"/>
        <v>0.20342553191489376</v>
      </c>
      <c r="G361" s="45">
        <f>+D361*0.9</f>
        <v>26.956079999999996</v>
      </c>
      <c r="H361" s="56">
        <v>30.9</v>
      </c>
      <c r="I361" s="4">
        <f t="shared" si="66"/>
        <v>0.12763495145631076</v>
      </c>
      <c r="J361" s="23">
        <f t="shared" si="67"/>
        <v>2.99512</v>
      </c>
    </row>
    <row r="362" spans="1:10" s="26" customFormat="1">
      <c r="A362" s="25"/>
      <c r="B362" s="50"/>
      <c r="C362" s="54"/>
      <c r="D362" s="45"/>
      <c r="E362" s="45"/>
      <c r="F362" s="5" t="e">
        <f t="shared" si="65"/>
        <v>#DIV/0!</v>
      </c>
      <c r="G362" s="45"/>
      <c r="H362" s="56"/>
      <c r="I362" s="4" t="e">
        <f t="shared" si="66"/>
        <v>#DIV/0!</v>
      </c>
      <c r="J362" s="23"/>
    </row>
    <row r="363" spans="1:10" s="26" customFormat="1">
      <c r="A363" s="25"/>
      <c r="B363" s="50">
        <v>7501039122105</v>
      </c>
      <c r="C363" s="54" t="s">
        <v>331</v>
      </c>
      <c r="D363" s="45">
        <v>34</v>
      </c>
      <c r="E363" s="45">
        <v>38.6</v>
      </c>
      <c r="F363" s="5">
        <f t="shared" si="65"/>
        <v>0.11917098445595853</v>
      </c>
      <c r="G363" s="45">
        <v>32.5</v>
      </c>
      <c r="H363" s="56">
        <v>35.9</v>
      </c>
      <c r="I363" s="4">
        <f t="shared" si="66"/>
        <v>9.4707520891364916E-2</v>
      </c>
      <c r="J363" s="23">
        <f t="shared" ref="J363:J364" si="68">+D363-G363</f>
        <v>1.5</v>
      </c>
    </row>
    <row r="364" spans="1:10" s="26" customFormat="1">
      <c r="A364" s="25"/>
      <c r="B364" s="50">
        <v>7501039122846</v>
      </c>
      <c r="C364" s="54" t="s">
        <v>328</v>
      </c>
      <c r="D364" s="45">
        <v>37</v>
      </c>
      <c r="E364" s="45">
        <v>41.9</v>
      </c>
      <c r="F364" s="5">
        <f t="shared" si="65"/>
        <v>0.116945107398568</v>
      </c>
      <c r="G364" s="45">
        <f>+D364-1</f>
        <v>36</v>
      </c>
      <c r="H364" s="56">
        <v>39.9</v>
      </c>
      <c r="I364" s="4">
        <f t="shared" si="66"/>
        <v>9.7744360902255578E-2</v>
      </c>
      <c r="J364" s="23">
        <f t="shared" si="68"/>
        <v>1</v>
      </c>
    </row>
    <row r="365" spans="1:10" s="26" customFormat="1">
      <c r="A365" s="25"/>
      <c r="B365" s="50"/>
      <c r="C365" s="54"/>
      <c r="D365" s="45"/>
      <c r="E365" s="45"/>
      <c r="F365" s="5" t="e">
        <f t="shared" si="65"/>
        <v>#DIV/0!</v>
      </c>
      <c r="G365" s="45"/>
      <c r="H365" s="56"/>
      <c r="I365" s="4" t="e">
        <f t="shared" si="66"/>
        <v>#DIV/0!</v>
      </c>
      <c r="J365" s="23"/>
    </row>
    <row r="366" spans="1:10" s="26" customFormat="1">
      <c r="A366" s="17" t="s">
        <v>12</v>
      </c>
      <c r="B366" s="34">
        <v>7501048103010</v>
      </c>
      <c r="C366" s="35" t="s">
        <v>310</v>
      </c>
      <c r="D366" s="33">
        <v>39</v>
      </c>
      <c r="E366" s="33">
        <v>44.3</v>
      </c>
      <c r="F366" s="5">
        <f t="shared" si="65"/>
        <v>0.11963882618510158</v>
      </c>
      <c r="G366" s="33">
        <v>38</v>
      </c>
      <c r="H366" s="38">
        <v>42.5</v>
      </c>
      <c r="I366" s="4">
        <f t="shared" si="66"/>
        <v>0.10588235294117643</v>
      </c>
      <c r="J366" s="23"/>
    </row>
    <row r="367" spans="1:10" s="26" customFormat="1">
      <c r="A367" s="25"/>
      <c r="B367" s="34">
        <v>7501119901057</v>
      </c>
      <c r="C367" s="44" t="s">
        <v>309</v>
      </c>
      <c r="D367" s="45">
        <v>14.85</v>
      </c>
      <c r="E367" s="45">
        <v>16.899999999999999</v>
      </c>
      <c r="F367" s="5">
        <f t="shared" si="65"/>
        <v>0.12130177514792895</v>
      </c>
      <c r="G367" s="45">
        <v>14.11</v>
      </c>
      <c r="H367" s="46">
        <v>15.9</v>
      </c>
      <c r="I367" s="4">
        <f t="shared" si="66"/>
        <v>0.11257861635220134</v>
      </c>
      <c r="J367" s="23"/>
    </row>
    <row r="368" spans="1:10" s="26" customFormat="1">
      <c r="A368" s="7" t="s">
        <v>13</v>
      </c>
      <c r="B368" s="29">
        <v>608875001216</v>
      </c>
      <c r="C368" s="44" t="s">
        <v>327</v>
      </c>
      <c r="D368" s="45">
        <v>25.125</v>
      </c>
      <c r="E368" s="45">
        <v>30.6</v>
      </c>
      <c r="F368" s="5">
        <f t="shared" si="65"/>
        <v>0.17892156862745101</v>
      </c>
      <c r="G368" s="45">
        <v>22.6</v>
      </c>
      <c r="H368" s="46">
        <v>25.5</v>
      </c>
      <c r="I368" s="4">
        <f t="shared" si="66"/>
        <v>0.11372549019607836</v>
      </c>
      <c r="J368" s="23">
        <f t="shared" ref="J368" si="69">+D368-G368</f>
        <v>2.5249999999999986</v>
      </c>
    </row>
    <row r="369" spans="1:10" s="26" customFormat="1">
      <c r="A369" s="17" t="s">
        <v>14</v>
      </c>
      <c r="B369" s="34">
        <v>7501468700127</v>
      </c>
      <c r="C369" s="35" t="s">
        <v>329</v>
      </c>
      <c r="D369" s="33">
        <v>15.5</v>
      </c>
      <c r="E369" s="33">
        <v>17.7</v>
      </c>
      <c r="F369" s="5">
        <f t="shared" si="65"/>
        <v>0.12429378531073443</v>
      </c>
      <c r="G369" s="33">
        <f>+D369*0.9</f>
        <v>13.950000000000001</v>
      </c>
      <c r="H369" s="38">
        <v>15.9</v>
      </c>
      <c r="I369" s="4">
        <f t="shared" si="66"/>
        <v>0.12264150943396224</v>
      </c>
      <c r="J369" s="23">
        <f>+D369-G369</f>
        <v>1.5499999999999989</v>
      </c>
    </row>
    <row r="370" spans="1:10" s="26" customFormat="1">
      <c r="A370" s="25"/>
      <c r="B370" s="34">
        <v>7501125410109</v>
      </c>
      <c r="C370" s="35" t="s">
        <v>85</v>
      </c>
      <c r="D370" s="33">
        <v>20.5</v>
      </c>
      <c r="E370" s="33">
        <v>29.3</v>
      </c>
      <c r="F370" s="5">
        <f t="shared" si="65"/>
        <v>0.30034129692832767</v>
      </c>
      <c r="G370" s="33">
        <v>20.5</v>
      </c>
      <c r="H370" s="38">
        <v>23.5</v>
      </c>
      <c r="I370" s="4">
        <f t="shared" si="66"/>
        <v>0.12765957446808507</v>
      </c>
      <c r="J370" s="23">
        <f>+D370-G370</f>
        <v>0</v>
      </c>
    </row>
    <row r="371" spans="1:10" s="26" customFormat="1">
      <c r="A371" s="7" t="s">
        <v>15</v>
      </c>
      <c r="B371" s="29"/>
      <c r="C371" s="47"/>
      <c r="D371" s="48"/>
      <c r="E371" s="48"/>
      <c r="F371" s="5" t="e">
        <f t="shared" si="65"/>
        <v>#DIV/0!</v>
      </c>
      <c r="G371" s="48"/>
      <c r="H371" s="49"/>
      <c r="I371" s="4" t="e">
        <f t="shared" si="66"/>
        <v>#DIV/0!</v>
      </c>
      <c r="J371" s="23"/>
    </row>
    <row r="372" spans="1:10" s="26" customFormat="1">
      <c r="A372" s="7" t="s">
        <v>16</v>
      </c>
      <c r="B372" s="29">
        <v>75000615</v>
      </c>
      <c r="C372" s="28" t="s">
        <v>52</v>
      </c>
      <c r="D372" s="30">
        <v>13.328399999999998</v>
      </c>
      <c r="E372" s="30">
        <v>16.7</v>
      </c>
      <c r="F372" s="5">
        <f t="shared" si="65"/>
        <v>0.20189221556886239</v>
      </c>
      <c r="G372" s="30">
        <v>9.81</v>
      </c>
      <c r="H372" s="39">
        <v>10.9</v>
      </c>
      <c r="I372" s="4">
        <f t="shared" si="66"/>
        <v>9.9999999999999978E-2</v>
      </c>
      <c r="J372" s="23">
        <f t="shared" ref="J372" si="70">+D372-G372</f>
        <v>3.518399999999998</v>
      </c>
    </row>
    <row r="373" spans="1:10" s="26" customFormat="1">
      <c r="A373" s="7"/>
      <c r="B373" s="29">
        <v>7501025413019</v>
      </c>
      <c r="C373" s="28" t="s">
        <v>257</v>
      </c>
      <c r="D373" s="30">
        <v>16.034099999999999</v>
      </c>
      <c r="E373" s="30">
        <v>19.899999999999999</v>
      </c>
      <c r="F373" s="5">
        <f>+((D373/E373)-1)*-1</f>
        <v>0.19426633165829144</v>
      </c>
      <c r="G373" s="30">
        <v>15.21</v>
      </c>
      <c r="H373" s="39">
        <v>16.899999999999999</v>
      </c>
      <c r="I373" s="4">
        <f>+((G373/H373)-1)*-1</f>
        <v>9.9999999999999867E-2</v>
      </c>
      <c r="J373" s="23">
        <f>+D373-G373</f>
        <v>0.82409999999999783</v>
      </c>
    </row>
    <row r="374" spans="1:10" s="26" customFormat="1">
      <c r="A374" s="7"/>
      <c r="B374" s="29">
        <v>7501025414009</v>
      </c>
      <c r="C374" s="28" t="s">
        <v>258</v>
      </c>
      <c r="D374" s="30">
        <v>16.034099999999999</v>
      </c>
      <c r="E374" s="30">
        <v>19.899999999999999</v>
      </c>
      <c r="F374" s="5">
        <f>+((D374/E374)-1)*-1</f>
        <v>0.19426633165829144</v>
      </c>
      <c r="G374" s="30">
        <v>15.21</v>
      </c>
      <c r="H374" s="39">
        <v>16.899999999999999</v>
      </c>
      <c r="I374" s="4">
        <f>+((G374/H374)-1)*-1</f>
        <v>9.9999999999999867E-2</v>
      </c>
      <c r="J374" s="23">
        <f>+D374-G374</f>
        <v>0.82409999999999783</v>
      </c>
    </row>
    <row r="375" spans="1:10" s="26" customFormat="1">
      <c r="A375" s="25"/>
      <c r="B375" s="34">
        <v>7501025413002</v>
      </c>
      <c r="C375" s="35" t="s">
        <v>256</v>
      </c>
      <c r="D375" s="33">
        <v>18.663936</v>
      </c>
      <c r="E375" s="33">
        <v>23.4</v>
      </c>
      <c r="F375" s="5">
        <f t="shared" ref="F375:F438" si="71">+((D375/E375)-1)*-1</f>
        <v>0.20239589743589737</v>
      </c>
      <c r="G375" s="33">
        <v>16.11</v>
      </c>
      <c r="H375" s="38">
        <v>17.899999999999999</v>
      </c>
      <c r="I375" s="4">
        <f t="shared" ref="I375:I451" si="72">+((G375/H375)-1)*-1</f>
        <v>9.9999999999999978E-2</v>
      </c>
      <c r="J375" s="23">
        <f t="shared" ref="J375:J388" si="73">+D375-G375</f>
        <v>2.5539360000000002</v>
      </c>
    </row>
    <row r="376" spans="1:10" s="26" customFormat="1">
      <c r="A376" s="43"/>
      <c r="B376" s="34">
        <v>7501025414030</v>
      </c>
      <c r="C376" s="35" t="s">
        <v>259</v>
      </c>
      <c r="D376" s="30">
        <v>18.663936</v>
      </c>
      <c r="E376" s="33">
        <v>23.4</v>
      </c>
      <c r="F376" s="5">
        <f t="shared" si="71"/>
        <v>0.20239589743589737</v>
      </c>
      <c r="G376" s="33">
        <v>16.11</v>
      </c>
      <c r="H376" s="38">
        <v>17.899999999999999</v>
      </c>
      <c r="I376" s="4">
        <f t="shared" si="72"/>
        <v>9.9999999999999978E-2</v>
      </c>
      <c r="J376" s="23">
        <f t="shared" si="73"/>
        <v>2.5539360000000002</v>
      </c>
    </row>
    <row r="377" spans="1:10" s="26" customFormat="1">
      <c r="A377" s="7"/>
      <c r="B377" s="29">
        <v>7501025414054</v>
      </c>
      <c r="C377" s="28" t="s">
        <v>260</v>
      </c>
      <c r="D377" s="30">
        <v>18.663936</v>
      </c>
      <c r="E377" s="30">
        <v>23.4</v>
      </c>
      <c r="F377" s="5">
        <f t="shared" si="71"/>
        <v>0.20239589743589737</v>
      </c>
      <c r="G377" s="33">
        <v>16.11</v>
      </c>
      <c r="H377" s="38">
        <v>17.899999999999999</v>
      </c>
      <c r="I377" s="4">
        <f t="shared" si="72"/>
        <v>9.9999999999999978E-2</v>
      </c>
      <c r="J377" s="23">
        <f t="shared" si="73"/>
        <v>2.5539360000000002</v>
      </c>
    </row>
    <row r="378" spans="1:10" s="26" customFormat="1">
      <c r="A378" s="7"/>
      <c r="B378" s="29">
        <v>7501025414108</v>
      </c>
      <c r="C378" s="28" t="s">
        <v>261</v>
      </c>
      <c r="D378" s="30">
        <v>18.663936</v>
      </c>
      <c r="E378" s="30">
        <v>23.4</v>
      </c>
      <c r="F378" s="5">
        <f t="shared" si="71"/>
        <v>0.20239589743589737</v>
      </c>
      <c r="G378" s="33">
        <v>16.11</v>
      </c>
      <c r="H378" s="38">
        <v>17.899999999999999</v>
      </c>
      <c r="I378" s="4">
        <f t="shared" si="72"/>
        <v>9.9999999999999978E-2</v>
      </c>
      <c r="J378" s="23">
        <f t="shared" si="73"/>
        <v>2.5539360000000002</v>
      </c>
    </row>
    <row r="379" spans="1:10" s="26" customFormat="1">
      <c r="A379" s="7"/>
      <c r="B379" s="29">
        <v>7501025414153</v>
      </c>
      <c r="C379" s="28" t="s">
        <v>262</v>
      </c>
      <c r="D379" s="30">
        <v>18.663936</v>
      </c>
      <c r="E379" s="30">
        <v>23.4</v>
      </c>
      <c r="F379" s="5">
        <f t="shared" si="71"/>
        <v>0.20239589743589737</v>
      </c>
      <c r="G379" s="33">
        <v>16.11</v>
      </c>
      <c r="H379" s="38">
        <v>17.899999999999999</v>
      </c>
      <c r="I379" s="4">
        <f t="shared" si="72"/>
        <v>9.9999999999999978E-2</v>
      </c>
      <c r="J379" s="23">
        <f t="shared" si="73"/>
        <v>2.5539360000000002</v>
      </c>
    </row>
    <row r="380" spans="1:10" s="26" customFormat="1">
      <c r="A380" s="7"/>
      <c r="B380" s="29">
        <v>7501025414207</v>
      </c>
      <c r="C380" s="28" t="s">
        <v>263</v>
      </c>
      <c r="D380" s="30">
        <v>18.663936</v>
      </c>
      <c r="E380" s="30">
        <v>23.4</v>
      </c>
      <c r="F380" s="5">
        <f t="shared" si="71"/>
        <v>0.20239589743589737</v>
      </c>
      <c r="G380" s="33">
        <v>16.11</v>
      </c>
      <c r="H380" s="38">
        <v>17.899999999999999</v>
      </c>
      <c r="I380" s="4">
        <f t="shared" si="72"/>
        <v>9.9999999999999978E-2</v>
      </c>
      <c r="J380" s="23">
        <f t="shared" si="73"/>
        <v>2.5539360000000002</v>
      </c>
    </row>
    <row r="381" spans="1:10" s="26" customFormat="1">
      <c r="A381" s="7"/>
      <c r="B381" s="29">
        <v>7501025414351</v>
      </c>
      <c r="C381" s="28" t="s">
        <v>264</v>
      </c>
      <c r="D381" s="30">
        <v>18.663936</v>
      </c>
      <c r="E381" s="30">
        <v>23.4</v>
      </c>
      <c r="F381" s="5">
        <f t="shared" si="71"/>
        <v>0.20239589743589737</v>
      </c>
      <c r="G381" s="33">
        <v>16.11</v>
      </c>
      <c r="H381" s="38">
        <v>17.899999999999999</v>
      </c>
      <c r="I381" s="4">
        <f t="shared" si="72"/>
        <v>9.9999999999999978E-2</v>
      </c>
      <c r="J381" s="23">
        <f t="shared" si="73"/>
        <v>2.5539360000000002</v>
      </c>
    </row>
    <row r="382" spans="1:10" s="26" customFormat="1">
      <c r="A382" s="7"/>
      <c r="B382" s="29">
        <v>7501025444365</v>
      </c>
      <c r="C382" s="28" t="s">
        <v>56</v>
      </c>
      <c r="D382" s="30">
        <v>18.663936</v>
      </c>
      <c r="E382" s="30">
        <v>23.4</v>
      </c>
      <c r="F382" s="5">
        <f t="shared" si="71"/>
        <v>0.20239589743589737</v>
      </c>
      <c r="G382" s="33">
        <v>16.11</v>
      </c>
      <c r="H382" s="38">
        <v>17.899999999999999</v>
      </c>
      <c r="I382" s="4">
        <f t="shared" si="72"/>
        <v>9.9999999999999978E-2</v>
      </c>
      <c r="J382" s="23">
        <f t="shared" si="73"/>
        <v>2.5539360000000002</v>
      </c>
    </row>
    <row r="383" spans="1:10" s="26" customFormat="1">
      <c r="A383" s="7"/>
      <c r="B383" s="29">
        <v>7501025414450</v>
      </c>
      <c r="C383" s="28" t="s">
        <v>265</v>
      </c>
      <c r="D383" s="30">
        <v>18.663936</v>
      </c>
      <c r="E383" s="30">
        <v>23.4</v>
      </c>
      <c r="F383" s="5">
        <f t="shared" si="71"/>
        <v>0.20239589743589737</v>
      </c>
      <c r="G383" s="33">
        <v>16.11</v>
      </c>
      <c r="H383" s="38">
        <v>17.899999999999999</v>
      </c>
      <c r="I383" s="4">
        <f t="shared" si="72"/>
        <v>9.9999999999999978E-2</v>
      </c>
      <c r="J383" s="23">
        <f t="shared" si="73"/>
        <v>2.5539360000000002</v>
      </c>
    </row>
    <row r="384" spans="1:10" s="26" customFormat="1">
      <c r="A384" s="7"/>
      <c r="B384" s="29">
        <v>7501025408084</v>
      </c>
      <c r="C384" s="28" t="s">
        <v>299</v>
      </c>
      <c r="D384" s="30">
        <v>18.663936</v>
      </c>
      <c r="E384" s="30">
        <v>23.4</v>
      </c>
      <c r="F384" s="5">
        <f t="shared" si="71"/>
        <v>0.20239589743589737</v>
      </c>
      <c r="G384" s="33">
        <v>16.11</v>
      </c>
      <c r="H384" s="38">
        <v>17.899999999999999</v>
      </c>
      <c r="I384" s="4">
        <f t="shared" si="72"/>
        <v>9.9999999999999978E-2</v>
      </c>
      <c r="J384" s="23">
        <f t="shared" si="73"/>
        <v>2.5539360000000002</v>
      </c>
    </row>
    <row r="385" spans="1:10" s="26" customFormat="1">
      <c r="A385" s="7"/>
      <c r="B385" s="29"/>
      <c r="C385" s="28"/>
      <c r="D385" s="30"/>
      <c r="E385" s="30"/>
      <c r="F385" s="5" t="e">
        <f t="shared" si="71"/>
        <v>#DIV/0!</v>
      </c>
      <c r="G385" s="30"/>
      <c r="H385" s="39"/>
      <c r="I385" s="4" t="e">
        <f t="shared" si="72"/>
        <v>#DIV/0!</v>
      </c>
      <c r="J385" s="23">
        <f t="shared" si="73"/>
        <v>0</v>
      </c>
    </row>
    <row r="386" spans="1:10" s="26" customFormat="1">
      <c r="A386" s="7" t="s">
        <v>17</v>
      </c>
      <c r="B386" s="29">
        <v>7501000912803</v>
      </c>
      <c r="C386" s="28" t="s">
        <v>314</v>
      </c>
      <c r="D386" s="30">
        <v>22.182300000000001</v>
      </c>
      <c r="E386" s="30">
        <v>25.2</v>
      </c>
      <c r="F386" s="5">
        <f t="shared" si="71"/>
        <v>0.11974999999999991</v>
      </c>
      <c r="G386" s="30">
        <f>+D386*0.95</f>
        <v>21.073184999999999</v>
      </c>
      <c r="H386" s="39">
        <v>23.9</v>
      </c>
      <c r="I386" s="4">
        <f t="shared" si="72"/>
        <v>0.11827677824267779</v>
      </c>
      <c r="J386" s="23">
        <f t="shared" si="73"/>
        <v>1.1091150000000027</v>
      </c>
    </row>
    <row r="387" spans="1:10" s="26" customFormat="1">
      <c r="A387" s="7" t="s">
        <v>169</v>
      </c>
      <c r="B387" s="29"/>
      <c r="C387" s="28"/>
      <c r="D387" s="30"/>
      <c r="E387" s="30"/>
      <c r="F387" s="5" t="e">
        <f t="shared" si="71"/>
        <v>#DIV/0!</v>
      </c>
      <c r="G387" s="30"/>
      <c r="H387" s="39"/>
      <c r="I387" s="4" t="e">
        <f t="shared" si="72"/>
        <v>#DIV/0!</v>
      </c>
      <c r="J387" s="23">
        <f t="shared" si="73"/>
        <v>0</v>
      </c>
    </row>
    <row r="388" spans="1:10" s="26" customFormat="1">
      <c r="A388" s="7" t="s">
        <v>18</v>
      </c>
      <c r="B388" s="29">
        <v>7501058611062</v>
      </c>
      <c r="C388" s="28" t="s">
        <v>170</v>
      </c>
      <c r="D388" s="30">
        <v>14.4627</v>
      </c>
      <c r="E388" s="30">
        <v>18.2</v>
      </c>
      <c r="F388" s="5">
        <f t="shared" si="71"/>
        <v>0.20534615384615384</v>
      </c>
      <c r="G388" s="30">
        <v>13.74</v>
      </c>
      <c r="H388" s="39">
        <v>15.9</v>
      </c>
      <c r="I388" s="4">
        <f t="shared" si="72"/>
        <v>0.13584905660377355</v>
      </c>
      <c r="J388" s="23">
        <f t="shared" si="73"/>
        <v>0.72269999999999968</v>
      </c>
    </row>
    <row r="389" spans="1:10" s="26" customFormat="1">
      <c r="A389" s="7" t="s">
        <v>19</v>
      </c>
      <c r="B389" s="29">
        <v>722776020029</v>
      </c>
      <c r="C389" s="28" t="s">
        <v>313</v>
      </c>
      <c r="D389" s="30">
        <v>55.6</v>
      </c>
      <c r="E389" s="30">
        <v>69.400000000000006</v>
      </c>
      <c r="F389" s="5">
        <f t="shared" si="71"/>
        <v>0.19884726224783866</v>
      </c>
      <c r="G389" s="30">
        <v>53.17</v>
      </c>
      <c r="H389" s="39">
        <v>60.9</v>
      </c>
      <c r="I389" s="4">
        <f t="shared" si="72"/>
        <v>0.12692939244663382</v>
      </c>
      <c r="J389" s="23"/>
    </row>
    <row r="390" spans="1:10" s="26" customFormat="1">
      <c r="A390" s="7" t="s">
        <v>20</v>
      </c>
      <c r="B390" s="29">
        <v>7501017004003</v>
      </c>
      <c r="C390" s="28" t="s">
        <v>301</v>
      </c>
      <c r="D390" s="30">
        <v>14.6517</v>
      </c>
      <c r="E390" s="30">
        <v>18.3</v>
      </c>
      <c r="F390" s="5">
        <f t="shared" si="71"/>
        <v>0.19936065573770501</v>
      </c>
      <c r="G390" s="30">
        <f>+D390*0.9</f>
        <v>13.186529999999999</v>
      </c>
      <c r="H390" s="39">
        <v>14.9</v>
      </c>
      <c r="I390" s="4">
        <f t="shared" si="72"/>
        <v>0.1149979865771813</v>
      </c>
      <c r="J390" s="23">
        <f>+D390-G390</f>
        <v>1.4651700000000005</v>
      </c>
    </row>
    <row r="391" spans="1:10" s="26" customFormat="1">
      <c r="A391" s="7"/>
      <c r="B391" s="29">
        <v>7501017004027</v>
      </c>
      <c r="C391" s="28" t="s">
        <v>138</v>
      </c>
      <c r="D391" s="30">
        <v>18.25</v>
      </c>
      <c r="E391" s="30">
        <v>22.7</v>
      </c>
      <c r="F391" s="5">
        <f t="shared" si="71"/>
        <v>0.19603524229074887</v>
      </c>
      <c r="G391" s="30">
        <f>+D391*0.9</f>
        <v>16.425000000000001</v>
      </c>
      <c r="H391" s="39">
        <v>18.899999999999999</v>
      </c>
      <c r="I391" s="4">
        <f t="shared" si="72"/>
        <v>0.13095238095238082</v>
      </c>
      <c r="J391" s="23">
        <f t="shared" ref="J391:J392" si="74">+D391-G391</f>
        <v>1.8249999999999993</v>
      </c>
    </row>
    <row r="392" spans="1:10" s="26" customFormat="1">
      <c r="A392" s="25"/>
      <c r="B392" s="34">
        <v>7501017050536</v>
      </c>
      <c r="C392" s="35" t="s">
        <v>302</v>
      </c>
      <c r="D392" s="30">
        <v>14.833299999999999</v>
      </c>
      <c r="E392" s="33">
        <v>17.5</v>
      </c>
      <c r="F392" s="5">
        <f t="shared" si="71"/>
        <v>0.15238285714285715</v>
      </c>
      <c r="G392" s="33">
        <f>+D392*0.95</f>
        <v>14.091634999999998</v>
      </c>
      <c r="H392" s="39">
        <v>16.5</v>
      </c>
      <c r="I392" s="4">
        <f t="shared" si="72"/>
        <v>0.14596151515151523</v>
      </c>
      <c r="J392" s="23">
        <f t="shared" si="74"/>
        <v>0.74166500000000113</v>
      </c>
    </row>
    <row r="393" spans="1:10" s="26" customFormat="1">
      <c r="A393" s="7" t="s">
        <v>21</v>
      </c>
      <c r="B393" s="60" t="s">
        <v>311</v>
      </c>
      <c r="C393" s="28" t="s">
        <v>312</v>
      </c>
      <c r="D393" s="30">
        <v>9.75</v>
      </c>
      <c r="E393" s="30">
        <v>11.9</v>
      </c>
      <c r="F393" s="5">
        <f t="shared" si="71"/>
        <v>0.18067226890756305</v>
      </c>
      <c r="G393" s="30">
        <v>8.98</v>
      </c>
      <c r="H393" s="39">
        <v>10.5</v>
      </c>
      <c r="I393" s="4">
        <f t="shared" si="72"/>
        <v>0.14476190476190476</v>
      </c>
      <c r="J393" s="23"/>
    </row>
    <row r="394" spans="1:10" s="26" customFormat="1">
      <c r="A394" s="7" t="s">
        <v>39</v>
      </c>
      <c r="B394" s="29"/>
      <c r="C394" s="28"/>
      <c r="D394" s="30"/>
      <c r="E394" s="30"/>
      <c r="F394" s="5" t="e">
        <f t="shared" si="71"/>
        <v>#DIV/0!</v>
      </c>
      <c r="G394" s="30"/>
      <c r="H394" s="39"/>
      <c r="I394" s="4" t="e">
        <f t="shared" si="72"/>
        <v>#DIV/0!</v>
      </c>
      <c r="J394" s="23"/>
    </row>
    <row r="395" spans="1:10" s="26" customFormat="1">
      <c r="A395" s="7" t="s">
        <v>22</v>
      </c>
      <c r="B395" s="34">
        <v>7506309859774</v>
      </c>
      <c r="C395" s="35" t="s">
        <v>43</v>
      </c>
      <c r="D395" s="33">
        <f>22.7985*1.16</f>
        <v>26.446259999999999</v>
      </c>
      <c r="E395" s="33">
        <v>29.9</v>
      </c>
      <c r="F395" s="5">
        <f t="shared" si="71"/>
        <v>0.11550969899665553</v>
      </c>
      <c r="G395" s="33">
        <f>+D395*0.9</f>
        <v>23.801634</v>
      </c>
      <c r="H395" s="38">
        <v>26.9</v>
      </c>
      <c r="I395" s="4">
        <f t="shared" si="72"/>
        <v>0.11518089219330852</v>
      </c>
      <c r="J395" s="23">
        <f t="shared" ref="J395:J396" si="75">+D395-G395</f>
        <v>2.6446259999999988</v>
      </c>
    </row>
    <row r="396" spans="1:10" s="26" customFormat="1">
      <c r="A396" s="7" t="s">
        <v>23</v>
      </c>
      <c r="B396" s="29"/>
      <c r="C396" s="28"/>
      <c r="D396" s="30"/>
      <c r="E396" s="30"/>
      <c r="F396" s="5" t="e">
        <f t="shared" si="71"/>
        <v>#DIV/0!</v>
      </c>
      <c r="G396" s="30"/>
      <c r="H396" s="39"/>
      <c r="I396" s="4" t="e">
        <f t="shared" si="72"/>
        <v>#DIV/0!</v>
      </c>
      <c r="J396" s="23">
        <f t="shared" si="75"/>
        <v>0</v>
      </c>
    </row>
    <row r="397" spans="1:10" s="26" customFormat="1">
      <c r="A397" s="7" t="s">
        <v>24</v>
      </c>
      <c r="B397" s="34">
        <v>7501008044698</v>
      </c>
      <c r="C397" s="35" t="s">
        <v>315</v>
      </c>
      <c r="D397" s="33">
        <f>37.55*1.08</f>
        <v>40.554000000000002</v>
      </c>
      <c r="E397" s="33">
        <v>49.5</v>
      </c>
      <c r="F397" s="5">
        <f t="shared" si="71"/>
        <v>0.18072727272727274</v>
      </c>
      <c r="G397" s="33">
        <f>+D397*0.9</f>
        <v>36.498600000000003</v>
      </c>
      <c r="H397" s="38">
        <v>41.5</v>
      </c>
      <c r="I397" s="4">
        <f t="shared" si="72"/>
        <v>0.12051566265060232</v>
      </c>
      <c r="J397" s="23">
        <f>+D397-G397</f>
        <v>4.0553999999999988</v>
      </c>
    </row>
    <row r="398" spans="1:10" s="26" customFormat="1">
      <c r="A398" s="25"/>
      <c r="B398" s="34">
        <v>7501008044278</v>
      </c>
      <c r="C398" s="35" t="s">
        <v>245</v>
      </c>
      <c r="D398" s="33">
        <f>53.18*1.08</f>
        <v>57.434400000000004</v>
      </c>
      <c r="E398" s="33">
        <v>69.900000000000006</v>
      </c>
      <c r="F398" s="5">
        <f t="shared" si="71"/>
        <v>0.1783347639484979</v>
      </c>
      <c r="G398" s="33">
        <f>+D398*0.9</f>
        <v>51.690960000000004</v>
      </c>
      <c r="H398" s="38">
        <v>58.9</v>
      </c>
      <c r="I398" s="4">
        <f t="shared" si="72"/>
        <v>0.12239456706281826</v>
      </c>
      <c r="J398" s="23">
        <f t="shared" ref="J398:J399" si="76">+D398-G398</f>
        <v>5.7434399999999997</v>
      </c>
    </row>
    <row r="399" spans="1:10" s="26" customFormat="1">
      <c r="A399" s="7"/>
      <c r="B399" s="29">
        <v>7501008045091</v>
      </c>
      <c r="C399" s="28" t="s">
        <v>316</v>
      </c>
      <c r="D399" s="30">
        <f>53.18*1.08</f>
        <v>57.434400000000004</v>
      </c>
      <c r="E399" s="30">
        <v>69.900000000000006</v>
      </c>
      <c r="F399" s="5">
        <f t="shared" si="71"/>
        <v>0.1783347639484979</v>
      </c>
      <c r="G399" s="33">
        <f>+D399*0.9</f>
        <v>51.690960000000004</v>
      </c>
      <c r="H399" s="38">
        <v>58.9</v>
      </c>
      <c r="I399" s="4">
        <f t="shared" si="72"/>
        <v>0.12239456706281826</v>
      </c>
      <c r="J399" s="23">
        <f t="shared" si="76"/>
        <v>5.7434399999999997</v>
      </c>
    </row>
    <row r="400" spans="1:10" s="26" customFormat="1">
      <c r="A400" s="7" t="s">
        <v>25</v>
      </c>
      <c r="B400" s="29">
        <v>7500478023899</v>
      </c>
      <c r="C400" s="28" t="s">
        <v>81</v>
      </c>
      <c r="D400" s="30">
        <v>18</v>
      </c>
      <c r="E400" s="30">
        <v>22.9</v>
      </c>
      <c r="F400" s="5">
        <f t="shared" si="71"/>
        <v>0.2139737991266375</v>
      </c>
      <c r="G400" s="30">
        <v>18</v>
      </c>
      <c r="H400" s="39">
        <v>20.5</v>
      </c>
      <c r="I400" s="4">
        <f t="shared" si="72"/>
        <v>0.12195121951219512</v>
      </c>
      <c r="J400" s="23"/>
    </row>
    <row r="401" spans="1:10" s="26" customFormat="1">
      <c r="A401" s="7"/>
      <c r="B401" s="29">
        <v>7501000655380</v>
      </c>
      <c r="C401" s="28" t="s">
        <v>317</v>
      </c>
      <c r="D401" s="30">
        <f>27.7778*1.08</f>
        <v>30.000024</v>
      </c>
      <c r="E401" s="30">
        <v>35.299999999999997</v>
      </c>
      <c r="F401" s="5">
        <f t="shared" si="71"/>
        <v>0.15014096317280445</v>
      </c>
      <c r="G401" s="30">
        <v>28.5</v>
      </c>
      <c r="H401" s="39">
        <v>32.5</v>
      </c>
      <c r="I401" s="4">
        <f t="shared" si="72"/>
        <v>0.12307692307692308</v>
      </c>
      <c r="J401" s="23"/>
    </row>
    <row r="402" spans="1:10" s="26" customFormat="1">
      <c r="A402" s="25"/>
      <c r="B402" s="34">
        <v>7501000616510</v>
      </c>
      <c r="C402" s="35" t="s">
        <v>318</v>
      </c>
      <c r="D402" s="33">
        <f>24.537*1.08</f>
        <v>26.499960000000002</v>
      </c>
      <c r="E402" s="33">
        <v>33.200000000000003</v>
      </c>
      <c r="F402" s="5">
        <f t="shared" si="71"/>
        <v>0.20180843373493973</v>
      </c>
      <c r="G402" s="33">
        <v>25.95</v>
      </c>
      <c r="H402" s="38">
        <v>29.9</v>
      </c>
      <c r="I402" s="4">
        <f t="shared" si="72"/>
        <v>0.13210702341137126</v>
      </c>
      <c r="J402" s="23"/>
    </row>
    <row r="403" spans="1:10" s="26" customFormat="1">
      <c r="A403" s="7" t="s">
        <v>26</v>
      </c>
      <c r="B403" s="29">
        <v>7501036010016</v>
      </c>
      <c r="C403" s="28" t="s">
        <v>249</v>
      </c>
      <c r="D403" s="30">
        <v>14</v>
      </c>
      <c r="E403" s="30">
        <v>15.9</v>
      </c>
      <c r="F403" s="5">
        <f t="shared" si="71"/>
        <v>0.11949685534591192</v>
      </c>
      <c r="G403" s="30">
        <v>13.3</v>
      </c>
      <c r="H403" s="39">
        <v>14.9</v>
      </c>
      <c r="I403" s="4">
        <f t="shared" si="72"/>
        <v>0.10738255033557043</v>
      </c>
      <c r="J403" s="23"/>
    </row>
    <row r="404" spans="1:10" s="26" customFormat="1">
      <c r="A404" s="7" t="s">
        <v>27</v>
      </c>
      <c r="B404" s="28"/>
      <c r="C404" s="28"/>
      <c r="D404" s="30"/>
      <c r="E404" s="30"/>
      <c r="F404" s="5" t="e">
        <f t="shared" si="71"/>
        <v>#DIV/0!</v>
      </c>
      <c r="G404" s="30"/>
      <c r="H404" s="39"/>
      <c r="I404" s="4" t="e">
        <f t="shared" si="72"/>
        <v>#DIV/0!</v>
      </c>
      <c r="J404" s="23"/>
    </row>
    <row r="405" spans="1:10" s="26" customFormat="1">
      <c r="A405" s="7" t="s">
        <v>28</v>
      </c>
      <c r="B405" s="28"/>
      <c r="C405" s="28"/>
      <c r="D405" s="30"/>
      <c r="E405" s="30"/>
      <c r="F405" s="5" t="e">
        <f t="shared" si="71"/>
        <v>#DIV/0!</v>
      </c>
      <c r="G405" s="30"/>
      <c r="H405" s="39"/>
      <c r="I405" s="4" t="e">
        <f t="shared" si="72"/>
        <v>#DIV/0!</v>
      </c>
      <c r="J405" s="23"/>
    </row>
    <row r="406" spans="1:10" s="26" customFormat="1">
      <c r="A406" s="7" t="s">
        <v>29</v>
      </c>
      <c r="B406" s="29"/>
      <c r="C406" s="28"/>
      <c r="D406" s="30"/>
      <c r="E406" s="30"/>
      <c r="F406" s="5" t="e">
        <f t="shared" si="71"/>
        <v>#DIV/0!</v>
      </c>
      <c r="G406" s="30"/>
      <c r="H406" s="39"/>
      <c r="I406" s="4" t="e">
        <f t="shared" si="72"/>
        <v>#DIV/0!</v>
      </c>
      <c r="J406" s="23">
        <f>+D406-G406</f>
        <v>0</v>
      </c>
    </row>
    <row r="407" spans="1:10" s="26" customFormat="1">
      <c r="A407" s="7" t="s">
        <v>30</v>
      </c>
      <c r="B407" s="29"/>
      <c r="C407" s="28"/>
      <c r="D407" s="30"/>
      <c r="E407" s="30"/>
      <c r="F407" s="5" t="e">
        <f t="shared" si="71"/>
        <v>#DIV/0!</v>
      </c>
      <c r="G407" s="30"/>
      <c r="H407" s="39"/>
      <c r="I407" s="4" t="e">
        <f t="shared" si="72"/>
        <v>#DIV/0!</v>
      </c>
      <c r="J407" s="23">
        <f>+D407-G407</f>
        <v>0</v>
      </c>
    </row>
    <row r="408" spans="1:10" s="26" customFormat="1">
      <c r="A408" s="7" t="s">
        <v>38</v>
      </c>
      <c r="B408" s="29">
        <v>7501025403034</v>
      </c>
      <c r="C408" s="28" t="s">
        <v>55</v>
      </c>
      <c r="D408" s="30">
        <v>21.383562380000001</v>
      </c>
      <c r="E408" s="30">
        <v>26.7</v>
      </c>
      <c r="F408" s="5">
        <f t="shared" si="71"/>
        <v>0.19911751385767784</v>
      </c>
      <c r="G408" s="30">
        <v>19.350000000000001</v>
      </c>
      <c r="H408" s="39">
        <v>21.5</v>
      </c>
      <c r="I408" s="4">
        <f t="shared" si="72"/>
        <v>9.9999999999999978E-2</v>
      </c>
      <c r="J408" s="23">
        <f>+D408-G408</f>
        <v>2.0335623799999993</v>
      </c>
    </row>
    <row r="409" spans="1:10" s="26" customFormat="1">
      <c r="A409" s="7"/>
      <c r="B409" s="29">
        <v>7501025411756</v>
      </c>
      <c r="C409" s="28" t="s">
        <v>199</v>
      </c>
      <c r="D409" s="30">
        <v>18.536799999999999</v>
      </c>
      <c r="E409" s="30">
        <v>23.2</v>
      </c>
      <c r="F409" s="5">
        <f t="shared" si="71"/>
        <v>0.20099999999999996</v>
      </c>
      <c r="G409" s="30">
        <v>17.91</v>
      </c>
      <c r="H409" s="39">
        <v>19.899999999999999</v>
      </c>
      <c r="I409" s="4">
        <f t="shared" si="72"/>
        <v>9.9999999999999978E-2</v>
      </c>
      <c r="J409" s="23">
        <f t="shared" ref="J409:J419" si="77">+D409-G409</f>
        <v>0.62679999999999936</v>
      </c>
    </row>
    <row r="410" spans="1:10" s="26" customFormat="1">
      <c r="A410" s="7"/>
      <c r="B410" s="29">
        <v>7501025411763</v>
      </c>
      <c r="C410" s="28" t="s">
        <v>200</v>
      </c>
      <c r="D410" s="30">
        <v>18.536799999999999</v>
      </c>
      <c r="E410" s="30">
        <v>23.2</v>
      </c>
      <c r="F410" s="5">
        <f t="shared" si="71"/>
        <v>0.20099999999999996</v>
      </c>
      <c r="G410" s="30">
        <v>17.91</v>
      </c>
      <c r="H410" s="39">
        <v>19.899999999999999</v>
      </c>
      <c r="I410" s="4">
        <f t="shared" si="72"/>
        <v>9.9999999999999978E-2</v>
      </c>
      <c r="J410" s="23">
        <f t="shared" si="77"/>
        <v>0.62679999999999936</v>
      </c>
    </row>
    <row r="411" spans="1:10" s="26" customFormat="1">
      <c r="A411" s="7"/>
      <c r="B411" s="29">
        <v>7501025431945</v>
      </c>
      <c r="C411" s="28" t="s">
        <v>201</v>
      </c>
      <c r="D411" s="30">
        <v>18.536799999999999</v>
      </c>
      <c r="E411" s="30">
        <v>23.2</v>
      </c>
      <c r="F411" s="5">
        <f t="shared" si="71"/>
        <v>0.20099999999999996</v>
      </c>
      <c r="G411" s="30">
        <v>17.91</v>
      </c>
      <c r="H411" s="39">
        <v>19.899999999999999</v>
      </c>
      <c r="I411" s="4">
        <f t="shared" si="72"/>
        <v>9.9999999999999978E-2</v>
      </c>
      <c r="J411" s="23">
        <f t="shared" si="77"/>
        <v>0.62679999999999936</v>
      </c>
    </row>
    <row r="412" spans="1:10" s="26" customFormat="1">
      <c r="A412" s="7"/>
      <c r="B412" s="29">
        <v>7501025431952</v>
      </c>
      <c r="C412" s="28" t="s">
        <v>202</v>
      </c>
      <c r="D412" s="30">
        <v>18.536799999999999</v>
      </c>
      <c r="E412" s="30">
        <v>23.2</v>
      </c>
      <c r="F412" s="5">
        <f t="shared" si="71"/>
        <v>0.20099999999999996</v>
      </c>
      <c r="G412" s="30">
        <v>17.91</v>
      </c>
      <c r="H412" s="39">
        <v>19.899999999999999</v>
      </c>
      <c r="I412" s="4">
        <f t="shared" si="72"/>
        <v>9.9999999999999978E-2</v>
      </c>
      <c r="J412" s="23">
        <f t="shared" si="77"/>
        <v>0.62679999999999936</v>
      </c>
    </row>
    <row r="413" spans="1:10" s="26" customFormat="1">
      <c r="A413" s="25"/>
      <c r="B413" s="34"/>
      <c r="C413" s="35"/>
      <c r="D413" s="33"/>
      <c r="E413" s="33"/>
      <c r="F413" s="5" t="e">
        <f t="shared" si="71"/>
        <v>#DIV/0!</v>
      </c>
      <c r="G413" s="33"/>
      <c r="H413" s="38"/>
      <c r="I413" s="4" t="e">
        <f t="shared" si="72"/>
        <v>#DIV/0!</v>
      </c>
      <c r="J413" s="23">
        <f t="shared" si="77"/>
        <v>0</v>
      </c>
    </row>
    <row r="414" spans="1:10" s="26" customFormat="1">
      <c r="A414" s="25"/>
      <c r="B414" s="34">
        <v>7501025431457</v>
      </c>
      <c r="C414" s="35" t="s">
        <v>49</v>
      </c>
      <c r="D414" s="33">
        <v>11.484</v>
      </c>
      <c r="E414" s="33">
        <v>14.4</v>
      </c>
      <c r="F414" s="5">
        <f t="shared" si="71"/>
        <v>0.20250000000000001</v>
      </c>
      <c r="G414" s="33">
        <v>10.71</v>
      </c>
      <c r="H414" s="38">
        <v>11.9</v>
      </c>
      <c r="I414" s="4">
        <f t="shared" si="72"/>
        <v>9.9999999999999978E-2</v>
      </c>
      <c r="J414" s="23">
        <f t="shared" si="77"/>
        <v>0.77399999999999913</v>
      </c>
    </row>
    <row r="415" spans="1:10" s="26" customFormat="1">
      <c r="A415" s="25"/>
      <c r="B415" s="34">
        <v>7501025440282</v>
      </c>
      <c r="C415" s="35" t="s">
        <v>46</v>
      </c>
      <c r="D415" s="33">
        <v>11.484</v>
      </c>
      <c r="E415" s="33">
        <v>14.4</v>
      </c>
      <c r="F415" s="5">
        <f t="shared" si="71"/>
        <v>0.20250000000000001</v>
      </c>
      <c r="G415" s="33">
        <v>10.71</v>
      </c>
      <c r="H415" s="38">
        <v>11.9</v>
      </c>
      <c r="I415" s="4">
        <f t="shared" si="72"/>
        <v>9.9999999999999978E-2</v>
      </c>
      <c r="J415" s="23">
        <f t="shared" si="77"/>
        <v>0.77399999999999913</v>
      </c>
    </row>
    <row r="416" spans="1:10" s="26" customFormat="1">
      <c r="A416" s="25"/>
      <c r="B416" s="34">
        <v>7501025440299</v>
      </c>
      <c r="C416" s="35" t="s">
        <v>47</v>
      </c>
      <c r="D416" s="33">
        <v>11.484</v>
      </c>
      <c r="E416" s="33">
        <v>14.4</v>
      </c>
      <c r="F416" s="5">
        <f t="shared" si="71"/>
        <v>0.20250000000000001</v>
      </c>
      <c r="G416" s="33">
        <v>10.71</v>
      </c>
      <c r="H416" s="38">
        <v>11.9</v>
      </c>
      <c r="I416" s="4">
        <f t="shared" si="72"/>
        <v>9.9999999999999978E-2</v>
      </c>
      <c r="J416" s="23">
        <f t="shared" si="77"/>
        <v>0.77399999999999913</v>
      </c>
    </row>
    <row r="417" spans="1:10" s="26" customFormat="1">
      <c r="A417" s="25"/>
      <c r="B417" s="34">
        <v>7501025440305</v>
      </c>
      <c r="C417" s="35" t="s">
        <v>48</v>
      </c>
      <c r="D417" s="33">
        <v>11.484</v>
      </c>
      <c r="E417" s="33">
        <v>14.4</v>
      </c>
      <c r="F417" s="5">
        <f t="shared" si="71"/>
        <v>0.20250000000000001</v>
      </c>
      <c r="G417" s="33">
        <v>10.71</v>
      </c>
      <c r="H417" s="38">
        <v>11.9</v>
      </c>
      <c r="I417" s="4">
        <f t="shared" si="72"/>
        <v>9.9999999999999978E-2</v>
      </c>
      <c r="J417" s="23">
        <f t="shared" si="77"/>
        <v>0.77399999999999913</v>
      </c>
    </row>
    <row r="418" spans="1:10" s="26" customFormat="1">
      <c r="A418" s="25"/>
      <c r="B418" s="34" t="s">
        <v>185</v>
      </c>
      <c r="C418" s="35" t="s">
        <v>186</v>
      </c>
      <c r="D418" s="33">
        <v>11.484</v>
      </c>
      <c r="E418" s="33">
        <v>14.4</v>
      </c>
      <c r="F418" s="5">
        <f t="shared" si="71"/>
        <v>0.20250000000000001</v>
      </c>
      <c r="G418" s="33">
        <v>10.71</v>
      </c>
      <c r="H418" s="38">
        <v>11.9</v>
      </c>
      <c r="I418" s="4">
        <f t="shared" si="72"/>
        <v>9.9999999999999978E-2</v>
      </c>
      <c r="J418" s="23">
        <f t="shared" si="77"/>
        <v>0.77399999999999913</v>
      </c>
    </row>
    <row r="419" spans="1:10" s="26" customFormat="1">
      <c r="A419" s="25"/>
      <c r="B419" s="34"/>
      <c r="C419" s="35"/>
      <c r="D419" s="33"/>
      <c r="E419" s="33"/>
      <c r="F419" s="5" t="e">
        <f t="shared" si="71"/>
        <v>#DIV/0!</v>
      </c>
      <c r="G419" s="33"/>
      <c r="H419" s="38"/>
      <c r="I419" s="4" t="e">
        <f t="shared" si="72"/>
        <v>#DIV/0!</v>
      </c>
      <c r="J419" s="23">
        <f t="shared" si="77"/>
        <v>0</v>
      </c>
    </row>
    <row r="420" spans="1:10" s="26" customFormat="1">
      <c r="A420" s="25"/>
      <c r="B420" s="34">
        <v>7501035910034</v>
      </c>
      <c r="C420" s="35" t="s">
        <v>65</v>
      </c>
      <c r="D420" s="33">
        <f>22.3423*1.16</f>
        <v>25.917068</v>
      </c>
      <c r="E420" s="33">
        <v>31.6</v>
      </c>
      <c r="F420" s="5">
        <f t="shared" si="71"/>
        <v>0.17983962025316458</v>
      </c>
      <c r="G420" s="33">
        <f>17.21*1.16</f>
        <v>19.9636</v>
      </c>
      <c r="H420" s="38">
        <v>22.9</v>
      </c>
      <c r="I420" s="4">
        <f t="shared" si="72"/>
        <v>0.12822707423580781</v>
      </c>
      <c r="J420" s="23"/>
    </row>
    <row r="421" spans="1:10" s="26" customFormat="1">
      <c r="A421" s="25"/>
      <c r="B421" s="34" t="s">
        <v>66</v>
      </c>
      <c r="C421" s="35" t="s">
        <v>67</v>
      </c>
      <c r="D421" s="33">
        <f t="shared" ref="D421:D425" si="78">22.3423*1.16</f>
        <v>25.917068</v>
      </c>
      <c r="E421" s="33">
        <v>31.6</v>
      </c>
      <c r="F421" s="5">
        <f t="shared" si="71"/>
        <v>0.17983962025316458</v>
      </c>
      <c r="G421" s="33">
        <f t="shared" ref="G421:G425" si="79">17.21*1.16</f>
        <v>19.9636</v>
      </c>
      <c r="H421" s="38">
        <v>22.9</v>
      </c>
      <c r="I421" s="4">
        <f t="shared" si="72"/>
        <v>0.12822707423580781</v>
      </c>
      <c r="J421" s="23"/>
    </row>
    <row r="422" spans="1:10" s="26" customFormat="1">
      <c r="A422" s="25"/>
      <c r="B422" s="34" t="s">
        <v>68</v>
      </c>
      <c r="C422" s="35" t="s">
        <v>69</v>
      </c>
      <c r="D422" s="33">
        <f t="shared" si="78"/>
        <v>25.917068</v>
      </c>
      <c r="E422" s="33">
        <v>31.6</v>
      </c>
      <c r="F422" s="5">
        <f t="shared" si="71"/>
        <v>0.17983962025316458</v>
      </c>
      <c r="G422" s="33">
        <f t="shared" si="79"/>
        <v>19.9636</v>
      </c>
      <c r="H422" s="38">
        <v>22.9</v>
      </c>
      <c r="I422" s="4">
        <f t="shared" si="72"/>
        <v>0.12822707423580781</v>
      </c>
      <c r="J422" s="23"/>
    </row>
    <row r="423" spans="1:10" s="26" customFormat="1">
      <c r="A423" s="25"/>
      <c r="B423" s="34" t="s">
        <v>70</v>
      </c>
      <c r="C423" s="35" t="s">
        <v>71</v>
      </c>
      <c r="D423" s="33">
        <f t="shared" si="78"/>
        <v>25.917068</v>
      </c>
      <c r="E423" s="33">
        <v>31.6</v>
      </c>
      <c r="F423" s="5">
        <f t="shared" si="71"/>
        <v>0.17983962025316458</v>
      </c>
      <c r="G423" s="33">
        <f t="shared" si="79"/>
        <v>19.9636</v>
      </c>
      <c r="H423" s="38">
        <v>22.9</v>
      </c>
      <c r="I423" s="4">
        <f t="shared" si="72"/>
        <v>0.12822707423580781</v>
      </c>
      <c r="J423" s="23"/>
    </row>
    <row r="424" spans="1:10" s="26" customFormat="1">
      <c r="A424" s="25"/>
      <c r="B424" s="34" t="s">
        <v>72</v>
      </c>
      <c r="C424" s="35" t="s">
        <v>73</v>
      </c>
      <c r="D424" s="33">
        <f t="shared" si="78"/>
        <v>25.917068</v>
      </c>
      <c r="E424" s="33">
        <v>31.6</v>
      </c>
      <c r="F424" s="5">
        <f t="shared" si="71"/>
        <v>0.17983962025316458</v>
      </c>
      <c r="G424" s="33">
        <f t="shared" si="79"/>
        <v>19.9636</v>
      </c>
      <c r="H424" s="38">
        <v>22.9</v>
      </c>
      <c r="I424" s="4">
        <f t="shared" si="72"/>
        <v>0.12822707423580781</v>
      </c>
      <c r="J424" s="23"/>
    </row>
    <row r="425" spans="1:10" s="26" customFormat="1">
      <c r="A425" s="25"/>
      <c r="B425" s="34" t="s">
        <v>79</v>
      </c>
      <c r="C425" s="35" t="s">
        <v>80</v>
      </c>
      <c r="D425" s="33">
        <f t="shared" si="78"/>
        <v>25.917068</v>
      </c>
      <c r="E425" s="33">
        <v>31.6</v>
      </c>
      <c r="F425" s="5">
        <f t="shared" si="71"/>
        <v>0.17983962025316458</v>
      </c>
      <c r="G425" s="33">
        <f t="shared" si="79"/>
        <v>19.9636</v>
      </c>
      <c r="H425" s="38">
        <v>22.9</v>
      </c>
      <c r="I425" s="4">
        <f t="shared" si="72"/>
        <v>0.12822707423580781</v>
      </c>
      <c r="J425" s="23"/>
    </row>
    <row r="426" spans="1:10" s="26" customFormat="1">
      <c r="A426" s="25"/>
      <c r="B426" s="34"/>
      <c r="C426" s="35"/>
      <c r="D426" s="33"/>
      <c r="E426" s="33"/>
      <c r="F426" s="5" t="e">
        <f t="shared" si="71"/>
        <v>#DIV/0!</v>
      </c>
      <c r="G426" s="33"/>
      <c r="H426" s="38"/>
      <c r="I426" s="4" t="e">
        <f t="shared" si="72"/>
        <v>#DIV/0!</v>
      </c>
      <c r="J426" s="23"/>
    </row>
    <row r="427" spans="1:10" s="26" customFormat="1">
      <c r="A427" s="7" t="s">
        <v>31</v>
      </c>
      <c r="B427" s="29">
        <v>7502247339385</v>
      </c>
      <c r="C427" s="28" t="s">
        <v>60</v>
      </c>
      <c r="D427" s="30">
        <v>126.6</v>
      </c>
      <c r="E427" s="30">
        <v>148.9</v>
      </c>
      <c r="F427" s="5">
        <f t="shared" si="71"/>
        <v>0.14976494291470788</v>
      </c>
      <c r="G427" s="30">
        <v>115.10679999999999</v>
      </c>
      <c r="H427" s="39">
        <v>130.9</v>
      </c>
      <c r="I427" s="4">
        <f t="shared" si="72"/>
        <v>0.12065087853323153</v>
      </c>
      <c r="J427" s="23"/>
    </row>
    <row r="428" spans="1:10" s="26" customFormat="1">
      <c r="A428" s="25"/>
      <c r="B428" s="34">
        <v>7502247334595</v>
      </c>
      <c r="C428" s="35" t="s">
        <v>61</v>
      </c>
      <c r="D428" s="33">
        <v>126.6</v>
      </c>
      <c r="E428" s="33">
        <v>148.9</v>
      </c>
      <c r="F428" s="5">
        <f t="shared" si="71"/>
        <v>0.14976494291470788</v>
      </c>
      <c r="G428" s="30">
        <v>115.10679999999999</v>
      </c>
      <c r="H428" s="39">
        <v>130.9</v>
      </c>
      <c r="I428" s="4">
        <f t="shared" si="72"/>
        <v>0.12065087853323153</v>
      </c>
      <c r="J428" s="23"/>
    </row>
    <row r="429" spans="1:10" s="26" customFormat="1">
      <c r="A429" s="7"/>
      <c r="B429" s="29">
        <v>7502247334601</v>
      </c>
      <c r="C429" s="28" t="s">
        <v>62</v>
      </c>
      <c r="D429" s="33">
        <v>126.6</v>
      </c>
      <c r="E429" s="57">
        <v>148.9</v>
      </c>
      <c r="F429" s="5">
        <f t="shared" si="71"/>
        <v>0.14976494291470788</v>
      </c>
      <c r="G429" s="30">
        <v>115.10679999999999</v>
      </c>
      <c r="H429" s="39">
        <v>130.9</v>
      </c>
      <c r="I429" s="4">
        <f t="shared" si="72"/>
        <v>0.12065087853323153</v>
      </c>
      <c r="J429" s="23"/>
    </row>
    <row r="430" spans="1:10" s="26" customFormat="1">
      <c r="A430" s="7"/>
      <c r="B430" s="29">
        <v>7502247334618</v>
      </c>
      <c r="C430" s="28" t="s">
        <v>63</v>
      </c>
      <c r="D430" s="33">
        <v>126.6</v>
      </c>
      <c r="E430" s="33">
        <v>148.9</v>
      </c>
      <c r="F430" s="5">
        <f t="shared" si="71"/>
        <v>0.14976494291470788</v>
      </c>
      <c r="G430" s="30">
        <v>115.10679999999999</v>
      </c>
      <c r="H430" s="39">
        <v>130.9</v>
      </c>
      <c r="I430" s="4">
        <f t="shared" si="72"/>
        <v>0.12065087853323153</v>
      </c>
      <c r="J430" s="23"/>
    </row>
    <row r="431" spans="1:10" s="26" customFormat="1">
      <c r="A431" s="7"/>
      <c r="B431" s="29"/>
      <c r="C431" s="28"/>
      <c r="D431" s="33"/>
      <c r="E431" s="33"/>
      <c r="F431" s="5" t="e">
        <f t="shared" si="71"/>
        <v>#DIV/0!</v>
      </c>
      <c r="G431" s="33"/>
      <c r="H431" s="38"/>
      <c r="I431" s="4" t="e">
        <f t="shared" si="72"/>
        <v>#DIV/0!</v>
      </c>
      <c r="J431" s="23"/>
    </row>
    <row r="432" spans="1:10" s="26" customFormat="1">
      <c r="A432" s="7" t="s">
        <v>167</v>
      </c>
      <c r="B432" s="29" t="s">
        <v>40</v>
      </c>
      <c r="C432" s="28" t="s">
        <v>57</v>
      </c>
      <c r="D432" s="30">
        <v>23.1</v>
      </c>
      <c r="E432" s="30">
        <v>27.2</v>
      </c>
      <c r="F432" s="5">
        <f t="shared" si="71"/>
        <v>0.15073529411764697</v>
      </c>
      <c r="G432" s="30">
        <v>20.7</v>
      </c>
      <c r="H432" s="39">
        <v>23.9</v>
      </c>
      <c r="I432" s="4">
        <f t="shared" si="72"/>
        <v>0.13389121338912136</v>
      </c>
      <c r="J432" s="23"/>
    </row>
    <row r="433" spans="1:10" s="26" customFormat="1">
      <c r="A433" s="25"/>
      <c r="B433" s="34">
        <v>7502247338845</v>
      </c>
      <c r="C433" s="35" t="s">
        <v>212</v>
      </c>
      <c r="D433" s="33">
        <v>7.98</v>
      </c>
      <c r="E433" s="33">
        <v>9.4</v>
      </c>
      <c r="F433" s="5">
        <f t="shared" si="71"/>
        <v>0.15106382978723398</v>
      </c>
      <c r="G433" s="33">
        <f>5.7*1.16</f>
        <v>6.6120000000000001</v>
      </c>
      <c r="H433" s="38">
        <v>7.5</v>
      </c>
      <c r="I433" s="4">
        <f t="shared" si="72"/>
        <v>0.11839999999999995</v>
      </c>
      <c r="J433" s="23"/>
    </row>
    <row r="434" spans="1:10" s="26" customFormat="1">
      <c r="A434" s="7"/>
      <c r="B434" s="29">
        <v>7502247335677</v>
      </c>
      <c r="C434" s="28" t="s">
        <v>59</v>
      </c>
      <c r="D434" s="30">
        <v>18.45</v>
      </c>
      <c r="E434" s="30">
        <v>21.7</v>
      </c>
      <c r="F434" s="5">
        <f t="shared" si="71"/>
        <v>0.14976958525345618</v>
      </c>
      <c r="G434" s="30">
        <v>14.72</v>
      </c>
      <c r="H434" s="39">
        <v>16.899999999999999</v>
      </c>
      <c r="I434" s="4">
        <f t="shared" si="72"/>
        <v>0.12899408284023661</v>
      </c>
      <c r="J434" s="23"/>
    </row>
    <row r="435" spans="1:10" s="26" customFormat="1">
      <c r="A435" s="7"/>
      <c r="B435" s="29" t="s">
        <v>41</v>
      </c>
      <c r="C435" s="28" t="s">
        <v>58</v>
      </c>
      <c r="D435" s="30">
        <v>23.1</v>
      </c>
      <c r="E435" s="30">
        <v>27.2</v>
      </c>
      <c r="F435" s="5">
        <f t="shared" si="71"/>
        <v>0.15073529411764697</v>
      </c>
      <c r="G435" s="30">
        <v>20.71</v>
      </c>
      <c r="H435" s="39">
        <v>23.9</v>
      </c>
      <c r="I435" s="4">
        <f t="shared" si="72"/>
        <v>0.13347280334728029</v>
      </c>
      <c r="J435" s="23"/>
    </row>
    <row r="436" spans="1:10" s="26" customFormat="1">
      <c r="A436" s="7"/>
      <c r="B436" s="29">
        <v>7501943412217</v>
      </c>
      <c r="C436" s="28" t="s">
        <v>187</v>
      </c>
      <c r="D436" s="30">
        <v>19.21</v>
      </c>
      <c r="E436" s="30">
        <v>22.6</v>
      </c>
      <c r="F436" s="5">
        <f t="shared" si="71"/>
        <v>0.15000000000000002</v>
      </c>
      <c r="G436" s="30">
        <f>15.61*1.16</f>
        <v>18.107599999999998</v>
      </c>
      <c r="H436" s="39">
        <v>20.9</v>
      </c>
      <c r="I436" s="4">
        <f t="shared" si="72"/>
        <v>0.1336076555023924</v>
      </c>
      <c r="J436" s="23"/>
    </row>
    <row r="437" spans="1:10" s="26" customFormat="1">
      <c r="A437" s="25"/>
      <c r="B437" s="34">
        <v>7501943458499</v>
      </c>
      <c r="C437" s="35" t="s">
        <v>204</v>
      </c>
      <c r="D437" s="33">
        <v>6.45</v>
      </c>
      <c r="E437" s="33">
        <v>7.6</v>
      </c>
      <c r="F437" s="5">
        <f t="shared" si="71"/>
        <v>0.15131578947368418</v>
      </c>
      <c r="G437" s="33">
        <f>4.5259*1.16</f>
        <v>5.2500439999999999</v>
      </c>
      <c r="H437" s="38">
        <v>5.9</v>
      </c>
      <c r="I437" s="4">
        <f t="shared" si="72"/>
        <v>0.11016203389830515</v>
      </c>
      <c r="J437" s="23"/>
    </row>
    <row r="438" spans="1:10" s="26" customFormat="1">
      <c r="A438" s="7" t="s">
        <v>32</v>
      </c>
      <c r="B438" s="34">
        <v>7501071307775</v>
      </c>
      <c r="C438" s="35" t="s">
        <v>319</v>
      </c>
      <c r="D438" s="33">
        <v>14.0967</v>
      </c>
      <c r="E438" s="33">
        <v>17.2</v>
      </c>
      <c r="F438" s="5">
        <f t="shared" si="71"/>
        <v>0.18042441860465108</v>
      </c>
      <c r="G438" s="33">
        <f>+D438*0.9</f>
        <v>12.68703</v>
      </c>
      <c r="H438" s="38">
        <v>14.5</v>
      </c>
      <c r="I438" s="4">
        <f t="shared" si="72"/>
        <v>0.12503241379310348</v>
      </c>
      <c r="J438" s="23">
        <f>+D438-G438</f>
        <v>1.4096700000000002</v>
      </c>
    </row>
    <row r="439" spans="1:10" s="26" customFormat="1">
      <c r="A439" s="25"/>
      <c r="B439" s="34">
        <v>7501071307782</v>
      </c>
      <c r="C439" s="35" t="s">
        <v>320</v>
      </c>
      <c r="D439" s="33">
        <v>14.126300000000001</v>
      </c>
      <c r="E439" s="33">
        <v>16.600000000000001</v>
      </c>
      <c r="F439" s="5">
        <f t="shared" ref="F439:F448" si="80">+((D439/E439)-1)*-1</f>
        <v>0.14901807228915664</v>
      </c>
      <c r="G439" s="33">
        <f>+D439*0.9</f>
        <v>12.71367</v>
      </c>
      <c r="H439" s="38">
        <v>14.5</v>
      </c>
      <c r="I439" s="4">
        <f t="shared" si="72"/>
        <v>0.12319517241379307</v>
      </c>
      <c r="J439" s="23">
        <f>+D439-G439</f>
        <v>1.4126300000000001</v>
      </c>
    </row>
    <row r="440" spans="1:10" s="26" customFormat="1">
      <c r="A440" s="25"/>
      <c r="B440" s="34">
        <v>7501071307799</v>
      </c>
      <c r="C440" s="35" t="s">
        <v>321</v>
      </c>
      <c r="D440" s="33">
        <v>14.12</v>
      </c>
      <c r="E440" s="33">
        <v>16.600000000000001</v>
      </c>
      <c r="F440" s="5">
        <f t="shared" si="80"/>
        <v>0.14939759036144595</v>
      </c>
      <c r="G440" s="33">
        <f>+D440*0.9</f>
        <v>12.708</v>
      </c>
      <c r="H440" s="38">
        <v>14.5</v>
      </c>
      <c r="I440" s="4">
        <f t="shared" si="72"/>
        <v>0.12358620689655175</v>
      </c>
      <c r="J440" s="23">
        <f>+D440-G440</f>
        <v>1.411999999999999</v>
      </c>
    </row>
    <row r="441" spans="1:10" s="26" customFormat="1">
      <c r="A441" s="7" t="s">
        <v>33</v>
      </c>
      <c r="B441" s="29"/>
      <c r="C441" s="28" t="s">
        <v>306</v>
      </c>
      <c r="D441" s="30">
        <v>4.5</v>
      </c>
      <c r="E441" s="30">
        <v>5.4</v>
      </c>
      <c r="F441" s="5">
        <f t="shared" si="80"/>
        <v>0.16666666666666674</v>
      </c>
      <c r="G441" s="30">
        <v>4.2</v>
      </c>
      <c r="H441" s="39">
        <v>4.9000000000000004</v>
      </c>
      <c r="I441" s="4">
        <f t="shared" si="72"/>
        <v>0.1428571428571429</v>
      </c>
      <c r="J441" s="23"/>
    </row>
    <row r="442" spans="1:10" s="26" customFormat="1">
      <c r="A442" s="7" t="s">
        <v>34</v>
      </c>
      <c r="B442" s="29">
        <v>7501003150233</v>
      </c>
      <c r="C442" s="28" t="s">
        <v>90</v>
      </c>
      <c r="D442" s="30">
        <v>28.12</v>
      </c>
      <c r="E442" s="30">
        <v>35.799999999999997</v>
      </c>
      <c r="F442" s="5">
        <f t="shared" si="80"/>
        <v>0.21452513966480435</v>
      </c>
      <c r="G442" s="30">
        <f>+D442*0.95</f>
        <v>26.713999999999999</v>
      </c>
      <c r="H442" s="39">
        <v>30.9</v>
      </c>
      <c r="I442" s="4">
        <f t="shared" si="72"/>
        <v>0.13546925566343038</v>
      </c>
      <c r="J442" s="23"/>
    </row>
    <row r="443" spans="1:10" s="26" customFormat="1">
      <c r="A443" s="7" t="s">
        <v>35</v>
      </c>
      <c r="B443" s="29">
        <v>7501006585209</v>
      </c>
      <c r="C443" s="28" t="s">
        <v>307</v>
      </c>
      <c r="D443" s="30">
        <v>23.7075</v>
      </c>
      <c r="E443" s="30">
        <v>28.9</v>
      </c>
      <c r="F443" s="5">
        <f t="shared" si="80"/>
        <v>0.17967128027681656</v>
      </c>
      <c r="G443" s="30">
        <v>22.5</v>
      </c>
      <c r="H443" s="39">
        <v>25.5</v>
      </c>
      <c r="I443" s="4">
        <f t="shared" si="72"/>
        <v>0.11764705882352944</v>
      </c>
      <c r="J443" s="23"/>
    </row>
    <row r="444" spans="1:10" s="26" customFormat="1">
      <c r="A444" s="25"/>
      <c r="B444" s="34">
        <v>75053901</v>
      </c>
      <c r="C444" s="35" t="s">
        <v>308</v>
      </c>
      <c r="D444" s="33">
        <v>12.3713</v>
      </c>
      <c r="E444" s="33">
        <v>15.5</v>
      </c>
      <c r="F444" s="5">
        <f t="shared" si="80"/>
        <v>0.20185161290322584</v>
      </c>
      <c r="G444" s="33">
        <v>11.1</v>
      </c>
      <c r="H444" s="38">
        <v>12.9</v>
      </c>
      <c r="I444" s="4">
        <f t="shared" si="72"/>
        <v>0.13953488372093026</v>
      </c>
      <c r="J444" s="23"/>
    </row>
    <row r="445" spans="1:10" s="26" customFormat="1">
      <c r="A445" s="25" t="s">
        <v>304</v>
      </c>
      <c r="B445" s="34">
        <v>7501006591897</v>
      </c>
      <c r="C445" s="35" t="s">
        <v>305</v>
      </c>
      <c r="D445" s="33">
        <v>5.6669999999999998</v>
      </c>
      <c r="E445" s="33">
        <v>7.5</v>
      </c>
      <c r="F445" s="5">
        <f t="shared" si="80"/>
        <v>0.24440000000000006</v>
      </c>
      <c r="G445" s="33">
        <v>5.0999999999999996</v>
      </c>
      <c r="H445" s="38">
        <v>5.9</v>
      </c>
      <c r="I445" s="4">
        <f t="shared" si="72"/>
        <v>0.13559322033898313</v>
      </c>
      <c r="J445" s="23"/>
    </row>
    <row r="446" spans="1:10" s="26" customFormat="1">
      <c r="A446" s="7" t="s">
        <v>36</v>
      </c>
      <c r="B446" s="29">
        <v>7501006532494</v>
      </c>
      <c r="C446" s="28" t="s">
        <v>303</v>
      </c>
      <c r="D446" s="30">
        <v>8.2899999999999991</v>
      </c>
      <c r="E446" s="30">
        <v>10.199999999999999</v>
      </c>
      <c r="F446" s="5">
        <f t="shared" si="80"/>
        <v>0.18725490196078431</v>
      </c>
      <c r="G446" s="30">
        <v>7.63</v>
      </c>
      <c r="H446" s="39">
        <v>8.9</v>
      </c>
      <c r="I446" s="4">
        <f t="shared" si="72"/>
        <v>0.14269662921348314</v>
      </c>
      <c r="J446" s="23"/>
    </row>
    <row r="447" spans="1:10" s="26" customFormat="1">
      <c r="A447" s="17" t="s">
        <v>37</v>
      </c>
      <c r="B447" s="14">
        <v>7501006536942</v>
      </c>
      <c r="C447" s="15" t="s">
        <v>44</v>
      </c>
      <c r="D447" s="13">
        <v>8.0867000000000004</v>
      </c>
      <c r="E447" s="13">
        <v>9.9</v>
      </c>
      <c r="F447" s="5">
        <f t="shared" si="80"/>
        <v>0.18316161616161619</v>
      </c>
      <c r="G447" s="30">
        <v>7.28</v>
      </c>
      <c r="H447" s="39">
        <v>8.5</v>
      </c>
      <c r="I447" s="4">
        <f t="shared" si="72"/>
        <v>0.14352941176470591</v>
      </c>
      <c r="J447" s="23"/>
    </row>
    <row r="448" spans="1:10" s="26" customFormat="1">
      <c r="A448" s="17"/>
      <c r="B448" s="36" t="s">
        <v>50</v>
      </c>
      <c r="C448" s="36" t="s">
        <v>45</v>
      </c>
      <c r="D448" s="13"/>
      <c r="E448" s="13"/>
      <c r="F448" s="5" t="e">
        <f t="shared" si="80"/>
        <v>#DIV/0!</v>
      </c>
      <c r="G448" s="13"/>
      <c r="H448" s="20"/>
      <c r="I448" s="4" t="e">
        <f t="shared" si="72"/>
        <v>#DIV/0!</v>
      </c>
      <c r="J448" s="23">
        <f>+D448-G448</f>
        <v>0</v>
      </c>
    </row>
    <row r="449" spans="1:10" s="26" customFormat="1">
      <c r="A449" s="8"/>
      <c r="B449" s="24">
        <v>7501204010015</v>
      </c>
      <c r="C449" s="22" t="s">
        <v>220</v>
      </c>
      <c r="D449" s="31"/>
      <c r="E449" s="31"/>
      <c r="F449" s="10"/>
      <c r="G449" s="31"/>
      <c r="H449" s="32"/>
      <c r="I449" s="4" t="e">
        <f t="shared" si="72"/>
        <v>#DIV/0!</v>
      </c>
      <c r="J449" s="12"/>
    </row>
    <row r="450" spans="1:10" s="26" customFormat="1">
      <c r="A450" s="8"/>
      <c r="B450" s="24">
        <v>7501204010046</v>
      </c>
      <c r="C450" s="22" t="s">
        <v>221</v>
      </c>
      <c r="D450" s="31"/>
      <c r="E450" s="31"/>
      <c r="F450" s="10"/>
      <c r="G450" s="31"/>
      <c r="H450" s="32"/>
      <c r="I450" s="4" t="e">
        <f t="shared" si="72"/>
        <v>#DIV/0!</v>
      </c>
      <c r="J450" s="12"/>
    </row>
    <row r="451" spans="1:10" s="26" customFormat="1">
      <c r="A451" s="8"/>
      <c r="B451" s="24">
        <v>7501204010107</v>
      </c>
      <c r="C451" s="22" t="s">
        <v>222</v>
      </c>
      <c r="D451" s="31"/>
      <c r="E451" s="31"/>
      <c r="F451" s="10"/>
      <c r="G451" s="31"/>
      <c r="H451" s="32"/>
      <c r="I451" s="4" t="e">
        <f t="shared" si="72"/>
        <v>#DIV/0!</v>
      </c>
      <c r="J451" s="12"/>
    </row>
    <row r="452" spans="1:10" s="26" customFormat="1">
      <c r="A452" s="8"/>
      <c r="B452" s="24">
        <v>7501204010114</v>
      </c>
      <c r="C452" s="22" t="s">
        <v>223</v>
      </c>
      <c r="D452" s="31"/>
      <c r="E452" s="31"/>
      <c r="F452" s="10"/>
      <c r="G452" s="31"/>
      <c r="H452" s="32"/>
      <c r="I452" s="4" t="e">
        <f t="shared" ref="I452:I453" si="81">+((G452/H452)-1)*-1</f>
        <v>#DIV/0!</v>
      </c>
      <c r="J452" s="12"/>
    </row>
    <row r="453" spans="1:10" s="26" customFormat="1">
      <c r="A453" s="8"/>
      <c r="B453" s="24">
        <v>7501204010251</v>
      </c>
      <c r="C453" s="22" t="s">
        <v>224</v>
      </c>
      <c r="D453" s="31"/>
      <c r="E453" s="31"/>
      <c r="F453" s="10"/>
      <c r="G453" s="31"/>
      <c r="H453" s="32"/>
      <c r="I453" s="4" t="e">
        <f t="shared" si="81"/>
        <v>#DIV/0!</v>
      </c>
      <c r="J453" s="12"/>
    </row>
    <row r="454" spans="1:10" s="26" customFormat="1">
      <c r="A454" s="8"/>
      <c r="B454" s="24">
        <v>7501204010275</v>
      </c>
      <c r="C454" s="22" t="s">
        <v>225</v>
      </c>
      <c r="D454" s="31"/>
      <c r="E454" s="31"/>
      <c r="F454" s="10"/>
      <c r="G454" s="31"/>
      <c r="H454" s="32"/>
      <c r="I454" s="4" t="e">
        <f>+((G454/H454)-1)*-1</f>
        <v>#DIV/0!</v>
      </c>
      <c r="J454" s="12"/>
    </row>
    <row r="455" spans="1:10" s="26" customFormat="1">
      <c r="B455" s="24">
        <v>7501204010282</v>
      </c>
      <c r="C455" s="22" t="s">
        <v>226</v>
      </c>
      <c r="I455" s="4" t="e">
        <f>+((G455/H455)-1)*-1</f>
        <v>#DIV/0!</v>
      </c>
    </row>
    <row r="456" spans="1:10" s="26" customFormat="1">
      <c r="B456" s="24">
        <v>7501204010299</v>
      </c>
      <c r="C456" s="22" t="s">
        <v>227</v>
      </c>
      <c r="I456" s="4" t="e">
        <f>+((G456/H456)-1)*-1</f>
        <v>#DIV/0!</v>
      </c>
    </row>
    <row r="457" spans="1:10" s="26" customFormat="1">
      <c r="B457" s="24">
        <v>7501204010404</v>
      </c>
      <c r="C457" s="22" t="s">
        <v>228</v>
      </c>
      <c r="I457" s="4" t="e">
        <f>+((G457/H457)-1)*-1</f>
        <v>#DIV/0!</v>
      </c>
    </row>
    <row r="458" spans="1:10" s="26" customFormat="1">
      <c r="B458" s="24">
        <v>7501204101010</v>
      </c>
      <c r="C458" s="22" t="s">
        <v>229</v>
      </c>
      <c r="I458" s="4"/>
    </row>
    <row r="459" spans="1:10" s="26" customFormat="1">
      <c r="B459" s="24">
        <v>7501204102024</v>
      </c>
      <c r="C459" s="22" t="s">
        <v>230</v>
      </c>
      <c r="I459" s="4"/>
    </row>
    <row r="464" spans="1:10" s="26" customFormat="1" ht="15.75">
      <c r="A464" s="77" t="s">
        <v>332</v>
      </c>
      <c r="B464" s="77"/>
      <c r="C464" s="77"/>
    </row>
    <row r="465" spans="1:10" s="26" customFormat="1" ht="23.25" customHeight="1">
      <c r="A465" s="78" t="s">
        <v>333</v>
      </c>
      <c r="B465" s="78"/>
      <c r="C465" s="78"/>
      <c r="D465" s="79" t="s">
        <v>0</v>
      </c>
      <c r="E465" s="80"/>
      <c r="F465" s="81"/>
      <c r="G465" s="79" t="s">
        <v>1</v>
      </c>
      <c r="H465" s="80"/>
      <c r="I465" s="81"/>
    </row>
    <row r="466" spans="1:10" s="26" customFormat="1" ht="22.5">
      <c r="A466" s="41" t="s">
        <v>11</v>
      </c>
      <c r="B466" s="41" t="s">
        <v>2</v>
      </c>
      <c r="C466" s="41" t="s">
        <v>3</v>
      </c>
      <c r="D466" s="27" t="s">
        <v>4</v>
      </c>
      <c r="E466" s="27" t="s">
        <v>5</v>
      </c>
      <c r="F466" s="3" t="s">
        <v>6</v>
      </c>
      <c r="G466" s="27" t="s">
        <v>7</v>
      </c>
      <c r="H466" s="37" t="s">
        <v>8</v>
      </c>
      <c r="I466" s="3" t="s">
        <v>9</v>
      </c>
      <c r="J466" s="6" t="s">
        <v>10</v>
      </c>
    </row>
    <row r="467" spans="1:10" s="26" customFormat="1">
      <c r="A467" s="7"/>
      <c r="B467" s="52"/>
      <c r="C467" s="54"/>
      <c r="D467" s="45"/>
      <c r="E467" s="45"/>
      <c r="F467" s="5" t="e">
        <f t="shared" ref="F467:F468" si="82">+((D467/E467)-1)*-1</f>
        <v>#DIV/0!</v>
      </c>
      <c r="G467" s="45"/>
      <c r="H467" s="56"/>
      <c r="I467" s="4" t="e">
        <f t="shared" ref="I467:I532" si="83">+((G467/H467)-1)*-1</f>
        <v>#DIV/0!</v>
      </c>
      <c r="J467" s="23">
        <f t="shared" ref="J467:J469" si="84">+D467-G467</f>
        <v>0</v>
      </c>
    </row>
    <row r="468" spans="1:10" s="26" customFormat="1">
      <c r="A468" s="7"/>
      <c r="B468" s="52">
        <v>7501003340139</v>
      </c>
      <c r="C468" s="54" t="s">
        <v>334</v>
      </c>
      <c r="D468" s="45">
        <v>33.6</v>
      </c>
      <c r="E468" s="45">
        <v>41.9</v>
      </c>
      <c r="F468" s="5">
        <f t="shared" si="82"/>
        <v>0.19809069212410491</v>
      </c>
      <c r="G468" s="45">
        <v>29.83</v>
      </c>
      <c r="H468" s="56">
        <v>33.9</v>
      </c>
      <c r="I468" s="4">
        <f t="shared" si="83"/>
        <v>0.12005899705014755</v>
      </c>
      <c r="J468" s="23">
        <f t="shared" si="84"/>
        <v>3.7700000000000031</v>
      </c>
    </row>
    <row r="469" spans="1:10" s="26" customFormat="1">
      <c r="A469" s="7"/>
      <c r="B469" s="52">
        <v>608875001216</v>
      </c>
      <c r="C469" s="54" t="s">
        <v>327</v>
      </c>
      <c r="D469" s="45">
        <v>25.125</v>
      </c>
      <c r="E469" s="45">
        <v>30.6</v>
      </c>
      <c r="F469" s="5">
        <v>0.17892156862745101</v>
      </c>
      <c r="G469" s="45">
        <v>22.6</v>
      </c>
      <c r="H469" s="56">
        <v>25.5</v>
      </c>
      <c r="I469" s="4">
        <f t="shared" si="83"/>
        <v>0.11372549019607836</v>
      </c>
      <c r="J469" s="23">
        <f t="shared" si="84"/>
        <v>2.5249999999999986</v>
      </c>
    </row>
    <row r="470" spans="1:10" s="26" customFormat="1">
      <c r="A470" s="25"/>
      <c r="B470" s="50">
        <v>75014339</v>
      </c>
      <c r="C470" s="54" t="s">
        <v>293</v>
      </c>
      <c r="D470" s="45">
        <v>10.320399999999999</v>
      </c>
      <c r="E470" s="45">
        <v>12.9</v>
      </c>
      <c r="F470" s="5">
        <f t="shared" ref="F470" si="85">+((D470/E470)-1)*-1</f>
        <v>0.19996899224806208</v>
      </c>
      <c r="G470" s="45">
        <v>8.98</v>
      </c>
      <c r="H470" s="56">
        <v>10.5</v>
      </c>
      <c r="I470" s="4">
        <f t="shared" si="83"/>
        <v>0.14476190476190476</v>
      </c>
      <c r="J470" s="23"/>
    </row>
    <row r="471" spans="1:10" s="26" customFormat="1">
      <c r="A471" s="25"/>
      <c r="B471" s="50">
        <v>7501045404400</v>
      </c>
      <c r="C471" s="54" t="s">
        <v>213</v>
      </c>
      <c r="D471" s="45">
        <v>11.25</v>
      </c>
      <c r="E471" s="45">
        <v>13.2</v>
      </c>
      <c r="F471" s="40">
        <v>0.14772727272727271</v>
      </c>
      <c r="G471" s="45">
        <v>9.8699999999999992</v>
      </c>
      <c r="H471" s="56">
        <v>11.5</v>
      </c>
      <c r="I471" s="4">
        <f t="shared" si="83"/>
        <v>0.1417391304347827</v>
      </c>
      <c r="J471" s="23"/>
    </row>
    <row r="472" spans="1:10" s="26" customFormat="1">
      <c r="A472" s="25"/>
      <c r="B472" s="50">
        <v>7501045404417</v>
      </c>
      <c r="C472" s="54" t="s">
        <v>214</v>
      </c>
      <c r="D472" s="45">
        <v>11.25</v>
      </c>
      <c r="E472" s="45">
        <v>13.2</v>
      </c>
      <c r="F472" s="40">
        <v>0.14772727272727271</v>
      </c>
      <c r="G472" s="45">
        <v>9.8699999999999992</v>
      </c>
      <c r="H472" s="56">
        <v>11.5</v>
      </c>
      <c r="I472" s="4">
        <f t="shared" si="83"/>
        <v>0.1417391304347827</v>
      </c>
      <c r="J472" s="23"/>
    </row>
    <row r="473" spans="1:10" s="26" customFormat="1">
      <c r="A473" s="7"/>
      <c r="B473" s="52">
        <v>7501045403908</v>
      </c>
      <c r="C473" s="54" t="s">
        <v>282</v>
      </c>
      <c r="D473" s="45">
        <v>17.68</v>
      </c>
      <c r="E473" s="45">
        <v>20.8</v>
      </c>
      <c r="F473" s="5">
        <v>0.15000000000000002</v>
      </c>
      <c r="G473" s="45">
        <v>16.940000000000001</v>
      </c>
      <c r="H473" s="56">
        <v>19.5</v>
      </c>
      <c r="I473" s="4">
        <f t="shared" si="83"/>
        <v>0.13128205128205117</v>
      </c>
      <c r="J473" s="23">
        <f t="shared" ref="J473:J475" si="86">+D473-G473</f>
        <v>0.73999999999999844</v>
      </c>
    </row>
    <row r="474" spans="1:10" s="26" customFormat="1">
      <c r="A474" s="7"/>
      <c r="B474" s="52">
        <v>7501045403915</v>
      </c>
      <c r="C474" s="54" t="s">
        <v>283</v>
      </c>
      <c r="D474" s="45">
        <v>17.68</v>
      </c>
      <c r="E474" s="45">
        <v>20.8</v>
      </c>
      <c r="F474" s="5">
        <v>0.15000000000000002</v>
      </c>
      <c r="G474" s="45">
        <v>16.940000000000001</v>
      </c>
      <c r="H474" s="56">
        <v>19.5</v>
      </c>
      <c r="I474" s="4">
        <f t="shared" si="83"/>
        <v>0.13128205128205117</v>
      </c>
      <c r="J474" s="23">
        <f t="shared" si="86"/>
        <v>0.73999999999999844</v>
      </c>
    </row>
    <row r="475" spans="1:10" s="26" customFormat="1">
      <c r="A475" s="7"/>
      <c r="B475" s="52">
        <v>7501006535303</v>
      </c>
      <c r="C475" s="54" t="s">
        <v>236</v>
      </c>
      <c r="D475" s="45">
        <v>14.268800000000001</v>
      </c>
      <c r="E475" s="45">
        <v>17.399999999999999</v>
      </c>
      <c r="F475" s="5">
        <f t="shared" ref="F475" si="87">+((D475/E475)-1)*-1</f>
        <v>0.1799540229885056</v>
      </c>
      <c r="G475" s="45">
        <v>12.95</v>
      </c>
      <c r="H475" s="56">
        <v>14.9</v>
      </c>
      <c r="I475" s="4">
        <f t="shared" si="83"/>
        <v>0.1308724832214766</v>
      </c>
      <c r="J475" s="23">
        <f t="shared" si="86"/>
        <v>1.3188000000000013</v>
      </c>
    </row>
    <row r="476" spans="1:10" s="26" customFormat="1">
      <c r="A476" s="25"/>
      <c r="B476" s="50"/>
      <c r="C476" s="54" t="s">
        <v>335</v>
      </c>
      <c r="D476" s="45">
        <v>5.5</v>
      </c>
      <c r="E476" s="45">
        <v>6.9</v>
      </c>
      <c r="F476" s="5">
        <v>0.20289855072463769</v>
      </c>
      <c r="G476" s="45">
        <v>5.31</v>
      </c>
      <c r="H476" s="56">
        <v>5.9</v>
      </c>
      <c r="I476" s="4">
        <f t="shared" si="83"/>
        <v>0.10000000000000009</v>
      </c>
      <c r="J476" s="23"/>
    </row>
    <row r="477" spans="1:10" s="26" customFormat="1">
      <c r="A477" s="25"/>
      <c r="B477" s="50">
        <v>7502247335677</v>
      </c>
      <c r="C477" s="54" t="s">
        <v>59</v>
      </c>
      <c r="D477" s="45">
        <f>13.01*1.16</f>
        <v>15.091599999999998</v>
      </c>
      <c r="E477" s="45">
        <v>21.7</v>
      </c>
      <c r="F477" s="5">
        <f t="shared" ref="F477:F492" si="88">+((D477/E477)-1)*-1</f>
        <v>0.30453456221198161</v>
      </c>
      <c r="G477" s="45">
        <f>+D477-0.5</f>
        <v>14.591599999999998</v>
      </c>
      <c r="H477" s="56">
        <v>16.5</v>
      </c>
      <c r="I477" s="4">
        <f t="shared" si="83"/>
        <v>0.11566060606060624</v>
      </c>
      <c r="J477" s="23">
        <f t="shared" ref="J477" si="89">+D477-G477</f>
        <v>0.5</v>
      </c>
    </row>
    <row r="478" spans="1:10" s="26" customFormat="1">
      <c r="A478" s="17" t="s">
        <v>12</v>
      </c>
      <c r="B478" s="34">
        <v>7501048103010</v>
      </c>
      <c r="C478" s="35" t="s">
        <v>310</v>
      </c>
      <c r="D478" s="33">
        <v>39</v>
      </c>
      <c r="E478" s="33">
        <v>44.3</v>
      </c>
      <c r="F478" s="5">
        <f t="shared" si="88"/>
        <v>0.11963882618510158</v>
      </c>
      <c r="G478" s="33">
        <v>38</v>
      </c>
      <c r="H478" s="38">
        <v>42.5</v>
      </c>
      <c r="I478" s="4">
        <f t="shared" si="83"/>
        <v>0.10588235294117643</v>
      </c>
      <c r="J478" s="23"/>
    </row>
    <row r="479" spans="1:10" s="26" customFormat="1">
      <c r="A479" s="7" t="s">
        <v>13</v>
      </c>
      <c r="B479" s="29"/>
      <c r="C479" s="44"/>
      <c r="D479" s="45"/>
      <c r="E479" s="45"/>
      <c r="F479" s="5" t="e">
        <f t="shared" si="88"/>
        <v>#DIV/0!</v>
      </c>
      <c r="G479" s="45"/>
      <c r="H479" s="46"/>
      <c r="I479" s="4" t="e">
        <f t="shared" si="83"/>
        <v>#DIV/0!</v>
      </c>
      <c r="J479" s="23">
        <f t="shared" ref="J479" si="90">+D479-G479</f>
        <v>0</v>
      </c>
    </row>
    <row r="480" spans="1:10" s="26" customFormat="1">
      <c r="A480" s="17" t="s">
        <v>14</v>
      </c>
      <c r="B480" s="34">
        <v>7501468700127</v>
      </c>
      <c r="C480" s="35" t="s">
        <v>329</v>
      </c>
      <c r="D480" s="33">
        <v>15.5</v>
      </c>
      <c r="E480" s="33">
        <v>17.7</v>
      </c>
      <c r="F480" s="5">
        <f t="shared" si="88"/>
        <v>0.12429378531073443</v>
      </c>
      <c r="G480" s="33">
        <f>+D480*0.9</f>
        <v>13.950000000000001</v>
      </c>
      <c r="H480" s="38">
        <v>15.9</v>
      </c>
      <c r="I480" s="4">
        <f t="shared" si="83"/>
        <v>0.12264150943396224</v>
      </c>
      <c r="J480" s="23">
        <f>+D480-G480</f>
        <v>1.5499999999999989</v>
      </c>
    </row>
    <row r="481" spans="1:10" s="26" customFormat="1">
      <c r="A481" s="25"/>
      <c r="B481" s="34">
        <v>7501578540033</v>
      </c>
      <c r="C481" s="35" t="s">
        <v>53</v>
      </c>
      <c r="D481" s="33">
        <v>19.5</v>
      </c>
      <c r="E481" s="33">
        <v>28.2</v>
      </c>
      <c r="F481" s="5">
        <f t="shared" si="88"/>
        <v>0.30851063829787229</v>
      </c>
      <c r="G481" s="33">
        <v>19.5</v>
      </c>
      <c r="H481" s="38">
        <v>22.5</v>
      </c>
      <c r="I481" s="4">
        <f t="shared" si="83"/>
        <v>0.1333333333333333</v>
      </c>
      <c r="J481" s="23"/>
    </row>
    <row r="482" spans="1:10" s="26" customFormat="1">
      <c r="A482" s="25"/>
      <c r="B482" s="34">
        <v>7501468777778</v>
      </c>
      <c r="C482" s="35" t="s">
        <v>86</v>
      </c>
      <c r="D482" s="33">
        <v>15.4</v>
      </c>
      <c r="E482" s="33">
        <v>17.2</v>
      </c>
      <c r="F482" s="5">
        <f t="shared" si="88"/>
        <v>0.10465116279069764</v>
      </c>
      <c r="G482" s="33">
        <v>13.85</v>
      </c>
      <c r="H482" s="38">
        <v>15.5</v>
      </c>
      <c r="I482" s="4">
        <f t="shared" si="83"/>
        <v>0.1064516129032258</v>
      </c>
      <c r="J482" s="23">
        <f>+D482-G482</f>
        <v>1.5500000000000007</v>
      </c>
    </row>
    <row r="483" spans="1:10" s="26" customFormat="1">
      <c r="A483" s="25"/>
      <c r="B483" s="34">
        <v>7501214100232</v>
      </c>
      <c r="C483" s="47" t="s">
        <v>336</v>
      </c>
      <c r="D483" s="48">
        <v>28.355499999999999</v>
      </c>
      <c r="E483" s="48">
        <v>32.299999999999997</v>
      </c>
      <c r="F483" s="5">
        <f t="shared" si="88"/>
        <v>0.12212074303405562</v>
      </c>
      <c r="G483" s="48">
        <f>+D483-3</f>
        <v>25.355499999999999</v>
      </c>
      <c r="H483" s="49">
        <v>28.5</v>
      </c>
      <c r="I483" s="4">
        <f t="shared" si="83"/>
        <v>0.11033333333333339</v>
      </c>
      <c r="J483" s="23">
        <f>+D483-G483</f>
        <v>3</v>
      </c>
    </row>
    <row r="484" spans="1:10" s="26" customFormat="1">
      <c r="A484" s="25"/>
      <c r="B484" s="34" t="s">
        <v>337</v>
      </c>
      <c r="C484" s="47" t="s">
        <v>338</v>
      </c>
      <c r="D484" s="48">
        <v>21.738800000000001</v>
      </c>
      <c r="E484" s="48">
        <v>24.7</v>
      </c>
      <c r="F484" s="5">
        <f t="shared" si="88"/>
        <v>0.11988663967611324</v>
      </c>
      <c r="G484" s="48">
        <f>+D484-3</f>
        <v>18.738800000000001</v>
      </c>
      <c r="H484" s="49">
        <v>20.9</v>
      </c>
      <c r="I484" s="4">
        <f t="shared" si="83"/>
        <v>0.10340669856459317</v>
      </c>
      <c r="J484" s="23">
        <f>+D484-G484</f>
        <v>3</v>
      </c>
    </row>
    <row r="485" spans="1:10" s="26" customFormat="1">
      <c r="A485" s="7" t="s">
        <v>15</v>
      </c>
      <c r="B485" s="29"/>
      <c r="C485" s="47"/>
      <c r="D485" s="48"/>
      <c r="E485" s="48"/>
      <c r="F485" s="5" t="e">
        <f t="shared" si="88"/>
        <v>#DIV/0!</v>
      </c>
      <c r="G485" s="48"/>
      <c r="H485" s="49"/>
      <c r="I485" s="4" t="e">
        <f t="shared" si="83"/>
        <v>#DIV/0!</v>
      </c>
      <c r="J485" s="23"/>
    </row>
    <row r="486" spans="1:10" s="26" customFormat="1">
      <c r="A486" s="7" t="s">
        <v>16</v>
      </c>
      <c r="B486" s="29">
        <v>75000615</v>
      </c>
      <c r="C486" s="28" t="s">
        <v>52</v>
      </c>
      <c r="D486" s="30">
        <v>13.328399999999998</v>
      </c>
      <c r="E486" s="30">
        <v>16.7</v>
      </c>
      <c r="F486" s="5">
        <f t="shared" si="88"/>
        <v>0.20189221556886239</v>
      </c>
      <c r="G486" s="30">
        <v>9.81</v>
      </c>
      <c r="H486" s="39">
        <v>10.9</v>
      </c>
      <c r="I486" s="4">
        <f t="shared" si="83"/>
        <v>9.9999999999999978E-2</v>
      </c>
      <c r="J486" s="23">
        <f t="shared" ref="J486:J498" si="91">+D486-G486</f>
        <v>3.518399999999998</v>
      </c>
    </row>
    <row r="487" spans="1:10" s="26" customFormat="1">
      <c r="A487" s="25"/>
      <c r="B487" s="34">
        <v>75000622</v>
      </c>
      <c r="C487" s="35" t="s">
        <v>54</v>
      </c>
      <c r="D487" s="33">
        <f>20.8961*1.16</f>
        <v>24.239476</v>
      </c>
      <c r="E487" s="33">
        <v>30.3</v>
      </c>
      <c r="F487" s="5">
        <f t="shared" si="88"/>
        <v>0.20001729372937294</v>
      </c>
      <c r="G487" s="33">
        <v>17.91</v>
      </c>
      <c r="H487" s="38">
        <v>19.899999999999999</v>
      </c>
      <c r="I487" s="4">
        <f t="shared" si="83"/>
        <v>9.9999999999999978E-2</v>
      </c>
      <c r="J487" s="23">
        <f t="shared" si="91"/>
        <v>6.3294759999999997</v>
      </c>
    </row>
    <row r="488" spans="1:10" s="26" customFormat="1">
      <c r="A488" s="7"/>
      <c r="B488" s="29">
        <v>7501025444969</v>
      </c>
      <c r="C488" s="28" t="s">
        <v>255</v>
      </c>
      <c r="D488" s="30">
        <v>12.320244000000001</v>
      </c>
      <c r="E488" s="30">
        <v>16.2</v>
      </c>
      <c r="F488" s="5">
        <f t="shared" si="88"/>
        <v>0.23949111111111099</v>
      </c>
      <c r="G488" s="30">
        <v>11.32</v>
      </c>
      <c r="H488" s="39">
        <v>12.9</v>
      </c>
      <c r="I488" s="4">
        <f t="shared" si="83"/>
        <v>0.1224806201550388</v>
      </c>
      <c r="J488" s="23">
        <f t="shared" si="91"/>
        <v>1.0002440000000004</v>
      </c>
    </row>
    <row r="489" spans="1:10" s="26" customFormat="1">
      <c r="A489" s="7"/>
      <c r="B489" s="29">
        <v>7500435196253</v>
      </c>
      <c r="C489" s="28" t="s">
        <v>190</v>
      </c>
      <c r="D489" s="30">
        <v>20.450799999999997</v>
      </c>
      <c r="E489" s="30">
        <v>25.9</v>
      </c>
      <c r="F489" s="5">
        <f t="shared" si="88"/>
        <v>0.21039382239382243</v>
      </c>
      <c r="G489" s="30">
        <v>17.010000000000002</v>
      </c>
      <c r="H489" s="39">
        <v>18.899999999999999</v>
      </c>
      <c r="I489" s="4">
        <f t="shared" si="83"/>
        <v>9.9999999999999867E-2</v>
      </c>
      <c r="J489" s="23">
        <f t="shared" si="91"/>
        <v>3.4407999999999959</v>
      </c>
    </row>
    <row r="490" spans="1:10" s="26" customFormat="1">
      <c r="A490" s="25"/>
      <c r="B490" s="34">
        <v>7500435196291</v>
      </c>
      <c r="C490" s="35" t="s">
        <v>188</v>
      </c>
      <c r="D490" s="33">
        <v>20.450799999999997</v>
      </c>
      <c r="E490" s="33">
        <v>25.9</v>
      </c>
      <c r="F490" s="5">
        <f t="shared" si="88"/>
        <v>0.21039382239382243</v>
      </c>
      <c r="G490" s="33">
        <v>17.010000000000002</v>
      </c>
      <c r="H490" s="38">
        <v>18.899999999999999</v>
      </c>
      <c r="I490" s="4">
        <f t="shared" si="83"/>
        <v>9.9999999999999867E-2</v>
      </c>
      <c r="J490" s="23">
        <f t="shared" si="91"/>
        <v>3.4407999999999959</v>
      </c>
    </row>
    <row r="491" spans="1:10" s="26" customFormat="1">
      <c r="A491" s="43"/>
      <c r="B491" s="34">
        <v>7500435196260</v>
      </c>
      <c r="C491" s="35" t="s">
        <v>191</v>
      </c>
      <c r="D491" s="30">
        <v>20.450799999999997</v>
      </c>
      <c r="E491" s="33">
        <v>25.9</v>
      </c>
      <c r="F491" s="5">
        <f t="shared" si="88"/>
        <v>0.21039382239382243</v>
      </c>
      <c r="G491" s="33">
        <v>17.010000000000002</v>
      </c>
      <c r="H491" s="38">
        <v>18.899999999999999</v>
      </c>
      <c r="I491" s="4">
        <f t="shared" si="83"/>
        <v>9.9999999999999867E-2</v>
      </c>
      <c r="J491" s="23">
        <f t="shared" si="91"/>
        <v>3.4407999999999959</v>
      </c>
    </row>
    <row r="492" spans="1:10" s="26" customFormat="1">
      <c r="A492" s="7"/>
      <c r="B492" s="29">
        <v>7500435196277</v>
      </c>
      <c r="C492" s="28" t="s">
        <v>189</v>
      </c>
      <c r="D492" s="30">
        <v>20.450799999999997</v>
      </c>
      <c r="E492" s="30">
        <v>25.9</v>
      </c>
      <c r="F492" s="5">
        <f t="shared" si="88"/>
        <v>0.21039382239382243</v>
      </c>
      <c r="G492" s="33">
        <v>17.010000000000002</v>
      </c>
      <c r="H492" s="38">
        <v>18.899999999999999</v>
      </c>
      <c r="I492" s="4">
        <f t="shared" si="83"/>
        <v>9.9999999999999867E-2</v>
      </c>
      <c r="J492" s="23">
        <f t="shared" si="91"/>
        <v>3.4407999999999959</v>
      </c>
    </row>
    <row r="493" spans="1:10" s="26" customFormat="1">
      <c r="A493" s="7"/>
      <c r="B493" s="29">
        <v>7500435193498</v>
      </c>
      <c r="C493" s="28" t="s">
        <v>275</v>
      </c>
      <c r="D493" s="30">
        <v>20.450799999999997</v>
      </c>
      <c r="E493" s="30">
        <v>25.9</v>
      </c>
      <c r="F493" s="5">
        <v>0.21039382239382243</v>
      </c>
      <c r="G493" s="33">
        <v>17.010000000000002</v>
      </c>
      <c r="H493" s="38">
        <v>18.899999999999999</v>
      </c>
      <c r="I493" s="4">
        <f t="shared" si="83"/>
        <v>9.9999999999999867E-2</v>
      </c>
      <c r="J493" s="23">
        <f t="shared" si="91"/>
        <v>3.4407999999999959</v>
      </c>
    </row>
    <row r="494" spans="1:10" s="26" customFormat="1">
      <c r="A494" s="7"/>
      <c r="B494" s="29">
        <v>7500435193481</v>
      </c>
      <c r="C494" s="28" t="s">
        <v>276</v>
      </c>
      <c r="D494" s="30">
        <v>20.450799999999997</v>
      </c>
      <c r="E494" s="30">
        <v>25.9</v>
      </c>
      <c r="F494" s="5">
        <v>0.21039382239382243</v>
      </c>
      <c r="G494" s="33">
        <v>17.010000000000002</v>
      </c>
      <c r="H494" s="38">
        <v>18.899999999999999</v>
      </c>
      <c r="I494" s="4">
        <f t="shared" si="83"/>
        <v>9.9999999999999867E-2</v>
      </c>
      <c r="J494" s="23">
        <f t="shared" si="91"/>
        <v>3.4407999999999959</v>
      </c>
    </row>
    <row r="495" spans="1:10" s="26" customFormat="1">
      <c r="A495" s="7"/>
      <c r="B495" s="29">
        <v>7500435184434</v>
      </c>
      <c r="C495" s="28" t="s">
        <v>277</v>
      </c>
      <c r="D495" s="30">
        <v>20.450799999999997</v>
      </c>
      <c r="E495" s="30">
        <v>25.9</v>
      </c>
      <c r="F495" s="5">
        <v>0.21039382239382243</v>
      </c>
      <c r="G495" s="33">
        <v>17.010000000000002</v>
      </c>
      <c r="H495" s="38">
        <v>18.899999999999999</v>
      </c>
      <c r="I495" s="4">
        <f t="shared" si="83"/>
        <v>9.9999999999999867E-2</v>
      </c>
      <c r="J495" s="23">
        <f t="shared" si="91"/>
        <v>3.4407999999999959</v>
      </c>
    </row>
    <row r="496" spans="1:10" s="26" customFormat="1">
      <c r="A496" s="7" t="s">
        <v>17</v>
      </c>
      <c r="B496" s="29"/>
      <c r="C496" s="28"/>
      <c r="D496" s="30"/>
      <c r="E496" s="30"/>
      <c r="F496" s="5" t="e">
        <f t="shared" ref="F496" si="92">+((D496/E496)-1)*-1</f>
        <v>#DIV/0!</v>
      </c>
      <c r="G496" s="30"/>
      <c r="H496" s="39"/>
      <c r="I496" s="4" t="e">
        <f t="shared" si="83"/>
        <v>#DIV/0!</v>
      </c>
      <c r="J496" s="23">
        <f t="shared" si="91"/>
        <v>0</v>
      </c>
    </row>
    <row r="497" spans="1:10" s="26" customFormat="1">
      <c r="A497" s="7" t="s">
        <v>169</v>
      </c>
      <c r="B497" s="29">
        <v>7506475104722</v>
      </c>
      <c r="C497" s="28" t="s">
        <v>184</v>
      </c>
      <c r="D497" s="30">
        <v>19.91</v>
      </c>
      <c r="E497" s="30">
        <v>24.9</v>
      </c>
      <c r="F497" s="5">
        <v>0.20040160642570271</v>
      </c>
      <c r="G497" s="30">
        <v>17.919</v>
      </c>
      <c r="H497" s="39">
        <v>20.5</v>
      </c>
      <c r="I497" s="4">
        <f t="shared" si="83"/>
        <v>0.12590243902439024</v>
      </c>
      <c r="J497" s="23">
        <f t="shared" si="91"/>
        <v>1.9909999999999997</v>
      </c>
    </row>
    <row r="498" spans="1:10" s="26" customFormat="1">
      <c r="A498" s="7" t="s">
        <v>18</v>
      </c>
      <c r="B498" s="29">
        <v>7501001600426</v>
      </c>
      <c r="C498" s="28" t="s">
        <v>278</v>
      </c>
      <c r="D498" s="30">
        <v>12.23</v>
      </c>
      <c r="E498" s="30">
        <v>15.4</v>
      </c>
      <c r="F498" s="5">
        <v>0.20584415584415583</v>
      </c>
      <c r="G498" s="30">
        <v>11.007000000000001</v>
      </c>
      <c r="H498" s="39">
        <v>12.5</v>
      </c>
      <c r="I498" s="4">
        <f t="shared" si="83"/>
        <v>0.11943999999999988</v>
      </c>
      <c r="J498" s="23">
        <f t="shared" si="91"/>
        <v>1.222999999999999</v>
      </c>
    </row>
    <row r="499" spans="1:10" s="26" customFormat="1">
      <c r="A499" s="7" t="s">
        <v>19</v>
      </c>
      <c r="B499" s="29"/>
      <c r="C499" s="28"/>
      <c r="D499" s="30"/>
      <c r="E499" s="30"/>
      <c r="F499" s="5" t="e">
        <f t="shared" ref="F499:F501" si="93">+((D499/E499)-1)*-1</f>
        <v>#DIV/0!</v>
      </c>
      <c r="G499" s="30"/>
      <c r="H499" s="39"/>
      <c r="I499" s="4" t="e">
        <f t="shared" si="83"/>
        <v>#DIV/0!</v>
      </c>
      <c r="J499" s="23"/>
    </row>
    <row r="500" spans="1:10" s="26" customFormat="1">
      <c r="A500" s="7" t="s">
        <v>20</v>
      </c>
      <c r="B500" s="29">
        <v>7501017005024</v>
      </c>
      <c r="C500" s="28" t="s">
        <v>339</v>
      </c>
      <c r="D500" s="30">
        <v>11.015000000000001</v>
      </c>
      <c r="E500" s="30">
        <v>13.3</v>
      </c>
      <c r="F500" s="5">
        <f t="shared" si="93"/>
        <v>0.17180451127819552</v>
      </c>
      <c r="G500" s="30">
        <f>+D500*0.95</f>
        <v>10.46425</v>
      </c>
      <c r="H500" s="39">
        <v>11.9</v>
      </c>
      <c r="I500" s="4">
        <f t="shared" si="83"/>
        <v>0.12065126050420172</v>
      </c>
      <c r="J500" s="23">
        <f>+D500-G500</f>
        <v>0.55075000000000074</v>
      </c>
    </row>
    <row r="501" spans="1:10" s="26" customFormat="1">
      <c r="A501" s="7"/>
      <c r="B501" s="29">
        <v>7501017005000</v>
      </c>
      <c r="C501" s="28" t="s">
        <v>340</v>
      </c>
      <c r="D501" s="30">
        <f>9.2427*1</f>
        <v>9.2426999999999992</v>
      </c>
      <c r="E501" s="30">
        <v>11.2</v>
      </c>
      <c r="F501" s="5">
        <f t="shared" si="93"/>
        <v>0.17475892857142861</v>
      </c>
      <c r="G501" s="30">
        <f>+D501*0.95</f>
        <v>8.7805649999999993</v>
      </c>
      <c r="H501" s="39">
        <v>9.9</v>
      </c>
      <c r="I501" s="4">
        <f t="shared" si="83"/>
        <v>0.11307424242424258</v>
      </c>
      <c r="J501" s="23">
        <f t="shared" ref="J501" si="94">+D501-G501</f>
        <v>0.46213499999999996</v>
      </c>
    </row>
    <row r="502" spans="1:10" s="26" customFormat="1">
      <c r="A502" s="7" t="s">
        <v>21</v>
      </c>
      <c r="B502" s="29">
        <v>7501005181365</v>
      </c>
      <c r="C502" s="28" t="s">
        <v>267</v>
      </c>
      <c r="D502" s="30">
        <v>16.350000000000001</v>
      </c>
      <c r="E502" s="30">
        <v>22.9</v>
      </c>
      <c r="F502" s="5">
        <v>0.28602620087336239</v>
      </c>
      <c r="G502" s="30">
        <v>15.21</v>
      </c>
      <c r="H502" s="39">
        <v>16.899999999999999</v>
      </c>
      <c r="I502" s="4">
        <f t="shared" si="83"/>
        <v>9.9999999999999867E-2</v>
      </c>
      <c r="J502" s="23">
        <f>+D502-G502</f>
        <v>1.1400000000000006</v>
      </c>
    </row>
    <row r="503" spans="1:10" s="26" customFormat="1">
      <c r="A503" s="7" t="s">
        <v>39</v>
      </c>
      <c r="B503" s="29"/>
      <c r="C503" s="28"/>
      <c r="D503" s="30"/>
      <c r="E503" s="30"/>
      <c r="F503" s="5" t="e">
        <f t="shared" ref="F503:F531" si="95">+((D503/E503)-1)*-1</f>
        <v>#DIV/0!</v>
      </c>
      <c r="G503" s="30"/>
      <c r="H503" s="39"/>
      <c r="I503" s="4" t="e">
        <f t="shared" si="83"/>
        <v>#DIV/0!</v>
      </c>
      <c r="J503" s="23"/>
    </row>
    <row r="504" spans="1:10" s="26" customFormat="1">
      <c r="A504" s="7" t="s">
        <v>22</v>
      </c>
      <c r="B504" s="34">
        <v>7506309859774</v>
      </c>
      <c r="C504" s="35" t="s">
        <v>43</v>
      </c>
      <c r="D504" s="33">
        <f>22.7985*1.16</f>
        <v>26.446259999999999</v>
      </c>
      <c r="E504" s="33">
        <v>29.9</v>
      </c>
      <c r="F504" s="5">
        <f t="shared" si="95"/>
        <v>0.11550969899665553</v>
      </c>
      <c r="G504" s="33">
        <v>23.31</v>
      </c>
      <c r="H504" s="38">
        <v>25.9</v>
      </c>
      <c r="I504" s="4">
        <f t="shared" si="83"/>
        <v>9.9999999999999978E-2</v>
      </c>
      <c r="J504" s="23">
        <f t="shared" ref="J504" si="96">+D504-G504</f>
        <v>3.13626</v>
      </c>
    </row>
    <row r="505" spans="1:10" s="26" customFormat="1">
      <c r="A505" s="25"/>
      <c r="B505" s="34">
        <v>7500435137287</v>
      </c>
      <c r="C505" s="35" t="s">
        <v>42</v>
      </c>
      <c r="D505" s="33">
        <f>15.449643*1.16</f>
        <v>17.921585879999999</v>
      </c>
      <c r="E505" s="33">
        <v>20.9</v>
      </c>
      <c r="F505" s="5">
        <f t="shared" si="95"/>
        <v>0.14250785263157895</v>
      </c>
      <c r="G505" s="33">
        <v>15.21</v>
      </c>
      <c r="H505" s="38">
        <v>16.899999999999999</v>
      </c>
      <c r="I505" s="4">
        <f t="shared" si="83"/>
        <v>9.9999999999999867E-2</v>
      </c>
      <c r="J505" s="23">
        <f>+D505-G505</f>
        <v>2.7115858799999977</v>
      </c>
    </row>
    <row r="506" spans="1:10" s="26" customFormat="1">
      <c r="A506" s="25"/>
      <c r="B506" s="34" t="s">
        <v>341</v>
      </c>
      <c r="C506" s="35" t="s">
        <v>342</v>
      </c>
      <c r="D506" s="33">
        <f>111.21*1.16</f>
        <v>129.00359999999998</v>
      </c>
      <c r="E506" s="33">
        <v>184.9</v>
      </c>
      <c r="F506" s="5">
        <f t="shared" si="95"/>
        <v>0.30230611141157393</v>
      </c>
      <c r="G506" s="33">
        <v>129</v>
      </c>
      <c r="H506" s="38">
        <v>146.9</v>
      </c>
      <c r="I506" s="4">
        <f t="shared" si="83"/>
        <v>0.12185159972770598</v>
      </c>
      <c r="J506" s="23">
        <f>+D506-G506</f>
        <v>3.5999999999773991E-3</v>
      </c>
    </row>
    <row r="507" spans="1:10" s="26" customFormat="1">
      <c r="A507" s="25"/>
      <c r="B507" s="34" t="s">
        <v>343</v>
      </c>
      <c r="C507" s="35" t="s">
        <v>344</v>
      </c>
      <c r="D507" s="33">
        <f>22.3276*1.16</f>
        <v>25.900015999999997</v>
      </c>
      <c r="E507" s="33">
        <v>32.5</v>
      </c>
      <c r="F507" s="5">
        <f t="shared" si="95"/>
        <v>0.20307643076923088</v>
      </c>
      <c r="G507" s="33">
        <v>24.61</v>
      </c>
      <c r="H507" s="38">
        <v>27.9</v>
      </c>
      <c r="I507" s="4">
        <f t="shared" si="83"/>
        <v>0.11792114695340494</v>
      </c>
      <c r="J507" s="23"/>
    </row>
    <row r="508" spans="1:10" s="26" customFormat="1">
      <c r="A508" s="7" t="s">
        <v>23</v>
      </c>
      <c r="B508" s="29" t="s">
        <v>345</v>
      </c>
      <c r="C508" s="28" t="s">
        <v>346</v>
      </c>
      <c r="D508" s="33">
        <f>22.3276*1.16</f>
        <v>25.900015999999997</v>
      </c>
      <c r="E508" s="33">
        <v>32.5</v>
      </c>
      <c r="F508" s="5">
        <f t="shared" si="95"/>
        <v>0.20307643076923088</v>
      </c>
      <c r="G508" s="33">
        <v>24.61</v>
      </c>
      <c r="H508" s="38">
        <v>27.9</v>
      </c>
      <c r="I508" s="4">
        <f t="shared" si="83"/>
        <v>0.11792114695340494</v>
      </c>
      <c r="J508" s="23">
        <f t="shared" ref="J508" si="97">+D508-G508</f>
        <v>1.2900159999999978</v>
      </c>
    </row>
    <row r="509" spans="1:10" s="26" customFormat="1">
      <c r="A509" s="25"/>
      <c r="B509" s="34"/>
      <c r="C509" s="35"/>
      <c r="D509" s="33"/>
      <c r="E509" s="33"/>
      <c r="F509" s="5" t="e">
        <f t="shared" si="95"/>
        <v>#DIV/0!</v>
      </c>
      <c r="G509" s="33"/>
      <c r="H509" s="38"/>
      <c r="I509" s="4" t="e">
        <f t="shared" si="83"/>
        <v>#DIV/0!</v>
      </c>
      <c r="J509" s="23"/>
    </row>
    <row r="510" spans="1:10" s="26" customFormat="1">
      <c r="A510" s="7" t="s">
        <v>24</v>
      </c>
      <c r="B510" s="34">
        <v>7501008044698</v>
      </c>
      <c r="C510" s="35" t="s">
        <v>315</v>
      </c>
      <c r="D510" s="33">
        <f>37.55*1.08</f>
        <v>40.554000000000002</v>
      </c>
      <c r="E510" s="33">
        <v>49.5</v>
      </c>
      <c r="F510" s="5">
        <f t="shared" si="95"/>
        <v>0.18072727272727274</v>
      </c>
      <c r="G510" s="33">
        <f>+D510*0.9</f>
        <v>36.498600000000003</v>
      </c>
      <c r="H510" s="38">
        <v>41.5</v>
      </c>
      <c r="I510" s="4">
        <f t="shared" si="83"/>
        <v>0.12051566265060232</v>
      </c>
      <c r="J510" s="23">
        <f>+D510-G510</f>
        <v>4.0553999999999988</v>
      </c>
    </row>
    <row r="511" spans="1:10" s="26" customFormat="1">
      <c r="A511" s="25"/>
      <c r="B511" s="34">
        <v>7501008044278</v>
      </c>
      <c r="C511" s="35" t="s">
        <v>245</v>
      </c>
      <c r="D511" s="33">
        <f>53.18*1.08</f>
        <v>57.434400000000004</v>
      </c>
      <c r="E511" s="33">
        <v>69.900000000000006</v>
      </c>
      <c r="F511" s="5">
        <f t="shared" si="95"/>
        <v>0.1783347639484979</v>
      </c>
      <c r="G511" s="33">
        <f>+D511*0.9</f>
        <v>51.690960000000004</v>
      </c>
      <c r="H511" s="38">
        <v>58.9</v>
      </c>
      <c r="I511" s="4">
        <f t="shared" si="83"/>
        <v>0.12239456706281826</v>
      </c>
      <c r="J511" s="23">
        <f t="shared" ref="J511:J512" si="98">+D511-G511</f>
        <v>5.7434399999999997</v>
      </c>
    </row>
    <row r="512" spans="1:10" s="26" customFormat="1">
      <c r="A512" s="7"/>
      <c r="B512" s="29">
        <v>7501008045091</v>
      </c>
      <c r="C512" s="28" t="s">
        <v>316</v>
      </c>
      <c r="D512" s="30">
        <f>53.18*1.08</f>
        <v>57.434400000000004</v>
      </c>
      <c r="E512" s="30">
        <v>69.900000000000006</v>
      </c>
      <c r="F512" s="5">
        <f t="shared" si="95"/>
        <v>0.1783347639484979</v>
      </c>
      <c r="G512" s="33">
        <f>+D512*0.9</f>
        <v>51.690960000000004</v>
      </c>
      <c r="H512" s="38">
        <v>58.9</v>
      </c>
      <c r="I512" s="4">
        <f t="shared" si="83"/>
        <v>0.12239456706281826</v>
      </c>
      <c r="J512" s="23">
        <f t="shared" si="98"/>
        <v>5.7434399999999997</v>
      </c>
    </row>
    <row r="513" spans="1:10" s="26" customFormat="1">
      <c r="A513" s="7" t="s">
        <v>25</v>
      </c>
      <c r="B513" s="29">
        <v>7500478023899</v>
      </c>
      <c r="C513" s="28" t="s">
        <v>81</v>
      </c>
      <c r="D513" s="30">
        <v>18</v>
      </c>
      <c r="E513" s="30">
        <v>22.9</v>
      </c>
      <c r="F513" s="5">
        <f t="shared" si="95"/>
        <v>0.2139737991266375</v>
      </c>
      <c r="G513" s="30">
        <v>18</v>
      </c>
      <c r="H513" s="39">
        <v>20.5</v>
      </c>
      <c r="I513" s="4">
        <f t="shared" si="83"/>
        <v>0.12195121951219512</v>
      </c>
      <c r="J513" s="23"/>
    </row>
    <row r="514" spans="1:10" s="26" customFormat="1">
      <c r="A514" s="7"/>
      <c r="B514" s="29">
        <v>7501000655380</v>
      </c>
      <c r="C514" s="28" t="s">
        <v>317</v>
      </c>
      <c r="D514" s="30">
        <f>27.7778*1.08</f>
        <v>30.000024</v>
      </c>
      <c r="E514" s="30">
        <v>35.299999999999997</v>
      </c>
      <c r="F514" s="5">
        <f t="shared" si="95"/>
        <v>0.15014096317280445</v>
      </c>
      <c r="G514" s="30">
        <v>28.5</v>
      </c>
      <c r="H514" s="39">
        <v>32.5</v>
      </c>
      <c r="I514" s="4">
        <f t="shared" si="83"/>
        <v>0.12307692307692308</v>
      </c>
      <c r="J514" s="23"/>
    </row>
    <row r="515" spans="1:10" s="26" customFormat="1">
      <c r="A515" s="25"/>
      <c r="B515" s="34">
        <v>7501000616510</v>
      </c>
      <c r="C515" s="35" t="s">
        <v>318</v>
      </c>
      <c r="D515" s="33">
        <f>24.537*1.08</f>
        <v>26.499960000000002</v>
      </c>
      <c r="E515" s="33">
        <v>33.200000000000003</v>
      </c>
      <c r="F515" s="5">
        <f t="shared" si="95"/>
        <v>0.20180843373493973</v>
      </c>
      <c r="G515" s="33">
        <v>25.95</v>
      </c>
      <c r="H515" s="38">
        <v>29.9</v>
      </c>
      <c r="I515" s="4">
        <f t="shared" si="83"/>
        <v>0.13210702341137126</v>
      </c>
      <c r="J515" s="23"/>
    </row>
    <row r="516" spans="1:10" s="26" customFormat="1">
      <c r="A516" s="25"/>
      <c r="B516" s="29">
        <v>7500478018192</v>
      </c>
      <c r="C516" s="28" t="s">
        <v>352</v>
      </c>
      <c r="D516" s="30">
        <v>39.83</v>
      </c>
      <c r="E516" s="30">
        <v>45.3</v>
      </c>
      <c r="F516" s="5">
        <f t="shared" si="95"/>
        <v>0.12075055187637962</v>
      </c>
      <c r="G516" s="30">
        <v>35.909999999999997</v>
      </c>
      <c r="H516" s="39">
        <v>39.9</v>
      </c>
      <c r="I516" s="4">
        <f t="shared" si="83"/>
        <v>0.10000000000000009</v>
      </c>
      <c r="J516" s="62">
        <f>+D516-G516</f>
        <v>3.9200000000000017</v>
      </c>
    </row>
    <row r="517" spans="1:10" s="26" customFormat="1">
      <c r="A517" s="7" t="s">
        <v>26</v>
      </c>
      <c r="B517" s="29">
        <v>7501036010016</v>
      </c>
      <c r="C517" s="28" t="s">
        <v>249</v>
      </c>
      <c r="D517" s="30">
        <v>14</v>
      </c>
      <c r="E517" s="30">
        <v>15.9</v>
      </c>
      <c r="F517" s="5">
        <f t="shared" si="95"/>
        <v>0.11949685534591192</v>
      </c>
      <c r="G517" s="30">
        <v>13.3</v>
      </c>
      <c r="H517" s="39">
        <v>14.9</v>
      </c>
      <c r="I517" s="4">
        <f t="shared" si="83"/>
        <v>0.10738255033557043</v>
      </c>
      <c r="J517" s="23"/>
    </row>
    <row r="518" spans="1:10" s="26" customFormat="1">
      <c r="A518" s="7" t="s">
        <v>27</v>
      </c>
      <c r="B518" s="28"/>
      <c r="C518" s="28"/>
      <c r="D518" s="30"/>
      <c r="E518" s="30"/>
      <c r="F518" s="5" t="e">
        <f t="shared" si="95"/>
        <v>#DIV/0!</v>
      </c>
      <c r="G518" s="30"/>
      <c r="H518" s="39"/>
      <c r="I518" s="4" t="e">
        <f t="shared" si="83"/>
        <v>#DIV/0!</v>
      </c>
      <c r="J518" s="23"/>
    </row>
    <row r="519" spans="1:10" s="26" customFormat="1">
      <c r="A519" s="7" t="s">
        <v>28</v>
      </c>
      <c r="B519" s="28"/>
      <c r="C519" s="28"/>
      <c r="D519" s="30"/>
      <c r="E519" s="30"/>
      <c r="F519" s="5" t="e">
        <f t="shared" si="95"/>
        <v>#DIV/0!</v>
      </c>
      <c r="G519" s="30"/>
      <c r="H519" s="39"/>
      <c r="I519" s="4" t="e">
        <f t="shared" si="83"/>
        <v>#DIV/0!</v>
      </c>
      <c r="J519" s="23"/>
    </row>
    <row r="520" spans="1:10" s="26" customFormat="1">
      <c r="A520" s="7" t="s">
        <v>29</v>
      </c>
      <c r="B520" s="29"/>
      <c r="C520" s="28"/>
      <c r="D520" s="30"/>
      <c r="E520" s="30"/>
      <c r="F520" s="5" t="e">
        <f t="shared" si="95"/>
        <v>#DIV/0!</v>
      </c>
      <c r="G520" s="30"/>
      <c r="H520" s="39"/>
      <c r="I520" s="4" t="e">
        <f t="shared" si="83"/>
        <v>#DIV/0!</v>
      </c>
      <c r="J520" s="23">
        <f>+D520-G520</f>
        <v>0</v>
      </c>
    </row>
    <row r="521" spans="1:10" s="26" customFormat="1">
      <c r="A521" s="7" t="s">
        <v>30</v>
      </c>
      <c r="B521" s="29"/>
      <c r="C521" s="28"/>
      <c r="D521" s="30"/>
      <c r="E521" s="30"/>
      <c r="F521" s="5" t="e">
        <f t="shared" si="95"/>
        <v>#DIV/0!</v>
      </c>
      <c r="G521" s="30"/>
      <c r="H521" s="39"/>
      <c r="I521" s="4" t="e">
        <f t="shared" si="83"/>
        <v>#DIV/0!</v>
      </c>
      <c r="J521" s="23">
        <f>+D521-G521</f>
        <v>0</v>
      </c>
    </row>
    <row r="522" spans="1:10" s="26" customFormat="1">
      <c r="A522" s="7" t="s">
        <v>38</v>
      </c>
      <c r="B522" s="29">
        <v>7501025403034</v>
      </c>
      <c r="C522" s="28" t="s">
        <v>55</v>
      </c>
      <c r="D522" s="30">
        <v>21.383562380000001</v>
      </c>
      <c r="E522" s="30">
        <v>26.7</v>
      </c>
      <c r="F522" s="5">
        <f t="shared" si="95"/>
        <v>0.19911751385767784</v>
      </c>
      <c r="G522" s="30">
        <v>19.350000000000001</v>
      </c>
      <c r="H522" s="39">
        <v>21.5</v>
      </c>
      <c r="I522" s="4">
        <f t="shared" si="83"/>
        <v>9.9999999999999978E-2</v>
      </c>
      <c r="J522" s="23">
        <f>+D522-G522</f>
        <v>2.0335623799999993</v>
      </c>
    </row>
    <row r="523" spans="1:10" s="26" customFormat="1">
      <c r="A523" s="7"/>
      <c r="B523" s="29">
        <v>7501025400088</v>
      </c>
      <c r="C523" s="28" t="s">
        <v>131</v>
      </c>
      <c r="D523" s="30">
        <f>15.7405*1.16</f>
        <v>18.258980000000001</v>
      </c>
      <c r="E523" s="30">
        <v>23.9</v>
      </c>
      <c r="F523" s="5">
        <f t="shared" si="95"/>
        <v>0.23602594142259403</v>
      </c>
      <c r="G523" s="30">
        <f>+H523*0.9</f>
        <v>17.009999999999998</v>
      </c>
      <c r="H523" s="39">
        <v>18.899999999999999</v>
      </c>
      <c r="I523" s="4">
        <f t="shared" si="83"/>
        <v>0.10000000000000009</v>
      </c>
      <c r="J523" s="23">
        <f t="shared" ref="J523:J531" si="99">+D523-G523</f>
        <v>1.2489800000000031</v>
      </c>
    </row>
    <row r="524" spans="1:10" s="26" customFormat="1">
      <c r="A524" s="7"/>
      <c r="B524" s="29">
        <v>7501025400118</v>
      </c>
      <c r="C524" s="28" t="s">
        <v>132</v>
      </c>
      <c r="D524" s="30">
        <f t="shared" ref="D524:D526" si="100">15.7405*1.16</f>
        <v>18.258980000000001</v>
      </c>
      <c r="E524" s="30">
        <v>23.9</v>
      </c>
      <c r="F524" s="5">
        <f t="shared" si="95"/>
        <v>0.23602594142259403</v>
      </c>
      <c r="G524" s="30">
        <f t="shared" ref="G524:G526" si="101">+H524*0.9</f>
        <v>17.009999999999998</v>
      </c>
      <c r="H524" s="39">
        <v>18.899999999999999</v>
      </c>
      <c r="I524" s="4">
        <f t="shared" si="83"/>
        <v>0.10000000000000009</v>
      </c>
      <c r="J524" s="23">
        <f t="shared" si="99"/>
        <v>1.2489800000000031</v>
      </c>
    </row>
    <row r="525" spans="1:10" s="26" customFormat="1">
      <c r="A525" s="7"/>
      <c r="B525" s="29">
        <v>7501025400156</v>
      </c>
      <c r="C525" s="28" t="s">
        <v>133</v>
      </c>
      <c r="D525" s="30">
        <f t="shared" si="100"/>
        <v>18.258980000000001</v>
      </c>
      <c r="E525" s="30">
        <v>23.9</v>
      </c>
      <c r="F525" s="5">
        <f t="shared" si="95"/>
        <v>0.23602594142259403</v>
      </c>
      <c r="G525" s="30">
        <f t="shared" si="101"/>
        <v>17.009999999999998</v>
      </c>
      <c r="H525" s="39">
        <v>18.899999999999999</v>
      </c>
      <c r="I525" s="4">
        <f t="shared" si="83"/>
        <v>0.10000000000000009</v>
      </c>
      <c r="J525" s="23">
        <f t="shared" si="99"/>
        <v>1.2489800000000031</v>
      </c>
    </row>
    <row r="526" spans="1:10" s="26" customFormat="1">
      <c r="A526" s="7"/>
      <c r="B526" s="29">
        <v>7501025400187</v>
      </c>
      <c r="C526" s="28" t="s">
        <v>134</v>
      </c>
      <c r="D526" s="30">
        <f t="shared" si="100"/>
        <v>18.258980000000001</v>
      </c>
      <c r="E526" s="30">
        <v>23.9</v>
      </c>
      <c r="F526" s="5">
        <f t="shared" si="95"/>
        <v>0.23602594142259403</v>
      </c>
      <c r="G526" s="30">
        <f t="shared" si="101"/>
        <v>17.009999999999998</v>
      </c>
      <c r="H526" s="39">
        <v>18.899999999999999</v>
      </c>
      <c r="I526" s="4">
        <f t="shared" si="83"/>
        <v>0.10000000000000009</v>
      </c>
      <c r="J526" s="23">
        <f t="shared" si="99"/>
        <v>1.2489800000000031</v>
      </c>
    </row>
    <row r="527" spans="1:10" s="26" customFormat="1">
      <c r="A527" s="25"/>
      <c r="B527" s="34"/>
      <c r="C527" s="35"/>
      <c r="D527" s="33"/>
      <c r="E527" s="33"/>
      <c r="F527" s="5" t="e">
        <f t="shared" si="95"/>
        <v>#DIV/0!</v>
      </c>
      <c r="G527" s="33"/>
      <c r="H527" s="38"/>
      <c r="I527" s="4" t="e">
        <f t="shared" si="83"/>
        <v>#DIV/0!</v>
      </c>
      <c r="J527" s="23">
        <f t="shared" si="99"/>
        <v>0</v>
      </c>
    </row>
    <row r="528" spans="1:10" s="26" customFormat="1">
      <c r="A528" s="7"/>
      <c r="B528" s="29">
        <v>7501025402051</v>
      </c>
      <c r="C528" s="28" t="s">
        <v>347</v>
      </c>
      <c r="D528" s="30">
        <f>24.52*1.16</f>
        <v>28.443199999999997</v>
      </c>
      <c r="E528" s="30">
        <v>35.6</v>
      </c>
      <c r="F528" s="5">
        <f t="shared" si="95"/>
        <v>0.20103370786516861</v>
      </c>
      <c r="G528" s="30">
        <v>24.21</v>
      </c>
      <c r="H528" s="39">
        <v>26.9</v>
      </c>
      <c r="I528" s="4">
        <f t="shared" si="83"/>
        <v>9.9999999999999867E-2</v>
      </c>
      <c r="J528" s="23">
        <f t="shared" si="99"/>
        <v>4.2331999999999965</v>
      </c>
    </row>
    <row r="529" spans="1:10" s="26" customFormat="1">
      <c r="A529" s="7"/>
      <c r="B529" s="29">
        <v>7501025402235</v>
      </c>
      <c r="C529" s="28" t="s">
        <v>348</v>
      </c>
      <c r="D529" s="30">
        <f t="shared" ref="D529:D530" si="102">24.52*1.16</f>
        <v>28.443199999999997</v>
      </c>
      <c r="E529" s="30">
        <v>35.6</v>
      </c>
      <c r="F529" s="5">
        <f t="shared" si="95"/>
        <v>0.20103370786516861</v>
      </c>
      <c r="G529" s="30">
        <v>24.21</v>
      </c>
      <c r="H529" s="39">
        <v>26.9</v>
      </c>
      <c r="I529" s="4">
        <f t="shared" si="83"/>
        <v>9.9999999999999867E-2</v>
      </c>
      <c r="J529" s="23">
        <f t="shared" si="99"/>
        <v>4.2331999999999965</v>
      </c>
    </row>
    <row r="530" spans="1:10" s="26" customFormat="1">
      <c r="A530" s="7"/>
      <c r="B530" s="29">
        <v>7501025402242</v>
      </c>
      <c r="C530" s="28" t="s">
        <v>349</v>
      </c>
      <c r="D530" s="30">
        <f t="shared" si="102"/>
        <v>28.443199999999997</v>
      </c>
      <c r="E530" s="30">
        <v>35.6</v>
      </c>
      <c r="F530" s="5">
        <f t="shared" si="95"/>
        <v>0.20103370786516861</v>
      </c>
      <c r="G530" s="30">
        <v>24.21</v>
      </c>
      <c r="H530" s="39">
        <v>26.9</v>
      </c>
      <c r="I530" s="4">
        <f t="shared" si="83"/>
        <v>9.9999999999999867E-2</v>
      </c>
      <c r="J530" s="23">
        <f t="shared" si="99"/>
        <v>4.2331999999999965</v>
      </c>
    </row>
    <row r="531" spans="1:10" s="26" customFormat="1">
      <c r="A531" s="25"/>
      <c r="B531" s="34"/>
      <c r="C531" s="35"/>
      <c r="D531" s="33"/>
      <c r="E531" s="33"/>
      <c r="F531" s="5" t="e">
        <f t="shared" si="95"/>
        <v>#DIV/0!</v>
      </c>
      <c r="G531" s="33"/>
      <c r="H531" s="38"/>
      <c r="I531" s="4" t="e">
        <f t="shared" si="83"/>
        <v>#DIV/0!</v>
      </c>
      <c r="J531" s="23">
        <f t="shared" si="99"/>
        <v>0</v>
      </c>
    </row>
    <row r="532" spans="1:10" s="26" customFormat="1">
      <c r="A532" s="7" t="s">
        <v>31</v>
      </c>
      <c r="B532" s="29" t="s">
        <v>205</v>
      </c>
      <c r="C532" s="28" t="s">
        <v>206</v>
      </c>
      <c r="D532" s="30">
        <v>67.562972271590397</v>
      </c>
      <c r="E532" s="30">
        <v>82.8</v>
      </c>
      <c r="F532" s="5">
        <v>0.18402207401460868</v>
      </c>
      <c r="G532" s="30">
        <v>64.18482365801087</v>
      </c>
      <c r="H532" s="39">
        <v>72.900000000000006</v>
      </c>
      <c r="I532" s="4">
        <f t="shared" si="83"/>
        <v>0.11954974406020757</v>
      </c>
      <c r="J532" s="23"/>
    </row>
    <row r="533" spans="1:10" s="26" customFormat="1">
      <c r="A533" s="25"/>
      <c r="B533" s="34" t="s">
        <v>207</v>
      </c>
      <c r="C533" s="35" t="s">
        <v>208</v>
      </c>
      <c r="D533" s="33">
        <v>84.345921315532792</v>
      </c>
      <c r="E533" s="33">
        <v>103.4</v>
      </c>
      <c r="F533" s="5">
        <v>0.18427542248034057</v>
      </c>
      <c r="G533" s="30">
        <v>80.128625249756155</v>
      </c>
      <c r="H533" s="39">
        <v>91.9</v>
      </c>
      <c r="I533" s="4">
        <f t="shared" ref="I533:I559" si="103">+((G533/H533)-1)*-1</f>
        <v>0.12808895266859466</v>
      </c>
      <c r="J533" s="23"/>
    </row>
    <row r="534" spans="1:10" s="26" customFormat="1">
      <c r="A534" s="7"/>
      <c r="B534" s="29">
        <v>7502247330054</v>
      </c>
      <c r="C534" s="28" t="s">
        <v>209</v>
      </c>
      <c r="D534" s="33">
        <v>96.711337392001909</v>
      </c>
      <c r="E534" s="57">
        <v>118.5</v>
      </c>
      <c r="F534" s="5">
        <v>0.18387057053162947</v>
      </c>
      <c r="G534" s="30">
        <v>91.875770522401808</v>
      </c>
      <c r="H534" s="39">
        <v>104.9</v>
      </c>
      <c r="I534" s="4">
        <f t="shared" si="103"/>
        <v>0.12415852695517826</v>
      </c>
      <c r="J534" s="23"/>
    </row>
    <row r="535" spans="1:10" s="26" customFormat="1">
      <c r="A535" s="7"/>
      <c r="B535" s="29" t="s">
        <v>210</v>
      </c>
      <c r="C535" s="28" t="s">
        <v>211</v>
      </c>
      <c r="D535" s="33">
        <v>101.56626680573952</v>
      </c>
      <c r="E535" s="33">
        <v>124.5</v>
      </c>
      <c r="F535" s="5">
        <v>0.18420669232337739</v>
      </c>
      <c r="G535" s="30">
        <v>96.487953465452534</v>
      </c>
      <c r="H535" s="39">
        <v>109.9</v>
      </c>
      <c r="I535" s="4">
        <f t="shared" si="103"/>
        <v>0.12203863998678322</v>
      </c>
      <c r="J535" s="23"/>
    </row>
    <row r="536" spans="1:10" s="26" customFormat="1">
      <c r="A536" s="7"/>
      <c r="B536" s="29"/>
      <c r="C536" s="28"/>
      <c r="D536" s="33"/>
      <c r="E536" s="33"/>
      <c r="F536" s="5" t="e">
        <f t="shared" ref="F536:F554" si="104">+((D536/E536)-1)*-1</f>
        <v>#DIV/0!</v>
      </c>
      <c r="G536" s="33"/>
      <c r="H536" s="38"/>
      <c r="I536" s="4" t="e">
        <f t="shared" si="103"/>
        <v>#DIV/0!</v>
      </c>
      <c r="J536" s="23"/>
    </row>
    <row r="537" spans="1:10" s="26" customFormat="1">
      <c r="A537" s="7" t="s">
        <v>167</v>
      </c>
      <c r="B537" s="29" t="s">
        <v>40</v>
      </c>
      <c r="C537" s="28" t="s">
        <v>57</v>
      </c>
      <c r="D537" s="30">
        <v>23.1</v>
      </c>
      <c r="E537" s="30">
        <v>27.2</v>
      </c>
      <c r="F537" s="5">
        <f t="shared" si="104"/>
        <v>0.15073529411764697</v>
      </c>
      <c r="G537" s="30">
        <v>20.7</v>
      </c>
      <c r="H537" s="39">
        <v>23.9</v>
      </c>
      <c r="I537" s="4">
        <f t="shared" si="103"/>
        <v>0.13389121338912136</v>
      </c>
      <c r="J537" s="23"/>
    </row>
    <row r="538" spans="1:10" s="26" customFormat="1">
      <c r="A538" s="25"/>
      <c r="B538" s="34">
        <v>7502247338845</v>
      </c>
      <c r="C538" s="35" t="s">
        <v>212</v>
      </c>
      <c r="D538" s="33">
        <v>7.98</v>
      </c>
      <c r="E538" s="33">
        <v>9.4</v>
      </c>
      <c r="F538" s="5">
        <f t="shared" si="104"/>
        <v>0.15106382978723398</v>
      </c>
      <c r="G538" s="33">
        <f>5.7*1.16</f>
        <v>6.6120000000000001</v>
      </c>
      <c r="H538" s="38">
        <v>7.5</v>
      </c>
      <c r="I538" s="4">
        <f t="shared" si="103"/>
        <v>0.11839999999999995</v>
      </c>
      <c r="J538" s="23"/>
    </row>
    <row r="539" spans="1:10" s="26" customFormat="1">
      <c r="A539" s="7"/>
      <c r="B539" s="29" t="s">
        <v>41</v>
      </c>
      <c r="C539" s="28" t="s">
        <v>58</v>
      </c>
      <c r="D539" s="30">
        <v>23.1</v>
      </c>
      <c r="E539" s="30">
        <v>27.2</v>
      </c>
      <c r="F539" s="5">
        <f t="shared" si="104"/>
        <v>0.15073529411764697</v>
      </c>
      <c r="G539" s="30">
        <v>20.71</v>
      </c>
      <c r="H539" s="39">
        <v>23.9</v>
      </c>
      <c r="I539" s="4">
        <f t="shared" si="103"/>
        <v>0.13347280334728029</v>
      </c>
      <c r="J539" s="23"/>
    </row>
    <row r="540" spans="1:10" s="26" customFormat="1">
      <c r="A540" s="7"/>
      <c r="B540" s="29">
        <v>7501943412217</v>
      </c>
      <c r="C540" s="28" t="s">
        <v>187</v>
      </c>
      <c r="D540" s="30">
        <v>19.21</v>
      </c>
      <c r="E540" s="30">
        <v>22.6</v>
      </c>
      <c r="F540" s="5">
        <f t="shared" si="104"/>
        <v>0.15000000000000002</v>
      </c>
      <c r="G540" s="30">
        <f>15.61*1.16</f>
        <v>18.107599999999998</v>
      </c>
      <c r="H540" s="39">
        <v>20.9</v>
      </c>
      <c r="I540" s="4">
        <f t="shared" si="103"/>
        <v>0.1336076555023924</v>
      </c>
      <c r="J540" s="23"/>
    </row>
    <row r="541" spans="1:10" s="26" customFormat="1">
      <c r="A541" s="25"/>
      <c r="B541" s="34">
        <v>7501943458499</v>
      </c>
      <c r="C541" s="35" t="s">
        <v>204</v>
      </c>
      <c r="D541" s="33">
        <v>6.45</v>
      </c>
      <c r="E541" s="33">
        <v>7.6</v>
      </c>
      <c r="F541" s="5">
        <f t="shared" si="104"/>
        <v>0.15131578947368418</v>
      </c>
      <c r="G541" s="33">
        <f>4.5259*1.16</f>
        <v>5.2500439999999999</v>
      </c>
      <c r="H541" s="38">
        <v>5.9</v>
      </c>
      <c r="I541" s="4">
        <f t="shared" si="103"/>
        <v>0.11016203389830515</v>
      </c>
      <c r="J541" s="23"/>
    </row>
    <row r="542" spans="1:10" s="26" customFormat="1">
      <c r="A542" s="25"/>
      <c r="B542" s="34">
        <v>7506425605781</v>
      </c>
      <c r="C542" s="35" t="s">
        <v>350</v>
      </c>
      <c r="D542" s="33">
        <f>12.88*1.16</f>
        <v>14.940799999999999</v>
      </c>
      <c r="E542" s="33">
        <v>19.899999999999999</v>
      </c>
      <c r="F542" s="5">
        <f t="shared" si="104"/>
        <v>0.24920603015075371</v>
      </c>
      <c r="G542" s="33">
        <v>14.94</v>
      </c>
      <c r="H542" s="38">
        <v>16.5</v>
      </c>
      <c r="I542" s="4">
        <f t="shared" si="103"/>
        <v>9.4545454545454599E-2</v>
      </c>
      <c r="J542" s="23"/>
    </row>
    <row r="543" spans="1:10" s="26" customFormat="1">
      <c r="A543" s="7" t="s">
        <v>32</v>
      </c>
      <c r="B543" s="34" t="s">
        <v>88</v>
      </c>
      <c r="C543" s="35" t="s">
        <v>89</v>
      </c>
      <c r="D543" s="33">
        <v>18.784099999999999</v>
      </c>
      <c r="E543" s="33">
        <v>23.5</v>
      </c>
      <c r="F543" s="5">
        <f t="shared" si="104"/>
        <v>0.20067659574468089</v>
      </c>
      <c r="G543" s="33">
        <v>17.010000000000002</v>
      </c>
      <c r="H543" s="38">
        <v>18.899999999999999</v>
      </c>
      <c r="I543" s="4">
        <f t="shared" si="103"/>
        <v>9.9999999999999867E-2</v>
      </c>
      <c r="J543" s="23">
        <f>+D543-G543</f>
        <v>1.7740999999999971</v>
      </c>
    </row>
    <row r="544" spans="1:10" s="26" customFormat="1">
      <c r="A544" s="25"/>
      <c r="B544" s="34">
        <v>7501125419010</v>
      </c>
      <c r="C544" s="35" t="s">
        <v>171</v>
      </c>
      <c r="D544" s="33">
        <v>10.33</v>
      </c>
      <c r="E544" s="33">
        <v>13.9</v>
      </c>
      <c r="F544" s="5">
        <f t="shared" si="104"/>
        <v>0.2568345323741007</v>
      </c>
      <c r="G544" s="33">
        <v>8.73</v>
      </c>
      <c r="H544" s="38">
        <v>9.9</v>
      </c>
      <c r="I544" s="4">
        <f t="shared" si="103"/>
        <v>0.11818181818181817</v>
      </c>
      <c r="J544" s="23"/>
    </row>
    <row r="545" spans="1:10" s="26" customFormat="1">
      <c r="A545" s="25"/>
      <c r="B545" s="34">
        <v>7501125419027</v>
      </c>
      <c r="C545" s="35" t="s">
        <v>172</v>
      </c>
      <c r="D545" s="33">
        <v>10.33</v>
      </c>
      <c r="E545" s="33">
        <v>11.9</v>
      </c>
      <c r="F545" s="5">
        <f t="shared" si="104"/>
        <v>0.13193277310924367</v>
      </c>
      <c r="G545" s="33">
        <v>8.73</v>
      </c>
      <c r="H545" s="38">
        <v>9.9</v>
      </c>
      <c r="I545" s="4">
        <f t="shared" si="103"/>
        <v>0.11818181818181817</v>
      </c>
      <c r="J545" s="23"/>
    </row>
    <row r="546" spans="1:10" s="26" customFormat="1">
      <c r="A546" s="25"/>
      <c r="B546" s="34">
        <v>7501125419034</v>
      </c>
      <c r="C546" s="35" t="s">
        <v>173</v>
      </c>
      <c r="D546" s="33">
        <v>10.33</v>
      </c>
      <c r="E546" s="33">
        <v>11.9</v>
      </c>
      <c r="F546" s="5">
        <f t="shared" si="104"/>
        <v>0.13193277310924367</v>
      </c>
      <c r="G546" s="33">
        <v>8.73</v>
      </c>
      <c r="H546" s="38">
        <v>9.9</v>
      </c>
      <c r="I546" s="4">
        <f t="shared" si="103"/>
        <v>0.11818181818181817</v>
      </c>
      <c r="J546" s="23"/>
    </row>
    <row r="547" spans="1:10" s="26" customFormat="1">
      <c r="A547" s="7" t="s">
        <v>33</v>
      </c>
      <c r="B547" s="29"/>
      <c r="C547" s="28"/>
      <c r="D547" s="30"/>
      <c r="E547" s="30"/>
      <c r="F547" s="5" t="e">
        <f t="shared" si="104"/>
        <v>#DIV/0!</v>
      </c>
      <c r="G547" s="30"/>
      <c r="H547" s="39"/>
      <c r="I547" s="4" t="e">
        <f t="shared" si="103"/>
        <v>#DIV/0!</v>
      </c>
      <c r="J547" s="23">
        <f>+D547-G547</f>
        <v>0</v>
      </c>
    </row>
    <row r="548" spans="1:10" s="26" customFormat="1">
      <c r="A548" s="7" t="s">
        <v>34</v>
      </c>
      <c r="B548" s="29">
        <v>7501003150233</v>
      </c>
      <c r="C548" s="28" t="s">
        <v>90</v>
      </c>
      <c r="D548" s="30">
        <v>28.12</v>
      </c>
      <c r="E548" s="30">
        <v>35.799999999999997</v>
      </c>
      <c r="F548" s="5">
        <f t="shared" si="104"/>
        <v>0.21452513966480435</v>
      </c>
      <c r="G548" s="30">
        <f>+D548*0.95</f>
        <v>26.713999999999999</v>
      </c>
      <c r="H548" s="39">
        <v>30.9</v>
      </c>
      <c r="I548" s="4">
        <f t="shared" si="103"/>
        <v>0.13546925566343038</v>
      </c>
      <c r="J548" s="23"/>
    </row>
    <row r="549" spans="1:10" s="26" customFormat="1">
      <c r="A549" s="7" t="s">
        <v>35</v>
      </c>
      <c r="B549" s="29">
        <v>735051016372</v>
      </c>
      <c r="C549" s="28" t="s">
        <v>323</v>
      </c>
      <c r="D549" s="30">
        <v>11.35</v>
      </c>
      <c r="E549" s="30">
        <v>13.8</v>
      </c>
      <c r="F549" s="5">
        <f t="shared" si="104"/>
        <v>0.17753623188405809</v>
      </c>
      <c r="G549" s="30">
        <v>10.220000000000001</v>
      </c>
      <c r="H549" s="39">
        <v>12.5</v>
      </c>
      <c r="I549" s="4">
        <f t="shared" si="103"/>
        <v>0.1823999999999999</v>
      </c>
      <c r="J549" s="23"/>
    </row>
    <row r="550" spans="1:10" s="26" customFormat="1">
      <c r="A550" s="25"/>
      <c r="B550" s="34" t="s">
        <v>324</v>
      </c>
      <c r="C550" s="35" t="s">
        <v>325</v>
      </c>
      <c r="D550" s="33">
        <v>18.079999999999998</v>
      </c>
      <c r="E550" s="33">
        <v>22.6</v>
      </c>
      <c r="F550" s="5">
        <f t="shared" si="104"/>
        <v>0.20000000000000018</v>
      </c>
      <c r="G550" s="33">
        <v>16.13</v>
      </c>
      <c r="H550" s="38">
        <v>18.5</v>
      </c>
      <c r="I550" s="4">
        <f t="shared" si="103"/>
        <v>0.12810810810810813</v>
      </c>
      <c r="J550" s="23"/>
    </row>
    <row r="551" spans="1:10" s="26" customFormat="1">
      <c r="A551" s="25" t="s">
        <v>304</v>
      </c>
      <c r="B551" s="34">
        <v>7501079702817</v>
      </c>
      <c r="C551" s="35" t="s">
        <v>351</v>
      </c>
      <c r="D551" s="33">
        <v>5.7</v>
      </c>
      <c r="E551" s="33">
        <v>6.7</v>
      </c>
      <c r="F551" s="5">
        <f t="shared" si="104"/>
        <v>0.14925373134328357</v>
      </c>
      <c r="G551" s="33">
        <v>5.0999999999999996</v>
      </c>
      <c r="H551" s="38">
        <v>5.9</v>
      </c>
      <c r="I551" s="4">
        <f t="shared" si="103"/>
        <v>0.13559322033898313</v>
      </c>
      <c r="J551" s="23"/>
    </row>
    <row r="552" spans="1:10" s="26" customFormat="1">
      <c r="A552" s="7" t="s">
        <v>36</v>
      </c>
      <c r="B552" s="29"/>
      <c r="C552" s="28"/>
      <c r="D552" s="30"/>
      <c r="E552" s="30"/>
      <c r="F552" s="5" t="e">
        <f t="shared" si="104"/>
        <v>#DIV/0!</v>
      </c>
      <c r="G552" s="30"/>
      <c r="H552" s="39"/>
      <c r="I552" s="4" t="e">
        <f t="shared" si="103"/>
        <v>#DIV/0!</v>
      </c>
      <c r="J552" s="23"/>
    </row>
    <row r="553" spans="1:10" s="26" customFormat="1">
      <c r="A553" s="17" t="s">
        <v>37</v>
      </c>
      <c r="B553" s="14">
        <v>7501006536942</v>
      </c>
      <c r="C553" s="15" t="s">
        <v>44</v>
      </c>
      <c r="D553" s="13">
        <v>8.0867000000000004</v>
      </c>
      <c r="E553" s="13">
        <v>9.9</v>
      </c>
      <c r="F553" s="5">
        <f t="shared" si="104"/>
        <v>0.18316161616161619</v>
      </c>
      <c r="G553" s="30">
        <v>7.28</v>
      </c>
      <c r="H553" s="39">
        <v>8.5</v>
      </c>
      <c r="I553" s="4">
        <f t="shared" si="103"/>
        <v>0.14352941176470591</v>
      </c>
      <c r="J553" s="23"/>
    </row>
    <row r="554" spans="1:10" s="26" customFormat="1">
      <c r="A554" s="17"/>
      <c r="B554" s="36" t="s">
        <v>50</v>
      </c>
      <c r="C554" s="36" t="s">
        <v>45</v>
      </c>
      <c r="D554" s="13"/>
      <c r="E554" s="13"/>
      <c r="F554" s="5" t="e">
        <f t="shared" si="104"/>
        <v>#DIV/0!</v>
      </c>
      <c r="G554" s="13"/>
      <c r="H554" s="20"/>
      <c r="I554" s="4" t="e">
        <f t="shared" si="103"/>
        <v>#DIV/0!</v>
      </c>
      <c r="J554" s="23">
        <f>+D554-G554</f>
        <v>0</v>
      </c>
    </row>
    <row r="555" spans="1:10" s="26" customFormat="1">
      <c r="A555" s="8"/>
      <c r="B555" s="18" t="s">
        <v>94</v>
      </c>
      <c r="C555" s="61" t="s">
        <v>95</v>
      </c>
      <c r="D555" s="31"/>
      <c r="E555" s="31"/>
      <c r="F555" s="10"/>
      <c r="G555" s="31"/>
      <c r="H555" s="32"/>
      <c r="I555" s="4" t="e">
        <f t="shared" si="103"/>
        <v>#DIV/0!</v>
      </c>
      <c r="J555" s="12"/>
    </row>
    <row r="556" spans="1:10" s="26" customFormat="1">
      <c r="A556" s="8"/>
      <c r="B556" s="18" t="s">
        <v>96</v>
      </c>
      <c r="C556" s="61" t="s">
        <v>97</v>
      </c>
      <c r="D556" s="31"/>
      <c r="E556" s="31"/>
      <c r="F556" s="10"/>
      <c r="G556" s="31"/>
      <c r="H556" s="32"/>
      <c r="I556" s="4" t="e">
        <f t="shared" si="103"/>
        <v>#DIV/0!</v>
      </c>
      <c r="J556" s="12"/>
    </row>
    <row r="557" spans="1:10" s="26" customFormat="1">
      <c r="A557" s="8"/>
      <c r="B557" s="18" t="s">
        <v>98</v>
      </c>
      <c r="C557" s="61" t="s">
        <v>99</v>
      </c>
      <c r="D557" s="31"/>
      <c r="E557" s="31"/>
      <c r="F557" s="10"/>
      <c r="G557" s="31"/>
      <c r="H557" s="32"/>
      <c r="I557" s="4" t="e">
        <f t="shared" si="103"/>
        <v>#DIV/0!</v>
      </c>
      <c r="J557" s="12"/>
    </row>
    <row r="558" spans="1:10" s="26" customFormat="1">
      <c r="A558" s="8"/>
      <c r="B558" s="18" t="s">
        <v>100</v>
      </c>
      <c r="C558" s="61" t="s">
        <v>101</v>
      </c>
      <c r="D558" s="31"/>
      <c r="E558" s="31"/>
      <c r="F558" s="10"/>
      <c r="G558" s="31"/>
      <c r="H558" s="32"/>
      <c r="I558" s="4" t="e">
        <f t="shared" si="103"/>
        <v>#DIV/0!</v>
      </c>
      <c r="J558" s="12"/>
    </row>
    <row r="559" spans="1:10" s="26" customFormat="1">
      <c r="A559" s="8"/>
      <c r="B559" s="18" t="s">
        <v>102</v>
      </c>
      <c r="C559" s="61" t="s">
        <v>103</v>
      </c>
      <c r="D559" s="31"/>
      <c r="E559" s="31"/>
      <c r="F559" s="10"/>
      <c r="G559" s="31"/>
      <c r="H559" s="32"/>
      <c r="I559" s="4" t="e">
        <f t="shared" si="103"/>
        <v>#DIV/0!</v>
      </c>
      <c r="J559" s="12"/>
    </row>
    <row r="560" spans="1:10" s="26" customFormat="1">
      <c r="A560" s="8"/>
      <c r="B560" s="18" t="s">
        <v>104</v>
      </c>
      <c r="C560" s="61" t="s">
        <v>105</v>
      </c>
      <c r="D560" s="31"/>
      <c r="E560" s="31"/>
      <c r="F560" s="10"/>
      <c r="G560" s="31"/>
      <c r="H560" s="32"/>
      <c r="I560" s="4" t="e">
        <f>+((G560/H560)-1)*-1</f>
        <v>#DIV/0!</v>
      </c>
      <c r="J560" s="12"/>
    </row>
    <row r="561" spans="2:9" s="26" customFormat="1">
      <c r="B561" s="18" t="s">
        <v>106</v>
      </c>
      <c r="C561" s="61" t="s">
        <v>107</v>
      </c>
      <c r="I561" s="4" t="e">
        <f>+((G561/H561)-1)*-1</f>
        <v>#DIV/0!</v>
      </c>
    </row>
    <row r="562" spans="2:9" s="26" customFormat="1">
      <c r="B562" s="18" t="s">
        <v>108</v>
      </c>
      <c r="C562" s="61" t="s">
        <v>109</v>
      </c>
      <c r="I562" s="4" t="e">
        <f>+((G562/H562)-1)*-1</f>
        <v>#DIV/0!</v>
      </c>
    </row>
    <row r="563" spans="2:9" s="26" customFormat="1">
      <c r="B563" s="18" t="s">
        <v>110</v>
      </c>
      <c r="C563" s="61" t="s">
        <v>111</v>
      </c>
      <c r="I563" s="4" t="e">
        <f>+((G563/H563)-1)*-1</f>
        <v>#DIV/0!</v>
      </c>
    </row>
    <row r="564" spans="2:9" s="26" customFormat="1">
      <c r="B564" s="18" t="s">
        <v>112</v>
      </c>
      <c r="C564" s="61" t="s">
        <v>113</v>
      </c>
      <c r="I564" s="4"/>
    </row>
    <row r="565" spans="2:9" s="26" customFormat="1">
      <c r="B565" s="18" t="s">
        <v>114</v>
      </c>
      <c r="C565" s="61" t="s">
        <v>115</v>
      </c>
      <c r="I565" s="4"/>
    </row>
    <row r="566" spans="2:9" s="26" customFormat="1">
      <c r="B566" s="18" t="s">
        <v>116</v>
      </c>
      <c r="C566" s="61" t="s">
        <v>117</v>
      </c>
      <c r="I566" s="4"/>
    </row>
    <row r="567" spans="2:9" s="26" customFormat="1">
      <c r="B567" s="18" t="s">
        <v>118</v>
      </c>
      <c r="C567" s="61" t="s">
        <v>119</v>
      </c>
      <c r="I567" s="4"/>
    </row>
    <row r="568" spans="2:9" s="26" customFormat="1">
      <c r="B568" s="18" t="s">
        <v>120</v>
      </c>
      <c r="C568" s="61" t="s">
        <v>121</v>
      </c>
      <c r="I568" s="4"/>
    </row>
    <row r="569" spans="2:9" s="26" customFormat="1">
      <c r="B569" s="18" t="s">
        <v>122</v>
      </c>
      <c r="C569" s="61" t="s">
        <v>123</v>
      </c>
      <c r="I569" s="4"/>
    </row>
    <row r="570" spans="2:9" s="26" customFormat="1">
      <c r="B570" s="18" t="s">
        <v>124</v>
      </c>
      <c r="C570" s="61" t="s">
        <v>125</v>
      </c>
      <c r="I570" s="4"/>
    </row>
    <row r="571" spans="2:9" s="26" customFormat="1">
      <c r="B571" s="18" t="s">
        <v>126</v>
      </c>
      <c r="C571" s="61" t="s">
        <v>127</v>
      </c>
      <c r="I571" s="4"/>
    </row>
    <row r="577" spans="1:10" s="26" customFormat="1" ht="15.75">
      <c r="A577" s="77" t="s">
        <v>332</v>
      </c>
      <c r="B577" s="77"/>
      <c r="C577" s="77"/>
    </row>
    <row r="578" spans="1:10" s="26" customFormat="1" ht="23.25" customHeight="1">
      <c r="A578" s="78" t="s">
        <v>380</v>
      </c>
      <c r="B578" s="78"/>
      <c r="C578" s="78"/>
      <c r="D578" s="79" t="s">
        <v>0</v>
      </c>
      <c r="E578" s="80"/>
      <c r="F578" s="81"/>
      <c r="G578" s="79" t="s">
        <v>1</v>
      </c>
      <c r="H578" s="80"/>
      <c r="I578" s="81"/>
    </row>
    <row r="579" spans="1:10" s="26" customFormat="1" ht="22.5">
      <c r="A579" s="41" t="s">
        <v>11</v>
      </c>
      <c r="B579" s="41" t="s">
        <v>2</v>
      </c>
      <c r="C579" s="41" t="s">
        <v>3</v>
      </c>
      <c r="D579" s="27" t="s">
        <v>4</v>
      </c>
      <c r="E579" s="27" t="s">
        <v>5</v>
      </c>
      <c r="F579" s="3" t="s">
        <v>6</v>
      </c>
      <c r="G579" s="27" t="s">
        <v>7</v>
      </c>
      <c r="H579" s="37" t="s">
        <v>8</v>
      </c>
      <c r="I579" s="3" t="s">
        <v>9</v>
      </c>
      <c r="J579" s="6" t="s">
        <v>10</v>
      </c>
    </row>
    <row r="580" spans="1:10" s="26" customFormat="1">
      <c r="A580" s="7"/>
      <c r="B580" s="52">
        <v>7622201768126</v>
      </c>
      <c r="C580" s="54" t="s">
        <v>244</v>
      </c>
      <c r="D580" s="45">
        <v>21.077000000000002</v>
      </c>
      <c r="E580" s="45">
        <v>25.7</v>
      </c>
      <c r="F580" s="5">
        <f t="shared" ref="F580:F587" si="105">+((D580/E580)-1)*-1</f>
        <v>0.17988326848249014</v>
      </c>
      <c r="G580" s="45">
        <v>19.18</v>
      </c>
      <c r="H580" s="56">
        <v>21.9</v>
      </c>
      <c r="I580" s="4">
        <f t="shared" ref="I580:I643" si="106">+((G580/H580)-1)*-1</f>
        <v>0.1242009132420091</v>
      </c>
      <c r="J580" s="23">
        <f t="shared" ref="J580:J581" si="107">+D580-G580</f>
        <v>1.897000000000002</v>
      </c>
    </row>
    <row r="581" spans="1:10" s="26" customFormat="1">
      <c r="A581" s="7"/>
      <c r="B581" s="52">
        <v>7501079702817</v>
      </c>
      <c r="C581" s="54" t="s">
        <v>351</v>
      </c>
      <c r="D581" s="45">
        <v>5.7</v>
      </c>
      <c r="E581" s="45">
        <v>7.2</v>
      </c>
      <c r="F581" s="5">
        <f t="shared" si="105"/>
        <v>0.20833333333333337</v>
      </c>
      <c r="G581" s="45">
        <v>5.2</v>
      </c>
      <c r="H581" s="56">
        <v>5.9</v>
      </c>
      <c r="I581" s="4">
        <f t="shared" si="106"/>
        <v>0.11864406779661019</v>
      </c>
      <c r="J581" s="23">
        <f t="shared" si="107"/>
        <v>0.5</v>
      </c>
    </row>
    <row r="582" spans="1:10" s="26" customFormat="1">
      <c r="A582" s="7"/>
      <c r="B582" s="52">
        <v>7502224043557</v>
      </c>
      <c r="C582" s="54" t="s">
        <v>353</v>
      </c>
      <c r="D582" s="45">
        <v>10.02</v>
      </c>
      <c r="E582" s="45">
        <v>11.6</v>
      </c>
      <c r="F582" s="5">
        <f t="shared" si="105"/>
        <v>0.13620689655172413</v>
      </c>
      <c r="G582" s="45">
        <v>9.69</v>
      </c>
      <c r="H582" s="56">
        <v>10.9</v>
      </c>
      <c r="I582" s="4">
        <f t="shared" si="106"/>
        <v>0.11100917431192669</v>
      </c>
      <c r="J582" s="23"/>
    </row>
    <row r="583" spans="1:10" s="26" customFormat="1">
      <c r="A583" s="25"/>
      <c r="B583" s="50">
        <v>7502224043564</v>
      </c>
      <c r="C583" s="54" t="s">
        <v>354</v>
      </c>
      <c r="D583" s="45">
        <v>10.02</v>
      </c>
      <c r="E583" s="45">
        <v>11.6</v>
      </c>
      <c r="F583" s="5">
        <f t="shared" si="105"/>
        <v>0.13620689655172413</v>
      </c>
      <c r="G583" s="45">
        <v>9.69</v>
      </c>
      <c r="H583" s="56">
        <v>10.9</v>
      </c>
      <c r="I583" s="4">
        <f t="shared" si="106"/>
        <v>0.11100917431192669</v>
      </c>
      <c r="J583" s="23"/>
    </row>
    <row r="584" spans="1:10" s="26" customFormat="1">
      <c r="A584" s="25"/>
      <c r="B584" s="50">
        <v>7501025403034</v>
      </c>
      <c r="C584" s="54" t="s">
        <v>55</v>
      </c>
      <c r="D584" s="45">
        <f>20.0527*1.16</f>
        <v>23.261132</v>
      </c>
      <c r="E584" s="45">
        <v>28.9</v>
      </c>
      <c r="F584" s="5">
        <f t="shared" si="105"/>
        <v>0.19511653979238752</v>
      </c>
      <c r="G584" s="45">
        <v>17.91</v>
      </c>
      <c r="H584" s="56">
        <v>19.899999999999999</v>
      </c>
      <c r="I584" s="4">
        <f t="shared" si="106"/>
        <v>9.9999999999999978E-2</v>
      </c>
      <c r="J584" s="23">
        <f>+D584-G584</f>
        <v>5.3511319999999998</v>
      </c>
    </row>
    <row r="585" spans="1:10" s="26" customFormat="1">
      <c r="A585" s="25"/>
      <c r="B585" s="50">
        <v>7502247335226</v>
      </c>
      <c r="C585" s="54" t="s">
        <v>355</v>
      </c>
      <c r="D585" s="45">
        <f>15.06*1.16</f>
        <v>17.4696</v>
      </c>
      <c r="E585" s="45">
        <v>21.9</v>
      </c>
      <c r="F585" s="5">
        <f t="shared" si="105"/>
        <v>0.20230136986301361</v>
      </c>
      <c r="G585" s="45">
        <v>15.72</v>
      </c>
      <c r="H585" s="56">
        <v>17.899999999999999</v>
      </c>
      <c r="I585" s="4">
        <f t="shared" si="106"/>
        <v>0.12178770949720663</v>
      </c>
      <c r="J585" s="23">
        <f>+D585-G585</f>
        <v>1.7495999999999992</v>
      </c>
    </row>
    <row r="586" spans="1:10" s="26" customFormat="1">
      <c r="A586" s="7"/>
      <c r="B586" s="52">
        <v>7501036622042</v>
      </c>
      <c r="C586" s="54" t="s">
        <v>377</v>
      </c>
      <c r="D586" s="45">
        <f>23.6*1.16</f>
        <v>27.376000000000001</v>
      </c>
      <c r="E586" s="45">
        <v>32.200000000000003</v>
      </c>
      <c r="F586" s="5">
        <f t="shared" si="105"/>
        <v>0.14981366459627332</v>
      </c>
      <c r="G586" s="45">
        <f>18.876*1.16</f>
        <v>21.896159999999998</v>
      </c>
      <c r="H586" s="56">
        <v>24.9</v>
      </c>
      <c r="I586" s="4">
        <f t="shared" si="106"/>
        <v>0.12063614457831329</v>
      </c>
      <c r="J586" s="23">
        <f t="shared" ref="J586:J587" si="108">+D586-G586</f>
        <v>5.4798400000000029</v>
      </c>
    </row>
    <row r="587" spans="1:10" s="26" customFormat="1">
      <c r="A587" s="7"/>
      <c r="B587" s="52">
        <v>7501036623490</v>
      </c>
      <c r="C587" s="54" t="s">
        <v>356</v>
      </c>
      <c r="D587" s="45">
        <f>35.846*1.16</f>
        <v>41.581359999999997</v>
      </c>
      <c r="E587" s="45">
        <v>48.9</v>
      </c>
      <c r="F587" s="5">
        <f t="shared" si="105"/>
        <v>0.14966543967280166</v>
      </c>
      <c r="G587" s="45">
        <f>30.4691*1.16</f>
        <v>35.344155999999998</v>
      </c>
      <c r="H587" s="56">
        <v>39.9</v>
      </c>
      <c r="I587" s="4">
        <f t="shared" si="106"/>
        <v>0.11418155388471174</v>
      </c>
      <c r="J587" s="23">
        <f t="shared" si="108"/>
        <v>6.2372039999999984</v>
      </c>
    </row>
    <row r="588" spans="1:10" s="26" customFormat="1">
      <c r="A588" s="17" t="s">
        <v>12</v>
      </c>
      <c r="B588" s="34">
        <v>7501048103010</v>
      </c>
      <c r="C588" s="35" t="s">
        <v>310</v>
      </c>
      <c r="D588" s="33">
        <v>39</v>
      </c>
      <c r="E588" s="45">
        <v>44.3</v>
      </c>
      <c r="F588" s="5">
        <v>0.11963882618510158</v>
      </c>
      <c r="G588" s="33">
        <v>38</v>
      </c>
      <c r="H588" s="38">
        <v>42.5</v>
      </c>
      <c r="I588" s="4">
        <f t="shared" si="106"/>
        <v>0.10588235294117643</v>
      </c>
      <c r="J588" s="23"/>
    </row>
    <row r="589" spans="1:10" s="26" customFormat="1">
      <c r="A589" s="7" t="s">
        <v>13</v>
      </c>
      <c r="B589" s="29">
        <v>7501003335029</v>
      </c>
      <c r="C589" s="44" t="s">
        <v>369</v>
      </c>
      <c r="D589" s="45">
        <v>12.1</v>
      </c>
      <c r="E589" s="45">
        <v>15.2</v>
      </c>
      <c r="F589" s="5">
        <f t="shared" ref="F589:F590" si="109">+((D589/E589)-1)*-1</f>
        <v>0.20394736842105265</v>
      </c>
      <c r="G589" s="45">
        <v>11.5</v>
      </c>
      <c r="H589" s="46">
        <v>13.5</v>
      </c>
      <c r="I589" s="4">
        <f t="shared" si="106"/>
        <v>0.14814814814814814</v>
      </c>
      <c r="J589" s="23"/>
    </row>
    <row r="590" spans="1:10" s="26" customFormat="1">
      <c r="A590" s="17" t="s">
        <v>14</v>
      </c>
      <c r="B590" s="34">
        <v>7501468711116</v>
      </c>
      <c r="C590" s="35" t="s">
        <v>87</v>
      </c>
      <c r="D590" s="33">
        <v>18</v>
      </c>
      <c r="E590" s="45">
        <v>28.4</v>
      </c>
      <c r="F590" s="5">
        <f t="shared" si="109"/>
        <v>0.36619718309859151</v>
      </c>
      <c r="G590" s="33">
        <v>18</v>
      </c>
      <c r="H590" s="38">
        <v>20.5</v>
      </c>
      <c r="I590" s="4">
        <f t="shared" si="106"/>
        <v>0.12195121951219512</v>
      </c>
      <c r="J590" s="23">
        <f>+D590-G590</f>
        <v>0</v>
      </c>
    </row>
    <row r="591" spans="1:10" s="26" customFormat="1">
      <c r="A591" s="25"/>
      <c r="B591" s="34">
        <v>7501468777778</v>
      </c>
      <c r="C591" s="35" t="s">
        <v>86</v>
      </c>
      <c r="D591" s="33">
        <v>15.4</v>
      </c>
      <c r="E591" s="45">
        <v>17.2</v>
      </c>
      <c r="F591" s="5">
        <v>0.10465116279069764</v>
      </c>
      <c r="G591" s="33">
        <v>13.85</v>
      </c>
      <c r="H591" s="38">
        <v>15.9</v>
      </c>
      <c r="I591" s="4">
        <f t="shared" si="106"/>
        <v>0.12893081761006298</v>
      </c>
      <c r="J591" s="23"/>
    </row>
    <row r="592" spans="1:10" s="26" customFormat="1">
      <c r="A592" s="25"/>
      <c r="B592" s="34">
        <v>7501071301698</v>
      </c>
      <c r="C592" s="35" t="s">
        <v>218</v>
      </c>
      <c r="D592" s="33">
        <v>31.67</v>
      </c>
      <c r="E592" s="45">
        <v>35.9</v>
      </c>
      <c r="F592" s="5">
        <f t="shared" ref="F592:F644" si="110">+((D592/E592)-1)*-1</f>
        <v>0.11782729805013914</v>
      </c>
      <c r="G592" s="33">
        <v>28.5</v>
      </c>
      <c r="H592" s="38">
        <v>31.9</v>
      </c>
      <c r="I592" s="4">
        <f t="shared" si="106"/>
        <v>0.10658307210031348</v>
      </c>
      <c r="J592" s="23"/>
    </row>
    <row r="593" spans="1:10" s="26" customFormat="1">
      <c r="A593" s="7" t="s">
        <v>15</v>
      </c>
      <c r="B593" s="29"/>
      <c r="C593" s="47"/>
      <c r="D593" s="48"/>
      <c r="E593" s="45"/>
      <c r="F593" s="5" t="e">
        <f t="shared" si="110"/>
        <v>#DIV/0!</v>
      </c>
      <c r="G593" s="48"/>
      <c r="H593" s="49"/>
      <c r="I593" s="4" t="e">
        <f t="shared" si="106"/>
        <v>#DIV/0!</v>
      </c>
      <c r="J593" s="23"/>
    </row>
    <row r="594" spans="1:10" s="26" customFormat="1">
      <c r="A594" s="7" t="s">
        <v>16</v>
      </c>
      <c r="B594" s="34">
        <v>75000639</v>
      </c>
      <c r="C594" s="35" t="s">
        <v>357</v>
      </c>
      <c r="D594" s="33">
        <f>35.09*1.16</f>
        <v>40.7044</v>
      </c>
      <c r="E594" s="45">
        <v>50.9</v>
      </c>
      <c r="F594" s="5">
        <f t="shared" si="110"/>
        <v>0.20030648330058942</v>
      </c>
      <c r="G594" s="33">
        <v>35.909999999999997</v>
      </c>
      <c r="H594" s="38">
        <v>39.9</v>
      </c>
      <c r="I594" s="4">
        <f t="shared" si="106"/>
        <v>0.10000000000000009</v>
      </c>
      <c r="J594" s="23">
        <f t="shared" ref="J594" si="111">+D594-G594</f>
        <v>4.7944000000000031</v>
      </c>
    </row>
    <row r="595" spans="1:10" s="26" customFormat="1">
      <c r="A595" s="7"/>
      <c r="B595" s="29">
        <v>7509546067506</v>
      </c>
      <c r="C595" s="28" t="s">
        <v>358</v>
      </c>
      <c r="D595" s="30">
        <f>16.37*1.16</f>
        <v>18.9892</v>
      </c>
      <c r="E595" s="45">
        <v>34.700000000000003</v>
      </c>
      <c r="F595" s="5">
        <f t="shared" si="110"/>
        <v>0.45276080691642651</v>
      </c>
      <c r="G595" s="30">
        <f>16.37*1.16</f>
        <v>18.9892</v>
      </c>
      <c r="H595" s="39">
        <v>21.9</v>
      </c>
      <c r="I595" s="4">
        <f t="shared" si="106"/>
        <v>0.13291324200913235</v>
      </c>
      <c r="J595" s="23"/>
    </row>
    <row r="596" spans="1:10" s="26" customFormat="1">
      <c r="A596" s="7"/>
      <c r="B596" s="29">
        <v>7509546067513</v>
      </c>
      <c r="C596" s="28" t="s">
        <v>359</v>
      </c>
      <c r="D596" s="30">
        <f t="shared" ref="D596:D598" si="112">16.37*1.16</f>
        <v>18.9892</v>
      </c>
      <c r="E596" s="45">
        <v>34.700000000000003</v>
      </c>
      <c r="F596" s="5">
        <f t="shared" si="110"/>
        <v>0.45276080691642651</v>
      </c>
      <c r="G596" s="30">
        <f t="shared" ref="G596:G598" si="113">16.37*1.16</f>
        <v>18.9892</v>
      </c>
      <c r="H596" s="39">
        <v>21.9</v>
      </c>
      <c r="I596" s="4">
        <f t="shared" si="106"/>
        <v>0.13291324200913235</v>
      </c>
      <c r="J596" s="23"/>
    </row>
    <row r="597" spans="1:10" s="26" customFormat="1">
      <c r="A597" s="25"/>
      <c r="B597" s="34">
        <v>7509546067520</v>
      </c>
      <c r="C597" s="35" t="s">
        <v>360</v>
      </c>
      <c r="D597" s="30">
        <f t="shared" si="112"/>
        <v>18.9892</v>
      </c>
      <c r="E597" s="45">
        <v>34.700000000000003</v>
      </c>
      <c r="F597" s="5">
        <f t="shared" si="110"/>
        <v>0.45276080691642651</v>
      </c>
      <c r="G597" s="30">
        <f t="shared" si="113"/>
        <v>18.9892</v>
      </c>
      <c r="H597" s="38">
        <v>21.9</v>
      </c>
      <c r="I597" s="4">
        <f t="shared" si="106"/>
        <v>0.13291324200913235</v>
      </c>
      <c r="J597" s="23"/>
    </row>
    <row r="598" spans="1:10" s="26" customFormat="1">
      <c r="A598" s="43"/>
      <c r="B598" s="34">
        <v>7509546067544</v>
      </c>
      <c r="C598" s="35" t="s">
        <v>361</v>
      </c>
      <c r="D598" s="30">
        <f t="shared" si="112"/>
        <v>18.9892</v>
      </c>
      <c r="E598" s="45">
        <v>34.700000000000003</v>
      </c>
      <c r="F598" s="5">
        <f t="shared" si="110"/>
        <v>0.45276080691642651</v>
      </c>
      <c r="G598" s="30">
        <f t="shared" si="113"/>
        <v>18.9892</v>
      </c>
      <c r="H598" s="38">
        <v>21.9</v>
      </c>
      <c r="I598" s="4">
        <f t="shared" si="106"/>
        <v>0.13291324200913235</v>
      </c>
      <c r="J598" s="23"/>
    </row>
    <row r="599" spans="1:10" s="26" customFormat="1">
      <c r="A599" s="7" t="s">
        <v>17</v>
      </c>
      <c r="B599" s="29"/>
      <c r="C599" s="28"/>
      <c r="D599" s="30"/>
      <c r="E599" s="45"/>
      <c r="F599" s="5" t="e">
        <f t="shared" si="110"/>
        <v>#DIV/0!</v>
      </c>
      <c r="G599" s="30"/>
      <c r="H599" s="39"/>
      <c r="I599" s="4" t="e">
        <f t="shared" si="106"/>
        <v>#DIV/0!</v>
      </c>
      <c r="J599" s="23">
        <f t="shared" ref="J599:J601" si="114">+D599-G599</f>
        <v>0</v>
      </c>
    </row>
    <row r="600" spans="1:10" s="26" customFormat="1">
      <c r="A600" s="7" t="s">
        <v>169</v>
      </c>
      <c r="B600" s="29"/>
      <c r="C600" s="28"/>
      <c r="D600" s="30"/>
      <c r="E600" s="45"/>
      <c r="F600" s="5" t="e">
        <f t="shared" si="110"/>
        <v>#DIV/0!</v>
      </c>
      <c r="G600" s="30"/>
      <c r="H600" s="39"/>
      <c r="I600" s="4" t="e">
        <f t="shared" si="106"/>
        <v>#DIV/0!</v>
      </c>
      <c r="J600" s="23">
        <f t="shared" si="114"/>
        <v>0</v>
      </c>
    </row>
    <row r="601" spans="1:10" s="26" customFormat="1">
      <c r="A601" s="7" t="s">
        <v>18</v>
      </c>
      <c r="B601" s="29"/>
      <c r="C601" s="28"/>
      <c r="D601" s="30"/>
      <c r="E601" s="45"/>
      <c r="F601" s="5" t="e">
        <f t="shared" si="110"/>
        <v>#DIV/0!</v>
      </c>
      <c r="G601" s="30"/>
      <c r="H601" s="39"/>
      <c r="I601" s="4" t="e">
        <f t="shared" si="106"/>
        <v>#DIV/0!</v>
      </c>
      <c r="J601" s="23">
        <f t="shared" si="114"/>
        <v>0</v>
      </c>
    </row>
    <row r="602" spans="1:10" s="26" customFormat="1">
      <c r="A602" s="7" t="s">
        <v>19</v>
      </c>
      <c r="B602" s="34"/>
      <c r="C602" s="35"/>
      <c r="D602" s="33"/>
      <c r="E602" s="45"/>
      <c r="F602" s="5" t="e">
        <f t="shared" si="110"/>
        <v>#DIV/0!</v>
      </c>
      <c r="G602" s="33"/>
      <c r="H602" s="38"/>
      <c r="I602" s="4" t="e">
        <f t="shared" si="106"/>
        <v>#DIV/0!</v>
      </c>
      <c r="J602" s="23"/>
    </row>
    <row r="603" spans="1:10" s="26" customFormat="1">
      <c r="A603" s="7" t="s">
        <v>20</v>
      </c>
      <c r="B603" s="29">
        <v>7501023311034</v>
      </c>
      <c r="C603" s="28" t="s">
        <v>280</v>
      </c>
      <c r="D603" s="30">
        <v>16.89</v>
      </c>
      <c r="E603" s="45">
        <v>20.6</v>
      </c>
      <c r="F603" s="5">
        <f t="shared" si="110"/>
        <v>0.18009708737864083</v>
      </c>
      <c r="G603" s="30">
        <v>15.92</v>
      </c>
      <c r="H603" s="39">
        <v>18.5</v>
      </c>
      <c r="I603" s="4">
        <f t="shared" si="106"/>
        <v>0.13945945945945948</v>
      </c>
      <c r="J603" s="23"/>
    </row>
    <row r="604" spans="1:10" s="26" customFormat="1">
      <c r="A604" s="7"/>
      <c r="B604" s="29">
        <v>7501017003020</v>
      </c>
      <c r="C604" s="28" t="s">
        <v>375</v>
      </c>
      <c r="D604" s="30">
        <v>26.267499999999998</v>
      </c>
      <c r="E604" s="45">
        <v>31.6</v>
      </c>
      <c r="F604" s="5">
        <f t="shared" si="110"/>
        <v>0.16875000000000007</v>
      </c>
      <c r="G604" s="30">
        <f>+D604*0.9</f>
        <v>23.640750000000001</v>
      </c>
      <c r="H604" s="39">
        <v>26.9</v>
      </c>
      <c r="I604" s="4">
        <f t="shared" si="106"/>
        <v>0.12116171003717469</v>
      </c>
      <c r="J604" s="23">
        <f>+D604-G604</f>
        <v>2.6267499999999977</v>
      </c>
    </row>
    <row r="605" spans="1:10" s="26" customFormat="1">
      <c r="A605" s="7"/>
      <c r="B605" s="29">
        <v>7501017003006</v>
      </c>
      <c r="C605" s="28" t="s">
        <v>376</v>
      </c>
      <c r="D605" s="30">
        <v>21.133510000000001</v>
      </c>
      <c r="E605" s="45">
        <v>26.4</v>
      </c>
      <c r="F605" s="5">
        <f t="shared" si="110"/>
        <v>0.1994882575757575</v>
      </c>
      <c r="G605" s="30">
        <f>+D605*0.9</f>
        <v>19.020159000000003</v>
      </c>
      <c r="H605" s="39">
        <v>21.9</v>
      </c>
      <c r="I605" s="4">
        <f t="shared" si="106"/>
        <v>0.13149958904109571</v>
      </c>
      <c r="J605" s="23">
        <f t="shared" ref="J605" si="115">+D605-G605</f>
        <v>2.113350999999998</v>
      </c>
    </row>
    <row r="606" spans="1:10" s="26" customFormat="1">
      <c r="A606" s="7" t="s">
        <v>21</v>
      </c>
      <c r="B606" s="29" t="s">
        <v>311</v>
      </c>
      <c r="C606" s="28" t="s">
        <v>312</v>
      </c>
      <c r="D606" s="30">
        <v>9.44</v>
      </c>
      <c r="E606" s="45">
        <v>11.9</v>
      </c>
      <c r="F606" s="5">
        <f t="shared" si="110"/>
        <v>0.20672268907563029</v>
      </c>
      <c r="G606" s="30">
        <v>8.5</v>
      </c>
      <c r="H606" s="39">
        <v>9.9</v>
      </c>
      <c r="I606" s="4">
        <f t="shared" si="106"/>
        <v>0.14141414141414144</v>
      </c>
      <c r="J606" s="23">
        <f>+D606-G606</f>
        <v>0.9399999999999995</v>
      </c>
    </row>
    <row r="607" spans="1:10" s="26" customFormat="1">
      <c r="A607" s="7" t="s">
        <v>39</v>
      </c>
      <c r="B607" s="29"/>
      <c r="C607" s="28"/>
      <c r="D607" s="30"/>
      <c r="E607" s="45"/>
      <c r="F607" s="5" t="e">
        <f t="shared" si="110"/>
        <v>#DIV/0!</v>
      </c>
      <c r="G607" s="30"/>
      <c r="H607" s="39"/>
      <c r="I607" s="4" t="e">
        <f t="shared" si="106"/>
        <v>#DIV/0!</v>
      </c>
      <c r="J607" s="23"/>
    </row>
    <row r="608" spans="1:10" s="26" customFormat="1">
      <c r="A608" s="7" t="s">
        <v>22</v>
      </c>
      <c r="B608" s="34">
        <v>7509546067704</v>
      </c>
      <c r="C608" s="35" t="s">
        <v>246</v>
      </c>
      <c r="D608" s="33">
        <f>20.1868*1.16</f>
        <v>23.416688000000001</v>
      </c>
      <c r="E608" s="45">
        <v>27.6</v>
      </c>
      <c r="F608" s="5">
        <f t="shared" si="110"/>
        <v>0.1515692753623189</v>
      </c>
      <c r="G608" s="33">
        <f>11.929*1.16</f>
        <v>13.837639999999999</v>
      </c>
      <c r="H608" s="38">
        <v>15.9</v>
      </c>
      <c r="I608" s="4">
        <f t="shared" si="106"/>
        <v>0.12970817610062901</v>
      </c>
      <c r="J608" s="23"/>
    </row>
    <row r="609" spans="1:10" s="26" customFormat="1">
      <c r="A609" s="25"/>
      <c r="B609" s="34">
        <v>7501026005374</v>
      </c>
      <c r="C609" s="35" t="s">
        <v>330</v>
      </c>
      <c r="D609" s="33">
        <f>16.20304*1.16</f>
        <v>18.7955264</v>
      </c>
      <c r="E609" s="45">
        <v>22.2</v>
      </c>
      <c r="F609" s="5">
        <f t="shared" si="110"/>
        <v>0.15335466666666664</v>
      </c>
      <c r="G609" s="33">
        <v>17.512</v>
      </c>
      <c r="H609" s="38">
        <v>19.899999999999999</v>
      </c>
      <c r="I609" s="4">
        <f t="shared" si="106"/>
        <v>0.11999999999999988</v>
      </c>
      <c r="J609" s="23">
        <f>+D609-G609</f>
        <v>1.2835263999999995</v>
      </c>
    </row>
    <row r="610" spans="1:10" s="26" customFormat="1">
      <c r="A610" s="25"/>
      <c r="B610" s="34" t="s">
        <v>362</v>
      </c>
      <c r="C610" s="35" t="s">
        <v>363</v>
      </c>
      <c r="D610" s="33">
        <f>13.3621*1.16</f>
        <v>15.500035999999998</v>
      </c>
      <c r="E610" s="45">
        <v>18.2</v>
      </c>
      <c r="F610" s="5">
        <f t="shared" si="110"/>
        <v>0.14834967032967039</v>
      </c>
      <c r="G610" s="33">
        <f>+D610*0.9</f>
        <v>13.950032399999998</v>
      </c>
      <c r="H610" s="38">
        <v>15.9</v>
      </c>
      <c r="I610" s="4">
        <f t="shared" si="106"/>
        <v>0.1226394716981134</v>
      </c>
      <c r="J610" s="23"/>
    </row>
    <row r="611" spans="1:10" s="26" customFormat="1">
      <c r="A611" s="25"/>
      <c r="B611" s="34">
        <v>7501025423810</v>
      </c>
      <c r="C611" s="35" t="s">
        <v>192</v>
      </c>
      <c r="D611" s="33">
        <f>10.12*1.16</f>
        <v>11.739199999999999</v>
      </c>
      <c r="E611" s="45">
        <v>14.7</v>
      </c>
      <c r="F611" s="5">
        <f t="shared" si="110"/>
        <v>0.20141496598639463</v>
      </c>
      <c r="G611" s="33">
        <f>+D611*0.85</f>
        <v>9.9783199999999983</v>
      </c>
      <c r="H611" s="38">
        <v>11.5</v>
      </c>
      <c r="I611" s="4">
        <f t="shared" si="106"/>
        <v>0.1323200000000001</v>
      </c>
      <c r="J611" s="23">
        <f>+D611-G611</f>
        <v>1.7608800000000002</v>
      </c>
    </row>
    <row r="612" spans="1:10" s="26" customFormat="1">
      <c r="A612" s="25"/>
      <c r="B612" s="34">
        <v>7501025423834</v>
      </c>
      <c r="C612" s="35" t="s">
        <v>193</v>
      </c>
      <c r="D612" s="33">
        <f t="shared" ref="D612:D613" si="116">10.12*1.16</f>
        <v>11.739199999999999</v>
      </c>
      <c r="E612" s="45">
        <v>14.7</v>
      </c>
      <c r="F612" s="5">
        <f t="shared" si="110"/>
        <v>0.20141496598639463</v>
      </c>
      <c r="G612" s="33">
        <f>+D612*0.85</f>
        <v>9.9783199999999983</v>
      </c>
      <c r="H612" s="38">
        <v>11.5</v>
      </c>
      <c r="I612" s="4">
        <f t="shared" si="106"/>
        <v>0.1323200000000001</v>
      </c>
      <c r="J612" s="23">
        <f t="shared" ref="J612:J614" si="117">+D612-G612</f>
        <v>1.7608800000000002</v>
      </c>
    </row>
    <row r="613" spans="1:10" s="26" customFormat="1">
      <c r="A613" s="25"/>
      <c r="B613" s="34">
        <v>7501025423865</v>
      </c>
      <c r="C613" s="35" t="s">
        <v>194</v>
      </c>
      <c r="D613" s="33">
        <f t="shared" si="116"/>
        <v>11.739199999999999</v>
      </c>
      <c r="E613" s="45">
        <v>14.7</v>
      </c>
      <c r="F613" s="5">
        <f t="shared" si="110"/>
        <v>0.20141496598639463</v>
      </c>
      <c r="G613" s="33">
        <f>+D613*0.85</f>
        <v>9.9783199999999983</v>
      </c>
      <c r="H613" s="38">
        <v>11.5</v>
      </c>
      <c r="I613" s="4">
        <f t="shared" si="106"/>
        <v>0.1323200000000001</v>
      </c>
      <c r="J613" s="23">
        <f t="shared" si="117"/>
        <v>1.7608800000000002</v>
      </c>
    </row>
    <row r="614" spans="1:10" s="26" customFormat="1">
      <c r="A614" s="7" t="s">
        <v>23</v>
      </c>
      <c r="B614" s="29"/>
      <c r="C614" s="28"/>
      <c r="D614" s="33"/>
      <c r="E614" s="45"/>
      <c r="F614" s="5" t="e">
        <f t="shared" si="110"/>
        <v>#DIV/0!</v>
      </c>
      <c r="G614" s="33"/>
      <c r="H614" s="38"/>
      <c r="I614" s="4" t="e">
        <f t="shared" si="106"/>
        <v>#DIV/0!</v>
      </c>
      <c r="J614" s="23">
        <f t="shared" si="117"/>
        <v>0</v>
      </c>
    </row>
    <row r="615" spans="1:10" s="26" customFormat="1">
      <c r="A615" s="7" t="s">
        <v>24</v>
      </c>
      <c r="B615" s="34">
        <v>7501008101049</v>
      </c>
      <c r="C615" s="35" t="s">
        <v>145</v>
      </c>
      <c r="D615" s="33">
        <f>14.52*1.08</f>
        <v>15.681600000000001</v>
      </c>
      <c r="E615" s="45">
        <v>18.899999999999999</v>
      </c>
      <c r="F615" s="5">
        <f t="shared" si="110"/>
        <v>0.17028571428571415</v>
      </c>
      <c r="G615" s="33">
        <f>+D615*0.93</f>
        <v>14.583888000000002</v>
      </c>
      <c r="H615" s="38">
        <v>16.899999999999999</v>
      </c>
      <c r="I615" s="4">
        <f t="shared" si="106"/>
        <v>0.13704804733727793</v>
      </c>
      <c r="J615" s="23">
        <f>+D615-G615</f>
        <v>1.0977119999999996</v>
      </c>
    </row>
    <row r="616" spans="1:10" s="26" customFormat="1">
      <c r="A616" s="25"/>
      <c r="B616" s="34">
        <v>7501008042984</v>
      </c>
      <c r="C616" s="35" t="s">
        <v>92</v>
      </c>
      <c r="D616" s="33">
        <f>20.4034*1.08</f>
        <v>22.035672000000002</v>
      </c>
      <c r="E616" s="45">
        <v>27.9</v>
      </c>
      <c r="F616" s="5">
        <f t="shared" si="110"/>
        <v>0.21019096774193535</v>
      </c>
      <c r="G616" s="33">
        <f t="shared" ref="G616:G617" si="118">+D616*0.93</f>
        <v>20.493174960000001</v>
      </c>
      <c r="H616" s="38">
        <v>23.5</v>
      </c>
      <c r="I616" s="4">
        <f t="shared" si="106"/>
        <v>0.12795000170212767</v>
      </c>
      <c r="J616" s="23">
        <f t="shared" ref="J616:J617" si="119">+D616-G616</f>
        <v>1.5424970400000007</v>
      </c>
    </row>
    <row r="617" spans="1:10" s="26" customFormat="1">
      <c r="A617" s="7"/>
      <c r="B617" s="29">
        <v>7501008018125</v>
      </c>
      <c r="C617" s="28" t="s">
        <v>93</v>
      </c>
      <c r="D617" s="30">
        <f>28.12*1.08</f>
        <v>30.369600000000002</v>
      </c>
      <c r="E617" s="45">
        <v>37.5</v>
      </c>
      <c r="F617" s="5">
        <f t="shared" si="110"/>
        <v>0.19014399999999998</v>
      </c>
      <c r="G617" s="33">
        <f t="shared" si="118"/>
        <v>28.243728000000004</v>
      </c>
      <c r="H617" s="38">
        <v>31.9</v>
      </c>
      <c r="I617" s="4">
        <f t="shared" si="106"/>
        <v>0.11461667711598733</v>
      </c>
      <c r="J617" s="23">
        <f t="shared" si="119"/>
        <v>2.1258719999999975</v>
      </c>
    </row>
    <row r="618" spans="1:10" s="26" customFormat="1">
      <c r="A618" s="7" t="s">
        <v>25</v>
      </c>
      <c r="B618" s="29">
        <v>7501000641499</v>
      </c>
      <c r="C618" s="28" t="s">
        <v>372</v>
      </c>
      <c r="D618" s="30">
        <f>40*1.08</f>
        <v>43.2</v>
      </c>
      <c r="E618" s="45">
        <v>54.7</v>
      </c>
      <c r="F618" s="5">
        <f t="shared" si="110"/>
        <v>0.21023765996343691</v>
      </c>
      <c r="G618" s="30">
        <v>41.02</v>
      </c>
      <c r="H618" s="39">
        <v>46.9</v>
      </c>
      <c r="I618" s="4">
        <f t="shared" si="106"/>
        <v>0.12537313432835817</v>
      </c>
      <c r="J618" s="23"/>
    </row>
    <row r="619" spans="1:10" s="26" customFormat="1">
      <c r="A619" s="7"/>
      <c r="B619" s="29">
        <v>7501000642014</v>
      </c>
      <c r="C619" s="28" t="s">
        <v>373</v>
      </c>
      <c r="D619" s="30">
        <f>43.2099*1.08</f>
        <v>46.666691999999998</v>
      </c>
      <c r="E619" s="45">
        <v>56.2</v>
      </c>
      <c r="F619" s="5">
        <f t="shared" si="110"/>
        <v>0.16963181494661927</v>
      </c>
      <c r="G619" s="30">
        <v>44.3</v>
      </c>
      <c r="H619" s="39">
        <v>49.9</v>
      </c>
      <c r="I619" s="4">
        <f t="shared" si="106"/>
        <v>0.11222444889779559</v>
      </c>
      <c r="J619" s="23"/>
    </row>
    <row r="620" spans="1:10" s="26" customFormat="1">
      <c r="A620" s="25"/>
      <c r="B620" s="34">
        <v>7501000642304</v>
      </c>
      <c r="C620" s="35" t="s">
        <v>374</v>
      </c>
      <c r="D620" s="33">
        <f>41.358*1.08</f>
        <v>44.666640000000001</v>
      </c>
      <c r="E620" s="45">
        <v>54.5</v>
      </c>
      <c r="F620" s="5">
        <f t="shared" si="110"/>
        <v>0.18042862385321101</v>
      </c>
      <c r="G620" s="30">
        <v>42.4</v>
      </c>
      <c r="H620" s="39">
        <v>48.9</v>
      </c>
      <c r="I620" s="4">
        <f t="shared" si="106"/>
        <v>0.13292433537832316</v>
      </c>
      <c r="J620" s="23"/>
    </row>
    <row r="621" spans="1:10" s="26" customFormat="1">
      <c r="A621" s="25"/>
      <c r="B621" s="29"/>
      <c r="C621" s="28"/>
      <c r="D621" s="30"/>
      <c r="E621" s="45"/>
      <c r="F621" s="5" t="e">
        <f t="shared" si="110"/>
        <v>#DIV/0!</v>
      </c>
      <c r="G621" s="30"/>
      <c r="H621" s="39"/>
      <c r="I621" s="4" t="e">
        <f t="shared" si="106"/>
        <v>#DIV/0!</v>
      </c>
      <c r="J621" s="62">
        <f>+D621-G621</f>
        <v>0</v>
      </c>
    </row>
    <row r="622" spans="1:10" s="26" customFormat="1">
      <c r="A622" s="7" t="s">
        <v>26</v>
      </c>
      <c r="B622" s="29">
        <v>7501404603116</v>
      </c>
      <c r="C622" s="28" t="s">
        <v>217</v>
      </c>
      <c r="D622" s="30">
        <v>15.224</v>
      </c>
      <c r="E622" s="45">
        <v>17.3</v>
      </c>
      <c r="F622" s="5">
        <f t="shared" si="110"/>
        <v>0.12</v>
      </c>
      <c r="G622" s="30">
        <v>14.62</v>
      </c>
      <c r="H622" s="39">
        <v>16.5</v>
      </c>
      <c r="I622" s="4">
        <f t="shared" si="106"/>
        <v>0.11393939393939401</v>
      </c>
      <c r="J622" s="23"/>
    </row>
    <row r="623" spans="1:10" s="26" customFormat="1">
      <c r="A623" s="7" t="s">
        <v>27</v>
      </c>
      <c r="B623" s="63">
        <v>7501077400708</v>
      </c>
      <c r="C623" s="28" t="s">
        <v>370</v>
      </c>
      <c r="D623" s="30">
        <v>15.28</v>
      </c>
      <c r="E623" s="45">
        <v>17.5</v>
      </c>
      <c r="F623" s="5">
        <f t="shared" si="110"/>
        <v>0.12685714285714289</v>
      </c>
      <c r="G623" s="30">
        <f>+D623*0.9</f>
        <v>13.751999999999999</v>
      </c>
      <c r="H623" s="39">
        <v>15.5</v>
      </c>
      <c r="I623" s="4">
        <f t="shared" si="106"/>
        <v>0.11277419354838714</v>
      </c>
      <c r="J623" s="23">
        <f>+D623-G623</f>
        <v>1.5280000000000005</v>
      </c>
    </row>
    <row r="624" spans="1:10" s="26" customFormat="1">
      <c r="A624" s="25"/>
      <c r="B624" s="64">
        <v>7501077400050</v>
      </c>
      <c r="C624" s="35" t="s">
        <v>371</v>
      </c>
      <c r="D624" s="33">
        <v>15.65</v>
      </c>
      <c r="E624" s="45">
        <v>17.8</v>
      </c>
      <c r="F624" s="40">
        <f t="shared" si="110"/>
        <v>0.1207865168539326</v>
      </c>
      <c r="G624" s="33">
        <f>+D624*0.9</f>
        <v>14.085000000000001</v>
      </c>
      <c r="H624" s="38">
        <v>15.9</v>
      </c>
      <c r="I624" s="42">
        <f t="shared" si="106"/>
        <v>0.11415094339622633</v>
      </c>
      <c r="J624" s="23">
        <f>+D624-G624</f>
        <v>1.5649999999999995</v>
      </c>
    </row>
    <row r="625" spans="1:10" s="26" customFormat="1">
      <c r="A625" s="7" t="s">
        <v>28</v>
      </c>
      <c r="B625" s="28"/>
      <c r="C625" s="28"/>
      <c r="D625" s="30"/>
      <c r="E625" s="45"/>
      <c r="F625" s="5" t="e">
        <f t="shared" si="110"/>
        <v>#DIV/0!</v>
      </c>
      <c r="G625" s="30"/>
      <c r="H625" s="39"/>
      <c r="I625" s="4" t="e">
        <f t="shared" si="106"/>
        <v>#DIV/0!</v>
      </c>
      <c r="J625" s="23"/>
    </row>
    <row r="626" spans="1:10" s="26" customFormat="1">
      <c r="A626" s="7" t="s">
        <v>29</v>
      </c>
      <c r="B626" s="29"/>
      <c r="C626" s="28"/>
      <c r="D626" s="30"/>
      <c r="E626" s="45"/>
      <c r="F626" s="5" t="e">
        <f t="shared" si="110"/>
        <v>#DIV/0!</v>
      </c>
      <c r="G626" s="30"/>
      <c r="H626" s="39"/>
      <c r="I626" s="4" t="e">
        <f t="shared" si="106"/>
        <v>#DIV/0!</v>
      </c>
      <c r="J626" s="23">
        <f>+D626-G626</f>
        <v>0</v>
      </c>
    </row>
    <row r="627" spans="1:10" s="26" customFormat="1">
      <c r="A627" s="7" t="s">
        <v>30</v>
      </c>
      <c r="B627" s="29"/>
      <c r="C627" s="28"/>
      <c r="D627" s="30"/>
      <c r="E627" s="45"/>
      <c r="F627" s="5" t="e">
        <f t="shared" si="110"/>
        <v>#DIV/0!</v>
      </c>
      <c r="G627" s="30"/>
      <c r="H627" s="39"/>
      <c r="I627" s="4" t="e">
        <f t="shared" si="106"/>
        <v>#DIV/0!</v>
      </c>
      <c r="J627" s="23">
        <f>+D627-G627</f>
        <v>0</v>
      </c>
    </row>
    <row r="628" spans="1:10" s="26" customFormat="1">
      <c r="A628" s="7" t="s">
        <v>38</v>
      </c>
      <c r="B628" s="29">
        <v>7501025431457</v>
      </c>
      <c r="C628" s="28" t="s">
        <v>49</v>
      </c>
      <c r="D628" s="30">
        <f>10.57*1.16</f>
        <v>12.261199999999999</v>
      </c>
      <c r="E628" s="45">
        <v>15.3</v>
      </c>
      <c r="F628" s="5">
        <f t="shared" si="110"/>
        <v>0.19861437908496749</v>
      </c>
      <c r="G628" s="30">
        <v>10.71</v>
      </c>
      <c r="H628" s="39">
        <v>11.9</v>
      </c>
      <c r="I628" s="4">
        <f t="shared" si="106"/>
        <v>9.9999999999999978E-2</v>
      </c>
      <c r="J628" s="23">
        <f>+D628-G628</f>
        <v>1.5511999999999979</v>
      </c>
    </row>
    <row r="629" spans="1:10" s="26" customFormat="1">
      <c r="A629" s="7"/>
      <c r="B629" s="29" t="s">
        <v>185</v>
      </c>
      <c r="C629" s="28" t="s">
        <v>186</v>
      </c>
      <c r="D629" s="30">
        <f t="shared" ref="D629:D632" si="120">10.57*1.16</f>
        <v>12.261199999999999</v>
      </c>
      <c r="E629" s="45">
        <v>15.3</v>
      </c>
      <c r="F629" s="5">
        <f t="shared" si="110"/>
        <v>0.19861437908496749</v>
      </c>
      <c r="G629" s="30">
        <v>10.71</v>
      </c>
      <c r="H629" s="39">
        <v>11.9</v>
      </c>
      <c r="I629" s="4">
        <f t="shared" si="106"/>
        <v>9.9999999999999978E-2</v>
      </c>
      <c r="J629" s="23">
        <f t="shared" ref="J629:J633" si="121">+D629-G629</f>
        <v>1.5511999999999979</v>
      </c>
    </row>
    <row r="630" spans="1:10" s="26" customFormat="1">
      <c r="A630" s="7"/>
      <c r="B630" s="29">
        <v>7501025440282</v>
      </c>
      <c r="C630" s="28" t="s">
        <v>46</v>
      </c>
      <c r="D630" s="30">
        <f t="shared" si="120"/>
        <v>12.261199999999999</v>
      </c>
      <c r="E630" s="45">
        <v>15.3</v>
      </c>
      <c r="F630" s="5">
        <f t="shared" si="110"/>
        <v>0.19861437908496749</v>
      </c>
      <c r="G630" s="30">
        <v>10.71</v>
      </c>
      <c r="H630" s="39">
        <v>11.9</v>
      </c>
      <c r="I630" s="4">
        <f t="shared" si="106"/>
        <v>9.9999999999999978E-2</v>
      </c>
      <c r="J630" s="23">
        <f t="shared" si="121"/>
        <v>1.5511999999999979</v>
      </c>
    </row>
    <row r="631" spans="1:10" s="26" customFormat="1">
      <c r="A631" s="7"/>
      <c r="B631" s="29">
        <v>7501025440299</v>
      </c>
      <c r="C631" s="28" t="s">
        <v>47</v>
      </c>
      <c r="D631" s="30">
        <f t="shared" si="120"/>
        <v>12.261199999999999</v>
      </c>
      <c r="E631" s="45">
        <v>15.3</v>
      </c>
      <c r="F631" s="5">
        <f t="shared" si="110"/>
        <v>0.19861437908496749</v>
      </c>
      <c r="G631" s="30">
        <v>10.71</v>
      </c>
      <c r="H631" s="39">
        <v>11.9</v>
      </c>
      <c r="I631" s="4">
        <f t="shared" si="106"/>
        <v>9.9999999999999978E-2</v>
      </c>
      <c r="J631" s="23">
        <f t="shared" si="121"/>
        <v>1.5511999999999979</v>
      </c>
    </row>
    <row r="632" spans="1:10" s="26" customFormat="1">
      <c r="A632" s="7"/>
      <c r="B632" s="29">
        <v>7501025440305</v>
      </c>
      <c r="C632" s="28" t="s">
        <v>48</v>
      </c>
      <c r="D632" s="30">
        <f t="shared" si="120"/>
        <v>12.261199999999999</v>
      </c>
      <c r="E632" s="45">
        <v>15.3</v>
      </c>
      <c r="F632" s="5">
        <f t="shared" si="110"/>
        <v>0.19861437908496749</v>
      </c>
      <c r="G632" s="30">
        <v>10.71</v>
      </c>
      <c r="H632" s="39">
        <v>11.9</v>
      </c>
      <c r="I632" s="4">
        <f t="shared" si="106"/>
        <v>9.9999999999999978E-2</v>
      </c>
      <c r="J632" s="23">
        <f t="shared" si="121"/>
        <v>1.5511999999999979</v>
      </c>
    </row>
    <row r="633" spans="1:10" s="26" customFormat="1">
      <c r="A633" s="25"/>
      <c r="B633" s="34"/>
      <c r="C633" s="35"/>
      <c r="D633" s="33"/>
      <c r="E633" s="45"/>
      <c r="F633" s="5" t="e">
        <f t="shared" si="110"/>
        <v>#DIV/0!</v>
      </c>
      <c r="G633" s="33"/>
      <c r="H633" s="38"/>
      <c r="I633" s="4" t="e">
        <f t="shared" si="106"/>
        <v>#DIV/0!</v>
      </c>
      <c r="J633" s="23">
        <f t="shared" si="121"/>
        <v>0</v>
      </c>
    </row>
    <row r="634" spans="1:10" s="26" customFormat="1">
      <c r="A634" s="25"/>
      <c r="B634" s="34">
        <v>7501025411756</v>
      </c>
      <c r="C634" s="35" t="s">
        <v>364</v>
      </c>
      <c r="D634" s="33">
        <f>16.65*1.16</f>
        <v>19.313999999999997</v>
      </c>
      <c r="E634" s="45">
        <v>24.2</v>
      </c>
      <c r="F634" s="5">
        <f t="shared" si="110"/>
        <v>0.20190082644628116</v>
      </c>
      <c r="G634" s="33">
        <v>17.91</v>
      </c>
      <c r="H634" s="38">
        <v>19.899999999999999</v>
      </c>
      <c r="I634" s="4">
        <f t="shared" si="106"/>
        <v>9.9999999999999978E-2</v>
      </c>
      <c r="J634" s="23"/>
    </row>
    <row r="635" spans="1:10" s="26" customFormat="1">
      <c r="A635" s="25"/>
      <c r="B635" s="34">
        <v>7501025411763</v>
      </c>
      <c r="C635" s="35" t="s">
        <v>365</v>
      </c>
      <c r="D635" s="33">
        <f t="shared" ref="D635:D637" si="122">16.65*1.16</f>
        <v>19.313999999999997</v>
      </c>
      <c r="E635" s="45">
        <v>24.2</v>
      </c>
      <c r="F635" s="5">
        <f t="shared" si="110"/>
        <v>0.20190082644628116</v>
      </c>
      <c r="G635" s="33">
        <v>17.91</v>
      </c>
      <c r="H635" s="38">
        <v>19.899999999999999</v>
      </c>
      <c r="I635" s="4">
        <f t="shared" si="106"/>
        <v>9.9999999999999978E-2</v>
      </c>
      <c r="J635" s="23"/>
    </row>
    <row r="636" spans="1:10" s="26" customFormat="1">
      <c r="A636" s="25"/>
      <c r="B636" s="34">
        <v>7501025431945</v>
      </c>
      <c r="C636" s="35" t="s">
        <v>366</v>
      </c>
      <c r="D636" s="33">
        <f t="shared" si="122"/>
        <v>19.313999999999997</v>
      </c>
      <c r="E636" s="45">
        <v>24.2</v>
      </c>
      <c r="F636" s="5">
        <f t="shared" si="110"/>
        <v>0.20190082644628116</v>
      </c>
      <c r="G636" s="33">
        <v>17.91</v>
      </c>
      <c r="H636" s="38">
        <v>19.899999999999999</v>
      </c>
      <c r="I636" s="4">
        <f t="shared" si="106"/>
        <v>9.9999999999999978E-2</v>
      </c>
      <c r="J636" s="23"/>
    </row>
    <row r="637" spans="1:10" s="26" customFormat="1">
      <c r="A637" s="25"/>
      <c r="B637" s="34">
        <v>7501025431952</v>
      </c>
      <c r="C637" s="35" t="s">
        <v>367</v>
      </c>
      <c r="D637" s="33">
        <f t="shared" si="122"/>
        <v>19.313999999999997</v>
      </c>
      <c r="E637" s="45">
        <v>24.2</v>
      </c>
      <c r="F637" s="5">
        <f t="shared" si="110"/>
        <v>0.20190082644628116</v>
      </c>
      <c r="G637" s="33">
        <v>17.91</v>
      </c>
      <c r="H637" s="38">
        <v>19.899999999999999</v>
      </c>
      <c r="I637" s="4">
        <f t="shared" si="106"/>
        <v>9.9999999999999978E-2</v>
      </c>
      <c r="J637" s="23"/>
    </row>
    <row r="638" spans="1:10" s="26" customFormat="1">
      <c r="A638" s="25"/>
      <c r="B638" s="34"/>
      <c r="C638" s="35"/>
      <c r="D638" s="33"/>
      <c r="E638" s="45"/>
      <c r="F638" s="5" t="e">
        <f t="shared" si="110"/>
        <v>#DIV/0!</v>
      </c>
      <c r="G638" s="33"/>
      <c r="H638" s="38"/>
      <c r="I638" s="4" t="e">
        <f t="shared" si="106"/>
        <v>#DIV/0!</v>
      </c>
      <c r="J638" s="23"/>
    </row>
    <row r="639" spans="1:10" s="26" customFormat="1">
      <c r="A639" s="25"/>
      <c r="B639" s="34">
        <v>7501025403058</v>
      </c>
      <c r="C639" s="35" t="s">
        <v>368</v>
      </c>
      <c r="D639" s="33">
        <f>55.8941*1.16</f>
        <v>64.837155999999993</v>
      </c>
      <c r="E639" s="45">
        <v>82.2</v>
      </c>
      <c r="F639" s="5">
        <f t="shared" si="110"/>
        <v>0.21122681265206822</v>
      </c>
      <c r="G639" s="33">
        <v>62.91</v>
      </c>
      <c r="H639" s="38">
        <v>69.900000000000006</v>
      </c>
      <c r="I639" s="4">
        <f t="shared" si="106"/>
        <v>0.10000000000000009</v>
      </c>
      <c r="J639" s="23">
        <f>+D639-G639</f>
        <v>1.9271559999999965</v>
      </c>
    </row>
    <row r="640" spans="1:10" s="26" customFormat="1">
      <c r="A640" s="7" t="s">
        <v>31</v>
      </c>
      <c r="B640" s="29">
        <v>7502247339385</v>
      </c>
      <c r="C640" s="28" t="s">
        <v>60</v>
      </c>
      <c r="D640" s="30">
        <v>126.6</v>
      </c>
      <c r="E640" s="45">
        <v>148.9</v>
      </c>
      <c r="F640" s="5">
        <f t="shared" si="110"/>
        <v>0.14976494291470788</v>
      </c>
      <c r="G640" s="30">
        <v>112.5</v>
      </c>
      <c r="H640" s="39">
        <v>129.9</v>
      </c>
      <c r="I640" s="4">
        <f t="shared" si="106"/>
        <v>0.13394919168591224</v>
      </c>
      <c r="J640" s="23"/>
    </row>
    <row r="641" spans="1:10" s="26" customFormat="1">
      <c r="A641" s="25"/>
      <c r="B641" s="34">
        <v>7502247334595</v>
      </c>
      <c r="C641" s="35" t="s">
        <v>61</v>
      </c>
      <c r="D641" s="30">
        <v>126.6</v>
      </c>
      <c r="E641" s="45">
        <v>148.9</v>
      </c>
      <c r="F641" s="5">
        <f t="shared" si="110"/>
        <v>0.14976494291470788</v>
      </c>
      <c r="G641" s="30">
        <v>112.5</v>
      </c>
      <c r="H641" s="39">
        <v>129.9</v>
      </c>
      <c r="I641" s="4">
        <f t="shared" si="106"/>
        <v>0.13394919168591224</v>
      </c>
      <c r="J641" s="23"/>
    </row>
    <row r="642" spans="1:10" s="26" customFormat="1">
      <c r="A642" s="7"/>
      <c r="B642" s="29">
        <v>7502247334601</v>
      </c>
      <c r="C642" s="28" t="s">
        <v>62</v>
      </c>
      <c r="D642" s="30">
        <v>126.6</v>
      </c>
      <c r="E642" s="45">
        <v>148.9</v>
      </c>
      <c r="F642" s="5">
        <f t="shared" si="110"/>
        <v>0.14976494291470788</v>
      </c>
      <c r="G642" s="30">
        <v>112.5</v>
      </c>
      <c r="H642" s="39">
        <v>129.9</v>
      </c>
      <c r="I642" s="4">
        <f t="shared" si="106"/>
        <v>0.13394919168591224</v>
      </c>
      <c r="J642" s="23"/>
    </row>
    <row r="643" spans="1:10" s="26" customFormat="1">
      <c r="A643" s="7"/>
      <c r="B643" s="29">
        <v>7502247334618</v>
      </c>
      <c r="C643" s="28" t="s">
        <v>63</v>
      </c>
      <c r="D643" s="30">
        <v>126.6</v>
      </c>
      <c r="E643" s="45">
        <v>148.9</v>
      </c>
      <c r="F643" s="5">
        <f t="shared" si="110"/>
        <v>0.14976494291470788</v>
      </c>
      <c r="G643" s="30">
        <v>112.5</v>
      </c>
      <c r="H643" s="39">
        <v>129.9</v>
      </c>
      <c r="I643" s="4">
        <f t="shared" si="106"/>
        <v>0.13394919168591224</v>
      </c>
      <c r="J643" s="23"/>
    </row>
    <row r="644" spans="1:10" s="26" customFormat="1">
      <c r="A644" s="7"/>
      <c r="B644" s="29"/>
      <c r="C644" s="28"/>
      <c r="D644" s="33"/>
      <c r="E644" s="45"/>
      <c r="F644" s="5" t="e">
        <f t="shared" si="110"/>
        <v>#DIV/0!</v>
      </c>
      <c r="G644" s="33"/>
      <c r="H644" s="38"/>
      <c r="I644" s="4" t="e">
        <f t="shared" ref="I644:I658" si="123">+((G644/H644)-1)*-1</f>
        <v>#DIV/0!</v>
      </c>
      <c r="J644" s="23"/>
    </row>
    <row r="645" spans="1:10" s="26" customFormat="1">
      <c r="A645" s="7" t="s">
        <v>167</v>
      </c>
      <c r="B645" s="29" t="s">
        <v>40</v>
      </c>
      <c r="C645" s="28" t="s">
        <v>57</v>
      </c>
      <c r="D645" s="30">
        <v>23.1</v>
      </c>
      <c r="E645" s="45">
        <v>27.2</v>
      </c>
      <c r="F645" s="5">
        <v>0.15073529411764697</v>
      </c>
      <c r="G645" s="30">
        <v>20.7</v>
      </c>
      <c r="H645" s="39">
        <v>23.9</v>
      </c>
      <c r="I645" s="4">
        <f t="shared" si="123"/>
        <v>0.13389121338912136</v>
      </c>
      <c r="J645" s="23"/>
    </row>
    <row r="646" spans="1:10" s="26" customFormat="1">
      <c r="A646" s="25"/>
      <c r="B646" s="34">
        <v>7502247338845</v>
      </c>
      <c r="C646" s="35" t="s">
        <v>212</v>
      </c>
      <c r="D646" s="33">
        <v>7.98</v>
      </c>
      <c r="E646" s="45">
        <v>9.4</v>
      </c>
      <c r="F646" s="5">
        <v>0.15106382978723398</v>
      </c>
      <c r="G646" s="33">
        <v>6.6120000000000001</v>
      </c>
      <c r="H646" s="38">
        <v>7.5</v>
      </c>
      <c r="I646" s="4">
        <f t="shared" si="123"/>
        <v>0.11839999999999995</v>
      </c>
      <c r="J646" s="23"/>
    </row>
    <row r="647" spans="1:10" s="26" customFormat="1">
      <c r="A647" s="7"/>
      <c r="B647" s="29" t="s">
        <v>41</v>
      </c>
      <c r="C647" s="28" t="s">
        <v>58</v>
      </c>
      <c r="D647" s="30">
        <v>23.1</v>
      </c>
      <c r="E647" s="45">
        <v>27.2</v>
      </c>
      <c r="F647" s="5">
        <v>0.15073529411764697</v>
      </c>
      <c r="G647" s="30">
        <v>20.71</v>
      </c>
      <c r="H647" s="39">
        <v>23.9</v>
      </c>
      <c r="I647" s="4">
        <f t="shared" si="123"/>
        <v>0.13347280334728029</v>
      </c>
      <c r="J647" s="23"/>
    </row>
    <row r="648" spans="1:10" s="26" customFormat="1">
      <c r="A648" s="25"/>
      <c r="B648" s="34">
        <v>7501943458499</v>
      </c>
      <c r="C648" s="35" t="s">
        <v>204</v>
      </c>
      <c r="D648" s="33">
        <v>6.45</v>
      </c>
      <c r="E648" s="45">
        <v>7.6</v>
      </c>
      <c r="F648" s="5">
        <v>0.15131578947368418</v>
      </c>
      <c r="G648" s="33">
        <v>5.2500439999999999</v>
      </c>
      <c r="H648" s="38">
        <v>5.9</v>
      </c>
      <c r="I648" s="4">
        <f t="shared" si="123"/>
        <v>0.11016203389830515</v>
      </c>
      <c r="J648" s="23"/>
    </row>
    <row r="649" spans="1:10" s="26" customFormat="1">
      <c r="A649" s="25"/>
      <c r="B649" s="34">
        <v>7506425605781</v>
      </c>
      <c r="C649" s="35" t="s">
        <v>350</v>
      </c>
      <c r="D649" s="33">
        <v>14.940799999999999</v>
      </c>
      <c r="E649" s="45">
        <v>19.899999999999999</v>
      </c>
      <c r="F649" s="5">
        <v>0.24920603015075371</v>
      </c>
      <c r="G649" s="33">
        <v>14.94</v>
      </c>
      <c r="H649" s="38">
        <v>16.5</v>
      </c>
      <c r="I649" s="4">
        <f t="shared" si="123"/>
        <v>9.4545454545454599E-2</v>
      </c>
      <c r="J649" s="23"/>
    </row>
    <row r="650" spans="1:10" s="26" customFormat="1">
      <c r="A650" s="7" t="s">
        <v>32</v>
      </c>
      <c r="B650" s="34">
        <v>7501071307775</v>
      </c>
      <c r="C650" s="35" t="s">
        <v>319</v>
      </c>
      <c r="D650" s="33">
        <v>14.09</v>
      </c>
      <c r="E650" s="45">
        <v>17.2</v>
      </c>
      <c r="F650" s="5">
        <f t="shared" ref="F650:F658" si="124">+((D650/E650)-1)*-1</f>
        <v>0.18081395348837204</v>
      </c>
      <c r="G650" s="33">
        <v>13.75</v>
      </c>
      <c r="H650" s="38">
        <v>15.5</v>
      </c>
      <c r="I650" s="4">
        <f t="shared" si="123"/>
        <v>0.11290322580645162</v>
      </c>
      <c r="J650" s="23">
        <f>+D650-G650</f>
        <v>0.33999999999999986</v>
      </c>
    </row>
    <row r="651" spans="1:10" s="26" customFormat="1">
      <c r="A651" s="25"/>
      <c r="B651" s="34">
        <v>7501071307782</v>
      </c>
      <c r="C651" s="35" t="s">
        <v>320</v>
      </c>
      <c r="D651" s="33">
        <v>14.126300000000001</v>
      </c>
      <c r="E651" s="45">
        <v>17.2</v>
      </c>
      <c r="F651" s="5">
        <f t="shared" si="124"/>
        <v>0.17870348837209293</v>
      </c>
      <c r="G651" s="33">
        <v>13.75</v>
      </c>
      <c r="H651" s="38">
        <v>15.5</v>
      </c>
      <c r="I651" s="4">
        <f t="shared" si="123"/>
        <v>0.11290322580645162</v>
      </c>
      <c r="J651" s="23"/>
    </row>
    <row r="652" spans="1:10" s="26" customFormat="1">
      <c r="A652" s="25"/>
      <c r="B652" s="34">
        <v>7501071307799</v>
      </c>
      <c r="C652" s="35" t="s">
        <v>321</v>
      </c>
      <c r="D652" s="33">
        <v>14.12</v>
      </c>
      <c r="E652" s="45">
        <v>17.2</v>
      </c>
      <c r="F652" s="5">
        <f t="shared" si="124"/>
        <v>0.17906976744186043</v>
      </c>
      <c r="G652" s="33">
        <v>13.75</v>
      </c>
      <c r="H652" s="38">
        <v>15.5</v>
      </c>
      <c r="I652" s="4">
        <f t="shared" si="123"/>
        <v>0.11290322580645162</v>
      </c>
      <c r="J652" s="23"/>
    </row>
    <row r="653" spans="1:10" s="26" customFormat="1">
      <c r="A653" s="7" t="s">
        <v>33</v>
      </c>
      <c r="B653" s="29"/>
      <c r="C653" s="28" t="s">
        <v>289</v>
      </c>
      <c r="D653" s="30">
        <v>4.95</v>
      </c>
      <c r="E653" s="45">
        <v>6.2</v>
      </c>
      <c r="F653" s="5">
        <f t="shared" si="124"/>
        <v>0.20161290322580649</v>
      </c>
      <c r="G653" s="30">
        <v>4.5999999999999996</v>
      </c>
      <c r="H653" s="39">
        <v>5.5</v>
      </c>
      <c r="I653" s="4">
        <f t="shared" si="123"/>
        <v>0.16363636363636369</v>
      </c>
      <c r="J653" s="23"/>
    </row>
    <row r="654" spans="1:10" s="26" customFormat="1">
      <c r="A654" s="7" t="s">
        <v>34</v>
      </c>
      <c r="B654" s="29">
        <v>7501003150219</v>
      </c>
      <c r="C654" s="28" t="s">
        <v>84</v>
      </c>
      <c r="D654" s="30">
        <v>18.399999999999999</v>
      </c>
      <c r="E654" s="45">
        <v>22.5</v>
      </c>
      <c r="F654" s="5">
        <f t="shared" si="124"/>
        <v>0.18222222222222229</v>
      </c>
      <c r="G654" s="30">
        <v>17.45</v>
      </c>
      <c r="H654" s="39">
        <v>19.899999999999999</v>
      </c>
      <c r="I654" s="4">
        <f t="shared" si="123"/>
        <v>0.12311557788944716</v>
      </c>
      <c r="J654" s="23">
        <f>+D654-G654</f>
        <v>0.94999999999999929</v>
      </c>
    </row>
    <row r="655" spans="1:10" s="26" customFormat="1">
      <c r="A655" s="7" t="s">
        <v>35</v>
      </c>
      <c r="B655" s="29">
        <v>75053901</v>
      </c>
      <c r="C655" s="28" t="s">
        <v>308</v>
      </c>
      <c r="D655" s="30">
        <v>12.37</v>
      </c>
      <c r="E655" s="45">
        <v>15.5</v>
      </c>
      <c r="F655" s="5">
        <f t="shared" si="124"/>
        <v>0.20193548387096782</v>
      </c>
      <c r="G655" s="30">
        <v>11.7</v>
      </c>
      <c r="H655" s="39">
        <v>13.5</v>
      </c>
      <c r="I655" s="4">
        <f t="shared" si="123"/>
        <v>0.13333333333333341</v>
      </c>
      <c r="J655" s="23"/>
    </row>
    <row r="656" spans="1:10" s="26" customFormat="1">
      <c r="A656" s="25"/>
      <c r="B656" s="34">
        <v>7501006585209</v>
      </c>
      <c r="C656" s="35" t="s">
        <v>307</v>
      </c>
      <c r="D656" s="33">
        <v>23.7</v>
      </c>
      <c r="E656" s="45">
        <v>28.9</v>
      </c>
      <c r="F656" s="5">
        <f t="shared" si="124"/>
        <v>0.17993079584775085</v>
      </c>
      <c r="G656" s="33">
        <v>22.5</v>
      </c>
      <c r="H656" s="38">
        <v>25.9</v>
      </c>
      <c r="I656" s="4">
        <f t="shared" si="123"/>
        <v>0.13127413127413123</v>
      </c>
      <c r="J656" s="23"/>
    </row>
    <row r="657" spans="1:10" s="26" customFormat="1">
      <c r="A657" s="25" t="s">
        <v>304</v>
      </c>
      <c r="B657" s="34"/>
      <c r="C657" s="35"/>
      <c r="D657" s="33"/>
      <c r="E657" s="45"/>
      <c r="F657" s="5" t="e">
        <f t="shared" si="124"/>
        <v>#DIV/0!</v>
      </c>
      <c r="G657" s="33"/>
      <c r="H657" s="38"/>
      <c r="I657" s="4" t="e">
        <f t="shared" si="123"/>
        <v>#DIV/0!</v>
      </c>
      <c r="J657" s="23"/>
    </row>
    <row r="658" spans="1:10" s="26" customFormat="1">
      <c r="A658" s="7" t="s">
        <v>36</v>
      </c>
      <c r="B658" s="29">
        <v>7501006532494</v>
      </c>
      <c r="C658" s="28" t="s">
        <v>130</v>
      </c>
      <c r="D658" s="30">
        <v>8.2899999999999991</v>
      </c>
      <c r="E658" s="45">
        <v>10.199999999999999</v>
      </c>
      <c r="F658" s="5">
        <f t="shared" si="124"/>
        <v>0.18725490196078431</v>
      </c>
      <c r="G658" s="30">
        <v>7.85</v>
      </c>
      <c r="H658" s="39">
        <v>8.9</v>
      </c>
      <c r="I658" s="4">
        <f t="shared" si="123"/>
        <v>0.11797752808988771</v>
      </c>
      <c r="J658" s="23"/>
    </row>
    <row r="659" spans="1:10" s="26" customFormat="1">
      <c r="A659" s="17" t="s">
        <v>37</v>
      </c>
      <c r="B659" s="14"/>
      <c r="C659" s="15"/>
      <c r="D659" s="13"/>
      <c r="E659" s="13"/>
      <c r="F659" s="5" t="e">
        <f t="shared" ref="F659" si="125">+((D659/E659)-1)*-1</f>
        <v>#DIV/0!</v>
      </c>
      <c r="G659" s="30"/>
      <c r="H659" s="39"/>
      <c r="I659" s="4" t="e">
        <f t="shared" ref="I659" si="126">+((G659/H659)-1)*-1</f>
        <v>#DIV/0!</v>
      </c>
      <c r="J659" s="23"/>
    </row>
    <row r="666" spans="1:10" s="26" customFormat="1" ht="15.75">
      <c r="A666" s="77" t="s">
        <v>332</v>
      </c>
      <c r="B666" s="77"/>
      <c r="C666" s="77"/>
    </row>
    <row r="667" spans="1:10" s="26" customFormat="1" ht="23.25" customHeight="1">
      <c r="A667" s="78" t="s">
        <v>385</v>
      </c>
      <c r="B667" s="78"/>
      <c r="C667" s="78"/>
      <c r="D667" s="79" t="s">
        <v>0</v>
      </c>
      <c r="E667" s="80"/>
      <c r="F667" s="81"/>
      <c r="G667" s="79" t="s">
        <v>1</v>
      </c>
      <c r="H667" s="80"/>
      <c r="I667" s="81"/>
    </row>
    <row r="668" spans="1:10" s="26" customFormat="1" ht="22.5">
      <c r="A668" s="41" t="s">
        <v>11</v>
      </c>
      <c r="B668" s="41" t="s">
        <v>2</v>
      </c>
      <c r="C668" s="41" t="s">
        <v>3</v>
      </c>
      <c r="D668" s="27" t="s">
        <v>4</v>
      </c>
      <c r="E668" s="27" t="s">
        <v>5</v>
      </c>
      <c r="F668" s="3" t="s">
        <v>6</v>
      </c>
      <c r="G668" s="27" t="s">
        <v>7</v>
      </c>
      <c r="H668" s="37" t="s">
        <v>8</v>
      </c>
      <c r="I668" s="3" t="s">
        <v>9</v>
      </c>
      <c r="J668" s="6" t="s">
        <v>10</v>
      </c>
    </row>
    <row r="669" spans="1:10" s="26" customFormat="1">
      <c r="A669" s="7"/>
      <c r="B669" s="52">
        <v>7501005151962</v>
      </c>
      <c r="C669" s="54" t="s">
        <v>381</v>
      </c>
      <c r="D669" s="45">
        <v>28.21</v>
      </c>
      <c r="E669" s="45">
        <v>34.4</v>
      </c>
      <c r="F669" s="5">
        <f t="shared" ref="F669:F743" si="127">+((D669/E669)-1)*-1</f>
        <v>0.17994186046511618</v>
      </c>
      <c r="G669" s="45">
        <f>+D669*0.85</f>
        <v>23.9785</v>
      </c>
      <c r="H669" s="39">
        <v>27.5</v>
      </c>
      <c r="I669" s="4">
        <f t="shared" ref="I669:I744" si="128">+((G669/H669)-1)*-1</f>
        <v>0.12805454545454542</v>
      </c>
      <c r="J669" s="23">
        <f t="shared" ref="J669:J673" si="129">+D669-G669</f>
        <v>4.2315000000000005</v>
      </c>
    </row>
    <row r="670" spans="1:10" s="26" customFormat="1">
      <c r="A670" s="7"/>
      <c r="B670" s="52">
        <v>7501005196499</v>
      </c>
      <c r="C670" s="54" t="s">
        <v>197</v>
      </c>
      <c r="D670" s="45">
        <v>27.3963</v>
      </c>
      <c r="E670" s="45">
        <v>33.4</v>
      </c>
      <c r="F670" s="5">
        <f t="shared" si="127"/>
        <v>0.17975149700598803</v>
      </c>
      <c r="G670" s="45">
        <f>+D670*0.85</f>
        <v>23.286854999999999</v>
      </c>
      <c r="H670" s="39">
        <v>26.5</v>
      </c>
      <c r="I670" s="4">
        <f t="shared" si="128"/>
        <v>0.12125075471698121</v>
      </c>
      <c r="J670" s="23">
        <f t="shared" si="129"/>
        <v>4.1094450000000009</v>
      </c>
    </row>
    <row r="671" spans="1:10" s="26" customFormat="1">
      <c r="A671" s="7"/>
      <c r="B671" s="52"/>
      <c r="C671" s="54" t="s">
        <v>382</v>
      </c>
      <c r="D671" s="45">
        <v>6.36</v>
      </c>
      <c r="E671" s="45">
        <v>7.8</v>
      </c>
      <c r="F671" s="5">
        <f t="shared" si="127"/>
        <v>0.18461538461538451</v>
      </c>
      <c r="G671" s="45">
        <v>5.85</v>
      </c>
      <c r="H671" s="39">
        <v>6.5</v>
      </c>
      <c r="I671" s="4">
        <f t="shared" si="128"/>
        <v>0.10000000000000009</v>
      </c>
      <c r="J671" s="23">
        <f t="shared" si="129"/>
        <v>0.51000000000000068</v>
      </c>
    </row>
    <row r="672" spans="1:10" s="26" customFormat="1">
      <c r="A672" s="25"/>
      <c r="B672" s="50">
        <v>7501468722228</v>
      </c>
      <c r="C672" s="54" t="s">
        <v>378</v>
      </c>
      <c r="D672" s="45">
        <v>17.5</v>
      </c>
      <c r="E672" s="45">
        <v>20.6</v>
      </c>
      <c r="F672" s="5">
        <f t="shared" si="127"/>
        <v>0.15048543689320393</v>
      </c>
      <c r="G672" s="45">
        <v>17</v>
      </c>
      <c r="H672" s="39">
        <v>18.899999999999999</v>
      </c>
      <c r="I672" s="4">
        <f t="shared" si="128"/>
        <v>0.10052910052910047</v>
      </c>
      <c r="J672" s="23">
        <f t="shared" si="129"/>
        <v>0.5</v>
      </c>
    </row>
    <row r="673" spans="1:10" s="26" customFormat="1">
      <c r="A673" s="25"/>
      <c r="B673" s="50">
        <v>75000615</v>
      </c>
      <c r="C673" s="54" t="s">
        <v>52</v>
      </c>
      <c r="D673" s="45">
        <f>11.93*1.16</f>
        <v>13.838799999999999</v>
      </c>
      <c r="E673" s="45">
        <v>17.3</v>
      </c>
      <c r="F673" s="5">
        <f t="shared" si="127"/>
        <v>0.20006936416184984</v>
      </c>
      <c r="G673" s="45">
        <v>12.51</v>
      </c>
      <c r="H673" s="39">
        <v>13.9</v>
      </c>
      <c r="I673" s="4">
        <f t="shared" si="128"/>
        <v>0.10000000000000009</v>
      </c>
      <c r="J673" s="23">
        <f t="shared" si="129"/>
        <v>1.3287999999999993</v>
      </c>
    </row>
    <row r="674" spans="1:10" s="26" customFormat="1">
      <c r="A674" s="25"/>
      <c r="B674" s="50">
        <v>7501025444969</v>
      </c>
      <c r="C674" s="54" t="s">
        <v>255</v>
      </c>
      <c r="D674" s="45">
        <f>10.91*1.16</f>
        <v>12.6556</v>
      </c>
      <c r="E674" s="45">
        <v>16.7</v>
      </c>
      <c r="F674" s="5">
        <f t="shared" si="127"/>
        <v>0.24217964071856291</v>
      </c>
      <c r="G674" s="45">
        <v>11.32</v>
      </c>
      <c r="H674" s="38">
        <v>12.9</v>
      </c>
      <c r="I674" s="4">
        <f t="shared" si="128"/>
        <v>0.1224806201550388</v>
      </c>
      <c r="J674" s="23">
        <f>+D674-G674</f>
        <v>1.3355999999999995</v>
      </c>
    </row>
    <row r="675" spans="1:10" s="26" customFormat="1">
      <c r="A675" s="25"/>
      <c r="B675" s="50">
        <v>7500435196253</v>
      </c>
      <c r="C675" s="54" t="s">
        <v>190</v>
      </c>
      <c r="D675" s="45">
        <f>17.63*1.16</f>
        <v>20.450799999999997</v>
      </c>
      <c r="E675" s="45">
        <v>25.9</v>
      </c>
      <c r="F675" s="5">
        <f t="shared" si="127"/>
        <v>0.21039382239382243</v>
      </c>
      <c r="G675" s="45">
        <v>19.271999999999998</v>
      </c>
      <c r="H675" s="38">
        <v>21.9</v>
      </c>
      <c r="I675" s="4">
        <f t="shared" si="128"/>
        <v>0.12</v>
      </c>
      <c r="J675" s="23">
        <f>+D675-G675</f>
        <v>1.178799999999999</v>
      </c>
    </row>
    <row r="676" spans="1:10" s="26" customFormat="1">
      <c r="A676" s="25"/>
      <c r="B676" s="50">
        <v>7500435196291</v>
      </c>
      <c r="C676" s="54" t="s">
        <v>188</v>
      </c>
      <c r="D676" s="45">
        <f t="shared" ref="D676:D678" si="130">17.63*1.16</f>
        <v>20.450799999999997</v>
      </c>
      <c r="E676" s="45">
        <v>25.9</v>
      </c>
      <c r="F676" s="5">
        <f t="shared" si="127"/>
        <v>0.21039382239382243</v>
      </c>
      <c r="G676" s="45">
        <v>19.271999999999998</v>
      </c>
      <c r="H676" s="38">
        <v>21.9</v>
      </c>
      <c r="I676" s="4">
        <f t="shared" si="128"/>
        <v>0.12</v>
      </c>
      <c r="J676" s="23">
        <f t="shared" ref="J676:J678" si="131">+D676-G676</f>
        <v>1.178799999999999</v>
      </c>
    </row>
    <row r="677" spans="1:10" s="26" customFormat="1">
      <c r="A677" s="25"/>
      <c r="B677" s="50">
        <v>7500435196260</v>
      </c>
      <c r="C677" s="54" t="s">
        <v>191</v>
      </c>
      <c r="D677" s="45">
        <f t="shared" si="130"/>
        <v>20.450799999999997</v>
      </c>
      <c r="E677" s="45">
        <v>25.9</v>
      </c>
      <c r="F677" s="5">
        <f t="shared" si="127"/>
        <v>0.21039382239382243</v>
      </c>
      <c r="G677" s="45">
        <v>19.271999999999998</v>
      </c>
      <c r="H677" s="38">
        <v>21.9</v>
      </c>
      <c r="I677" s="4">
        <f t="shared" si="128"/>
        <v>0.12</v>
      </c>
      <c r="J677" s="23">
        <f t="shared" si="131"/>
        <v>1.178799999999999</v>
      </c>
    </row>
    <row r="678" spans="1:10" s="26" customFormat="1">
      <c r="A678" s="25"/>
      <c r="B678" s="50">
        <v>7500435196277</v>
      </c>
      <c r="C678" s="54" t="s">
        <v>189</v>
      </c>
      <c r="D678" s="45">
        <f t="shared" si="130"/>
        <v>20.450799999999997</v>
      </c>
      <c r="E678" s="45">
        <v>25.9</v>
      </c>
      <c r="F678" s="5">
        <f t="shared" si="127"/>
        <v>0.21039382239382243</v>
      </c>
      <c r="G678" s="45">
        <v>19.271999999999998</v>
      </c>
      <c r="H678" s="38">
        <v>21.9</v>
      </c>
      <c r="I678" s="4">
        <f t="shared" si="128"/>
        <v>0.12</v>
      </c>
      <c r="J678" s="23">
        <f t="shared" si="131"/>
        <v>1.178799999999999</v>
      </c>
    </row>
    <row r="679" spans="1:10" s="26" customFormat="1">
      <c r="A679" s="25"/>
      <c r="B679" s="50"/>
      <c r="C679" s="54"/>
      <c r="D679" s="45"/>
      <c r="E679" s="45"/>
      <c r="F679" s="5" t="e">
        <f t="shared" si="127"/>
        <v>#DIV/0!</v>
      </c>
      <c r="G679" s="45"/>
      <c r="H679" s="38"/>
      <c r="I679" s="4" t="e">
        <f t="shared" si="128"/>
        <v>#DIV/0!</v>
      </c>
      <c r="J679" s="23"/>
    </row>
    <row r="680" spans="1:10" s="26" customFormat="1">
      <c r="A680" s="25"/>
      <c r="B680" s="50">
        <v>7500435193498</v>
      </c>
      <c r="C680" s="54" t="s">
        <v>275</v>
      </c>
      <c r="D680" s="45">
        <f>13.2517*1.16</f>
        <v>15.371971999999998</v>
      </c>
      <c r="E680" s="45">
        <v>19.899999999999999</v>
      </c>
      <c r="F680" s="5">
        <f t="shared" si="127"/>
        <v>0.22753909547738704</v>
      </c>
      <c r="G680" s="45">
        <v>14.87</v>
      </c>
      <c r="H680" s="38">
        <v>16.899999999999999</v>
      </c>
      <c r="I680" s="4">
        <f t="shared" si="128"/>
        <v>0.12011834319526626</v>
      </c>
      <c r="J680" s="23">
        <f t="shared" ref="J680:J682" si="132">+D680-G680</f>
        <v>0.50197199999999853</v>
      </c>
    </row>
    <row r="681" spans="1:10" s="26" customFormat="1">
      <c r="A681" s="25"/>
      <c r="B681" s="50">
        <v>7500435193481</v>
      </c>
      <c r="C681" s="54" t="s">
        <v>276</v>
      </c>
      <c r="D681" s="45">
        <f t="shared" ref="D681:D682" si="133">13.2517*1.16</f>
        <v>15.371971999999998</v>
      </c>
      <c r="E681" s="45">
        <v>19.899999999999999</v>
      </c>
      <c r="F681" s="5">
        <f t="shared" si="127"/>
        <v>0.22753909547738704</v>
      </c>
      <c r="G681" s="45">
        <v>14.87</v>
      </c>
      <c r="H681" s="38">
        <v>16.899999999999999</v>
      </c>
      <c r="I681" s="4">
        <f t="shared" si="128"/>
        <v>0.12011834319526626</v>
      </c>
      <c r="J681" s="23">
        <f t="shared" si="132"/>
        <v>0.50197199999999853</v>
      </c>
    </row>
    <row r="682" spans="1:10" s="26" customFormat="1">
      <c r="A682" s="25"/>
      <c r="B682" s="50">
        <v>7500435184434</v>
      </c>
      <c r="C682" s="54" t="s">
        <v>277</v>
      </c>
      <c r="D682" s="45">
        <f t="shared" si="133"/>
        <v>15.371971999999998</v>
      </c>
      <c r="E682" s="45">
        <v>19.899999999999999</v>
      </c>
      <c r="F682" s="5">
        <f t="shared" si="127"/>
        <v>0.22753909547738704</v>
      </c>
      <c r="G682" s="45">
        <v>14.87</v>
      </c>
      <c r="H682" s="38">
        <v>16.899999999999999</v>
      </c>
      <c r="I682" s="4">
        <f t="shared" si="128"/>
        <v>0.12011834319526626</v>
      </c>
      <c r="J682" s="23">
        <f t="shared" si="132"/>
        <v>0.50197199999999853</v>
      </c>
    </row>
    <row r="683" spans="1:10" s="26" customFormat="1">
      <c r="A683" s="25"/>
      <c r="B683" s="50"/>
      <c r="C683" s="54"/>
      <c r="D683" s="45"/>
      <c r="E683" s="45"/>
      <c r="F683" s="5" t="e">
        <f t="shared" si="127"/>
        <v>#DIV/0!</v>
      </c>
      <c r="G683" s="45"/>
      <c r="H683" s="38"/>
      <c r="I683" s="4" t="e">
        <f t="shared" si="128"/>
        <v>#DIV/0!</v>
      </c>
      <c r="J683" s="23"/>
    </row>
    <row r="684" spans="1:10" s="26" customFormat="1">
      <c r="A684" s="25"/>
      <c r="B684" s="50" t="s">
        <v>41</v>
      </c>
      <c r="C684" s="54" t="s">
        <v>58</v>
      </c>
      <c r="D684" s="45">
        <f>18.6379*1.16</f>
        <v>21.619963999999996</v>
      </c>
      <c r="E684" s="45">
        <v>27.2</v>
      </c>
      <c r="F684" s="5">
        <f t="shared" si="127"/>
        <v>0.20514838235294131</v>
      </c>
      <c r="G684" s="45">
        <f>+D684-1.27</f>
        <v>20.349963999999996</v>
      </c>
      <c r="H684" s="38">
        <v>22.5</v>
      </c>
      <c r="I684" s="4">
        <f t="shared" si="128"/>
        <v>9.5557155555555662E-2</v>
      </c>
      <c r="J684" s="23">
        <f t="shared" ref="J684" si="134">+D684-G684</f>
        <v>1.2699999999999996</v>
      </c>
    </row>
    <row r="685" spans="1:10" s="26" customFormat="1">
      <c r="A685" s="25"/>
      <c r="B685" s="50">
        <v>7506425602759</v>
      </c>
      <c r="C685" s="54" t="s">
        <v>91</v>
      </c>
      <c r="D685" s="45">
        <f>7.3973*1.16</f>
        <v>8.5808680000000006</v>
      </c>
      <c r="E685" s="45">
        <v>10.7</v>
      </c>
      <c r="F685" s="5">
        <f t="shared" si="127"/>
        <v>0.19804971962616813</v>
      </c>
      <c r="G685" s="45">
        <v>8</v>
      </c>
      <c r="H685" s="38">
        <v>8.9</v>
      </c>
      <c r="I685" s="4">
        <f t="shared" si="128"/>
        <v>0.101123595505618</v>
      </c>
      <c r="J685" s="23">
        <f>+D685-G685</f>
        <v>0.58086800000000061</v>
      </c>
    </row>
    <row r="686" spans="1:10" s="26" customFormat="1">
      <c r="A686" s="25"/>
      <c r="B686" s="83" t="s">
        <v>383</v>
      </c>
      <c r="C686" s="84"/>
      <c r="D686" s="45"/>
      <c r="E686" s="45"/>
      <c r="F686" s="5" t="e">
        <f t="shared" si="127"/>
        <v>#DIV/0!</v>
      </c>
      <c r="G686" s="45"/>
      <c r="H686" s="38"/>
      <c r="I686" s="4" t="e">
        <f t="shared" si="128"/>
        <v>#DIV/0!</v>
      </c>
      <c r="J686" s="23"/>
    </row>
    <row r="687" spans="1:10" s="26" customFormat="1">
      <c r="A687" s="17" t="s">
        <v>12</v>
      </c>
      <c r="B687" s="34">
        <v>7501119901057</v>
      </c>
      <c r="C687" s="35" t="s">
        <v>384</v>
      </c>
      <c r="D687" s="33">
        <v>15.6967</v>
      </c>
      <c r="E687" s="45">
        <v>17.899999999999999</v>
      </c>
      <c r="F687" s="5">
        <f t="shared" si="127"/>
        <v>0.12308938547486026</v>
      </c>
      <c r="G687" s="33">
        <v>11.67</v>
      </c>
      <c r="H687" s="39">
        <v>13.9</v>
      </c>
      <c r="I687" s="4">
        <f t="shared" si="128"/>
        <v>0.16043165467625897</v>
      </c>
      <c r="J687" s="23"/>
    </row>
    <row r="688" spans="1:10" s="26" customFormat="1">
      <c r="A688" s="25"/>
      <c r="B688" s="34">
        <v>7501039123027</v>
      </c>
      <c r="C688" s="44" t="s">
        <v>379</v>
      </c>
      <c r="D688" s="45">
        <v>36</v>
      </c>
      <c r="E688" s="45">
        <v>40.9</v>
      </c>
      <c r="F688" s="5">
        <f t="shared" si="127"/>
        <v>0.11980440097799505</v>
      </c>
      <c r="G688" s="45">
        <v>34</v>
      </c>
      <c r="H688" s="38">
        <v>37.9</v>
      </c>
      <c r="I688" s="4">
        <f t="shared" si="128"/>
        <v>0.1029023746701847</v>
      </c>
      <c r="J688" s="23"/>
    </row>
    <row r="689" spans="1:10" s="26" customFormat="1">
      <c r="A689" s="17" t="s">
        <v>13</v>
      </c>
      <c r="B689" s="34">
        <v>7501005151955</v>
      </c>
      <c r="C689" s="35" t="s">
        <v>198</v>
      </c>
      <c r="D689" s="33">
        <v>16.752099999999999</v>
      </c>
      <c r="E689" s="45">
        <v>20.5</v>
      </c>
      <c r="F689" s="5">
        <f t="shared" si="127"/>
        <v>0.18282439024390251</v>
      </c>
      <c r="G689" s="33">
        <f>+D689*0.85</f>
        <v>14.239284999999999</v>
      </c>
      <c r="H689" s="39">
        <v>16.5</v>
      </c>
      <c r="I689" s="4">
        <f t="shared" si="128"/>
        <v>0.13701303030303036</v>
      </c>
      <c r="J689" s="23">
        <f t="shared" ref="J689:J706" si="135">+D689-G689</f>
        <v>2.5128149999999998</v>
      </c>
    </row>
    <row r="690" spans="1:10" s="26" customFormat="1">
      <c r="A690" s="17" t="s">
        <v>14</v>
      </c>
      <c r="B690" s="34">
        <v>7501468711116</v>
      </c>
      <c r="C690" s="35" t="s">
        <v>87</v>
      </c>
      <c r="D690" s="33">
        <v>18.649999999999999</v>
      </c>
      <c r="E690" s="45">
        <v>21.2</v>
      </c>
      <c r="F690" s="5">
        <f t="shared" si="127"/>
        <v>0.12028301886792458</v>
      </c>
      <c r="G690" s="33">
        <v>18</v>
      </c>
      <c r="H690" s="39">
        <v>20.5</v>
      </c>
      <c r="I690" s="4">
        <f t="shared" si="128"/>
        <v>0.12195121951219512</v>
      </c>
      <c r="J690" s="23">
        <f t="shared" si="135"/>
        <v>0.64999999999999858</v>
      </c>
    </row>
    <row r="691" spans="1:10" s="26" customFormat="1">
      <c r="A691" s="17"/>
      <c r="B691" s="34">
        <v>7501214100232</v>
      </c>
      <c r="C691" s="35" t="s">
        <v>336</v>
      </c>
      <c r="D691" s="33">
        <v>28.35</v>
      </c>
      <c r="E691" s="45">
        <v>32.299999999999997</v>
      </c>
      <c r="F691" s="5">
        <f t="shared" si="127"/>
        <v>0.12229102167182648</v>
      </c>
      <c r="G691" s="33">
        <f>+D691-3</f>
        <v>25.35</v>
      </c>
      <c r="H691" s="39">
        <v>28.5</v>
      </c>
      <c r="I691" s="4">
        <f t="shared" si="128"/>
        <v>0.11052631578947358</v>
      </c>
      <c r="J691" s="23">
        <f t="shared" si="135"/>
        <v>3</v>
      </c>
    </row>
    <row r="692" spans="1:10" s="26" customFormat="1">
      <c r="A692" s="17"/>
      <c r="B692" s="34" t="s">
        <v>337</v>
      </c>
      <c r="C692" s="35" t="s">
        <v>338</v>
      </c>
      <c r="D692" s="33">
        <v>21.732800000000001</v>
      </c>
      <c r="E692" s="45">
        <v>24.7</v>
      </c>
      <c r="F692" s="5">
        <f t="shared" si="127"/>
        <v>0.12012955465587039</v>
      </c>
      <c r="G692" s="33">
        <f>+D692-3</f>
        <v>18.732800000000001</v>
      </c>
      <c r="H692" s="39">
        <v>20.9</v>
      </c>
      <c r="I692" s="4">
        <f t="shared" si="128"/>
        <v>0.10369377990430606</v>
      </c>
      <c r="J692" s="23">
        <f t="shared" si="135"/>
        <v>3</v>
      </c>
    </row>
    <row r="693" spans="1:10" s="26" customFormat="1">
      <c r="A693" s="7" t="s">
        <v>15</v>
      </c>
      <c r="B693" s="29"/>
      <c r="C693" s="47"/>
      <c r="D693" s="48"/>
      <c r="E693" s="45"/>
      <c r="F693" s="5" t="e">
        <f t="shared" si="127"/>
        <v>#DIV/0!</v>
      </c>
      <c r="G693" s="48"/>
      <c r="H693" s="49"/>
      <c r="I693" s="4" t="e">
        <f t="shared" si="128"/>
        <v>#DIV/0!</v>
      </c>
      <c r="J693" s="23">
        <f t="shared" si="135"/>
        <v>0</v>
      </c>
    </row>
    <row r="694" spans="1:10" s="26" customFormat="1">
      <c r="A694" s="7" t="s">
        <v>16</v>
      </c>
      <c r="B694" s="34">
        <v>75000622</v>
      </c>
      <c r="C694" s="35" t="s">
        <v>54</v>
      </c>
      <c r="D694" s="33">
        <f>20.89*1.16</f>
        <v>24.232399999999998</v>
      </c>
      <c r="E694" s="45">
        <v>30.3</v>
      </c>
      <c r="F694" s="5">
        <f t="shared" si="127"/>
        <v>0.20025082508250835</v>
      </c>
      <c r="G694" s="33">
        <f>+D694-1</f>
        <v>23.232399999999998</v>
      </c>
      <c r="H694" s="38">
        <v>25.9</v>
      </c>
      <c r="I694" s="4">
        <f t="shared" si="128"/>
        <v>0.10299613899613902</v>
      </c>
      <c r="J694" s="23">
        <f t="shared" si="135"/>
        <v>1</v>
      </c>
    </row>
    <row r="695" spans="1:10" s="26" customFormat="1">
      <c r="A695" s="7"/>
      <c r="B695" s="29">
        <v>7501025413019</v>
      </c>
      <c r="C695" s="28" t="s">
        <v>257</v>
      </c>
      <c r="D695" s="30">
        <v>19.8</v>
      </c>
      <c r="E695" s="45">
        <v>24.8</v>
      </c>
      <c r="F695" s="5">
        <f t="shared" si="127"/>
        <v>0.20161290322580649</v>
      </c>
      <c r="G695" s="30">
        <f>+D695-1</f>
        <v>18.8</v>
      </c>
      <c r="H695" s="39">
        <v>20.9</v>
      </c>
      <c r="I695" s="4">
        <f t="shared" si="128"/>
        <v>0.10047846889952139</v>
      </c>
      <c r="J695" s="23">
        <f t="shared" si="135"/>
        <v>1</v>
      </c>
    </row>
    <row r="696" spans="1:10" s="26" customFormat="1">
      <c r="A696" s="25"/>
      <c r="B696" s="34">
        <v>7501025414009</v>
      </c>
      <c r="C696" s="35" t="s">
        <v>258</v>
      </c>
      <c r="D696" s="30">
        <v>19.8</v>
      </c>
      <c r="E696" s="45">
        <v>24.8</v>
      </c>
      <c r="F696" s="5">
        <f t="shared" si="127"/>
        <v>0.20161290322580649</v>
      </c>
      <c r="G696" s="30">
        <f t="shared" ref="G696:G706" si="136">+D696-1</f>
        <v>18.8</v>
      </c>
      <c r="H696" s="39">
        <v>20.9</v>
      </c>
      <c r="I696" s="4">
        <f t="shared" si="128"/>
        <v>0.10047846889952139</v>
      </c>
      <c r="J696" s="23">
        <f t="shared" si="135"/>
        <v>1</v>
      </c>
    </row>
    <row r="697" spans="1:10" s="26" customFormat="1">
      <c r="A697" s="43"/>
      <c r="B697" s="34">
        <v>7501025413002</v>
      </c>
      <c r="C697" s="35" t="s">
        <v>256</v>
      </c>
      <c r="D697" s="30">
        <f>17.0688*1.16</f>
        <v>19.799807999999999</v>
      </c>
      <c r="E697" s="45">
        <v>24.8</v>
      </c>
      <c r="F697" s="5">
        <f t="shared" si="127"/>
        <v>0.20162064516129041</v>
      </c>
      <c r="G697" s="30">
        <f t="shared" si="136"/>
        <v>18.799807999999999</v>
      </c>
      <c r="H697" s="39">
        <v>20.9</v>
      </c>
      <c r="I697" s="4">
        <f t="shared" si="128"/>
        <v>0.10048765550239236</v>
      </c>
      <c r="J697" s="23">
        <f t="shared" si="135"/>
        <v>1</v>
      </c>
    </row>
    <row r="698" spans="1:10" s="26" customFormat="1">
      <c r="A698" s="7"/>
      <c r="B698" s="29">
        <v>7501025414030</v>
      </c>
      <c r="C698" s="28" t="s">
        <v>259</v>
      </c>
      <c r="D698" s="30">
        <f t="shared" ref="D698:D706" si="137">17.0688*1.16</f>
        <v>19.799807999999999</v>
      </c>
      <c r="E698" s="45">
        <v>24.8</v>
      </c>
      <c r="F698" s="5">
        <f t="shared" si="127"/>
        <v>0.20162064516129041</v>
      </c>
      <c r="G698" s="30">
        <f t="shared" si="136"/>
        <v>18.799807999999999</v>
      </c>
      <c r="H698" s="39">
        <v>20.9</v>
      </c>
      <c r="I698" s="4">
        <f t="shared" si="128"/>
        <v>0.10048765550239236</v>
      </c>
      <c r="J698" s="23">
        <f t="shared" si="135"/>
        <v>1</v>
      </c>
    </row>
    <row r="699" spans="1:10" s="26" customFormat="1">
      <c r="A699" s="7"/>
      <c r="B699" s="29">
        <v>7501025414054</v>
      </c>
      <c r="C699" s="28" t="s">
        <v>260</v>
      </c>
      <c r="D699" s="30">
        <f t="shared" si="137"/>
        <v>19.799807999999999</v>
      </c>
      <c r="E699" s="45">
        <v>24.8</v>
      </c>
      <c r="F699" s="5">
        <f t="shared" si="127"/>
        <v>0.20162064516129041</v>
      </c>
      <c r="G699" s="30">
        <f t="shared" si="136"/>
        <v>18.799807999999999</v>
      </c>
      <c r="H699" s="39">
        <v>20.9</v>
      </c>
      <c r="I699" s="4">
        <f t="shared" si="128"/>
        <v>0.10048765550239236</v>
      </c>
      <c r="J699" s="23">
        <f t="shared" si="135"/>
        <v>1</v>
      </c>
    </row>
    <row r="700" spans="1:10" s="26" customFormat="1">
      <c r="A700" s="7"/>
      <c r="B700" s="29">
        <v>7501025414108</v>
      </c>
      <c r="C700" s="28" t="s">
        <v>261</v>
      </c>
      <c r="D700" s="30">
        <f t="shared" si="137"/>
        <v>19.799807999999999</v>
      </c>
      <c r="E700" s="45">
        <v>24.8</v>
      </c>
      <c r="F700" s="5">
        <f t="shared" si="127"/>
        <v>0.20162064516129041</v>
      </c>
      <c r="G700" s="30">
        <f t="shared" si="136"/>
        <v>18.799807999999999</v>
      </c>
      <c r="H700" s="39">
        <v>20.9</v>
      </c>
      <c r="I700" s="4">
        <f t="shared" si="128"/>
        <v>0.10048765550239236</v>
      </c>
      <c r="J700" s="23">
        <f t="shared" si="135"/>
        <v>1</v>
      </c>
    </row>
    <row r="701" spans="1:10" s="26" customFormat="1">
      <c r="A701" s="7"/>
      <c r="B701" s="34">
        <v>7501025414153</v>
      </c>
      <c r="C701" s="35" t="s">
        <v>262</v>
      </c>
      <c r="D701" s="30">
        <f t="shared" si="137"/>
        <v>19.799807999999999</v>
      </c>
      <c r="E701" s="45">
        <v>24.8</v>
      </c>
      <c r="F701" s="5">
        <f t="shared" si="127"/>
        <v>0.20162064516129041</v>
      </c>
      <c r="G701" s="30">
        <f t="shared" si="136"/>
        <v>18.799807999999999</v>
      </c>
      <c r="H701" s="39">
        <v>20.9</v>
      </c>
      <c r="I701" s="4">
        <f t="shared" si="128"/>
        <v>0.10048765550239236</v>
      </c>
      <c r="J701" s="23">
        <f t="shared" si="135"/>
        <v>1</v>
      </c>
    </row>
    <row r="702" spans="1:10" s="26" customFormat="1">
      <c r="A702" s="25"/>
      <c r="B702" s="34">
        <v>7501025414207</v>
      </c>
      <c r="C702" s="35" t="s">
        <v>263</v>
      </c>
      <c r="D702" s="30">
        <f t="shared" si="137"/>
        <v>19.799807999999999</v>
      </c>
      <c r="E702" s="45">
        <v>24.8</v>
      </c>
      <c r="F702" s="5">
        <f t="shared" si="127"/>
        <v>0.20162064516129041</v>
      </c>
      <c r="G702" s="30">
        <f t="shared" si="136"/>
        <v>18.799807999999999</v>
      </c>
      <c r="H702" s="39">
        <v>20.9</v>
      </c>
      <c r="I702" s="4">
        <f t="shared" si="128"/>
        <v>0.10048765550239236</v>
      </c>
      <c r="J702" s="23">
        <f t="shared" si="135"/>
        <v>1</v>
      </c>
    </row>
    <row r="703" spans="1:10" s="26" customFormat="1">
      <c r="A703" s="7"/>
      <c r="B703" s="34">
        <v>7501025414351</v>
      </c>
      <c r="C703" s="35" t="s">
        <v>264</v>
      </c>
      <c r="D703" s="30">
        <f t="shared" si="137"/>
        <v>19.799807999999999</v>
      </c>
      <c r="E703" s="45">
        <v>24.8</v>
      </c>
      <c r="F703" s="5">
        <f t="shared" si="127"/>
        <v>0.20162064516129041</v>
      </c>
      <c r="G703" s="30">
        <f t="shared" si="136"/>
        <v>18.799807999999999</v>
      </c>
      <c r="H703" s="39">
        <v>20.9</v>
      </c>
      <c r="I703" s="4">
        <f t="shared" si="128"/>
        <v>0.10048765550239236</v>
      </c>
      <c r="J703" s="23">
        <f t="shared" si="135"/>
        <v>1</v>
      </c>
    </row>
    <row r="704" spans="1:10" s="26" customFormat="1">
      <c r="A704" s="7"/>
      <c r="B704" s="34">
        <v>7501025444365</v>
      </c>
      <c r="C704" s="35" t="s">
        <v>56</v>
      </c>
      <c r="D704" s="30">
        <f t="shared" si="137"/>
        <v>19.799807999999999</v>
      </c>
      <c r="E704" s="45">
        <v>24.8</v>
      </c>
      <c r="F704" s="5">
        <f t="shared" si="127"/>
        <v>0.20162064516129041</v>
      </c>
      <c r="G704" s="30">
        <f t="shared" si="136"/>
        <v>18.799807999999999</v>
      </c>
      <c r="H704" s="39">
        <v>20.9</v>
      </c>
      <c r="I704" s="4">
        <f t="shared" si="128"/>
        <v>0.10048765550239236</v>
      </c>
      <c r="J704" s="23">
        <f t="shared" si="135"/>
        <v>1</v>
      </c>
    </row>
    <row r="705" spans="1:10" s="26" customFormat="1">
      <c r="A705" s="7"/>
      <c r="B705" s="34">
        <v>7501025414450</v>
      </c>
      <c r="C705" s="35" t="s">
        <v>265</v>
      </c>
      <c r="D705" s="30">
        <f t="shared" si="137"/>
        <v>19.799807999999999</v>
      </c>
      <c r="E705" s="45">
        <v>24.8</v>
      </c>
      <c r="F705" s="5">
        <f t="shared" si="127"/>
        <v>0.20162064516129041</v>
      </c>
      <c r="G705" s="30">
        <f t="shared" si="136"/>
        <v>18.799807999999999</v>
      </c>
      <c r="H705" s="39">
        <v>20.9</v>
      </c>
      <c r="I705" s="4">
        <f t="shared" si="128"/>
        <v>0.10048765550239236</v>
      </c>
      <c r="J705" s="23">
        <f t="shared" si="135"/>
        <v>1</v>
      </c>
    </row>
    <row r="706" spans="1:10" s="26" customFormat="1">
      <c r="A706" s="7"/>
      <c r="B706" s="34">
        <v>7501025408084</v>
      </c>
      <c r="C706" s="35" t="s">
        <v>299</v>
      </c>
      <c r="D706" s="30">
        <f t="shared" si="137"/>
        <v>19.799807999999999</v>
      </c>
      <c r="E706" s="45">
        <v>24.8</v>
      </c>
      <c r="F706" s="5">
        <f t="shared" si="127"/>
        <v>0.20162064516129041</v>
      </c>
      <c r="G706" s="30">
        <f t="shared" si="136"/>
        <v>18.799807999999999</v>
      </c>
      <c r="H706" s="39">
        <v>20.9</v>
      </c>
      <c r="I706" s="4">
        <f t="shared" si="128"/>
        <v>0.10048765550239236</v>
      </c>
      <c r="J706" s="23">
        <f t="shared" si="135"/>
        <v>1</v>
      </c>
    </row>
    <row r="707" spans="1:10" s="26" customFormat="1">
      <c r="A707" s="7" t="s">
        <v>17</v>
      </c>
      <c r="B707" s="34"/>
      <c r="C707" s="35"/>
      <c r="D707" s="33"/>
      <c r="E707" s="45"/>
      <c r="F707" s="5" t="e">
        <f t="shared" si="127"/>
        <v>#DIV/0!</v>
      </c>
      <c r="G707" s="33"/>
      <c r="H707" s="38"/>
      <c r="I707" s="4" t="e">
        <f t="shared" si="128"/>
        <v>#DIV/0!</v>
      </c>
      <c r="J707" s="23"/>
    </row>
    <row r="708" spans="1:10" s="26" customFormat="1">
      <c r="A708" s="7" t="s">
        <v>169</v>
      </c>
      <c r="B708" s="34"/>
      <c r="C708" s="35"/>
      <c r="D708" s="33"/>
      <c r="E708" s="45"/>
      <c r="F708" s="5" t="e">
        <f t="shared" si="127"/>
        <v>#DIV/0!</v>
      </c>
      <c r="G708" s="33"/>
      <c r="H708" s="38"/>
      <c r="I708" s="4" t="e">
        <f t="shared" si="128"/>
        <v>#DIV/0!</v>
      </c>
      <c r="J708" s="23"/>
    </row>
    <row r="709" spans="1:10" s="26" customFormat="1">
      <c r="A709" s="7" t="s">
        <v>18</v>
      </c>
      <c r="B709" s="34"/>
      <c r="C709" s="35"/>
      <c r="D709" s="33"/>
      <c r="E709" s="45"/>
      <c r="F709" s="5" t="e">
        <f t="shared" si="127"/>
        <v>#DIV/0!</v>
      </c>
      <c r="G709" s="33"/>
      <c r="H709" s="38"/>
      <c r="I709" s="4" t="e">
        <f t="shared" si="128"/>
        <v>#DIV/0!</v>
      </c>
      <c r="J709" s="23"/>
    </row>
    <row r="710" spans="1:10" s="26" customFormat="1">
      <c r="A710" s="7" t="s">
        <v>19</v>
      </c>
      <c r="B710" s="34"/>
      <c r="C710" s="35"/>
      <c r="D710" s="33"/>
      <c r="E710" s="45"/>
      <c r="F710" s="5" t="e">
        <f t="shared" si="127"/>
        <v>#DIV/0!</v>
      </c>
      <c r="G710" s="33"/>
      <c r="H710" s="38"/>
      <c r="I710" s="4" t="e">
        <f t="shared" si="128"/>
        <v>#DIV/0!</v>
      </c>
      <c r="J710" s="23"/>
    </row>
    <row r="711" spans="1:10" s="26" customFormat="1">
      <c r="A711" s="7" t="s">
        <v>20</v>
      </c>
      <c r="B711" s="29"/>
      <c r="C711" s="28"/>
      <c r="D711" s="30"/>
      <c r="E711" s="45"/>
      <c r="F711" s="5" t="e">
        <f t="shared" si="127"/>
        <v>#DIV/0!</v>
      </c>
      <c r="G711" s="30"/>
      <c r="H711" s="39"/>
      <c r="I711" s="4" t="e">
        <f t="shared" si="128"/>
        <v>#DIV/0!</v>
      </c>
      <c r="J711" s="23">
        <f t="shared" ref="J711:J713" si="138">+D711-G711</f>
        <v>0</v>
      </c>
    </row>
    <row r="712" spans="1:10" s="26" customFormat="1">
      <c r="A712" s="7" t="s">
        <v>21</v>
      </c>
      <c r="B712" s="29">
        <v>7501005181365</v>
      </c>
      <c r="C712" s="28" t="s">
        <v>196</v>
      </c>
      <c r="D712" s="30">
        <v>17.134899999999998</v>
      </c>
      <c r="E712" s="45">
        <v>20.9</v>
      </c>
      <c r="F712" s="5">
        <f t="shared" si="127"/>
        <v>0.18014832535885172</v>
      </c>
      <c r="G712" s="30">
        <f>+D712*0.85</f>
        <v>14.564664999999998</v>
      </c>
      <c r="H712" s="39">
        <v>16.5</v>
      </c>
      <c r="I712" s="4">
        <f t="shared" si="128"/>
        <v>0.1172930303030304</v>
      </c>
      <c r="J712" s="23">
        <f t="shared" si="138"/>
        <v>2.5702350000000003</v>
      </c>
    </row>
    <row r="713" spans="1:10" s="26" customFormat="1">
      <c r="A713" s="25"/>
      <c r="B713" s="34">
        <v>7501005180269</v>
      </c>
      <c r="C713" s="35" t="s">
        <v>195</v>
      </c>
      <c r="D713" s="33">
        <v>11.43</v>
      </c>
      <c r="E713" s="45">
        <v>14.2</v>
      </c>
      <c r="F713" s="5">
        <f t="shared" si="127"/>
        <v>0.19507042253521123</v>
      </c>
      <c r="G713" s="33">
        <f>+D713*0.85</f>
        <v>9.7154999999999987</v>
      </c>
      <c r="H713" s="38">
        <v>10.9</v>
      </c>
      <c r="I713" s="4">
        <f t="shared" si="128"/>
        <v>0.1086697247706423</v>
      </c>
      <c r="J713" s="23">
        <f t="shared" si="138"/>
        <v>1.714500000000001</v>
      </c>
    </row>
    <row r="714" spans="1:10" s="26" customFormat="1">
      <c r="A714" s="7" t="s">
        <v>39</v>
      </c>
      <c r="B714" s="29">
        <v>7501045404400</v>
      </c>
      <c r="C714" s="28" t="s">
        <v>213</v>
      </c>
      <c r="D714" s="30">
        <v>11.22</v>
      </c>
      <c r="E714" s="45">
        <v>13.2</v>
      </c>
      <c r="F714" s="5">
        <f t="shared" si="127"/>
        <v>0.14999999999999991</v>
      </c>
      <c r="G714" s="30">
        <f>+D714*0.95</f>
        <v>10.659000000000001</v>
      </c>
      <c r="H714" s="39">
        <v>12.5</v>
      </c>
      <c r="I714" s="4">
        <f t="shared" si="128"/>
        <v>0.14727999999999997</v>
      </c>
      <c r="J714" s="23"/>
    </row>
    <row r="715" spans="1:10" s="26" customFormat="1">
      <c r="A715" s="25"/>
      <c r="B715" s="34">
        <v>7501045404417</v>
      </c>
      <c r="C715" s="35" t="s">
        <v>214</v>
      </c>
      <c r="D715" s="30">
        <v>11.22</v>
      </c>
      <c r="E715" s="45">
        <v>13.2</v>
      </c>
      <c r="F715" s="5">
        <f t="shared" si="127"/>
        <v>0.14999999999999991</v>
      </c>
      <c r="G715" s="30">
        <f>+D715*0.95</f>
        <v>10.659000000000001</v>
      </c>
      <c r="H715" s="38">
        <v>12.5</v>
      </c>
      <c r="I715" s="4">
        <f t="shared" si="128"/>
        <v>0.14727999999999997</v>
      </c>
      <c r="J715" s="23"/>
    </row>
    <row r="716" spans="1:10" s="26" customFormat="1">
      <c r="A716" s="7" t="s">
        <v>22</v>
      </c>
      <c r="B716" s="34"/>
      <c r="C716" s="35"/>
      <c r="D716" s="33"/>
      <c r="E716" s="45"/>
      <c r="F716" s="5" t="e">
        <f t="shared" si="127"/>
        <v>#DIV/0!</v>
      </c>
      <c r="G716" s="33"/>
      <c r="H716" s="38"/>
      <c r="I716" s="4" t="e">
        <f t="shared" si="128"/>
        <v>#DIV/0!</v>
      </c>
      <c r="J716" s="23">
        <f t="shared" ref="J716:J719" si="139">+D716-G716</f>
        <v>0</v>
      </c>
    </row>
    <row r="717" spans="1:10" s="26" customFormat="1">
      <c r="A717" s="7" t="s">
        <v>23</v>
      </c>
      <c r="B717" s="29"/>
      <c r="C717" s="28"/>
      <c r="D717" s="33"/>
      <c r="E717" s="45"/>
      <c r="F717" s="5" t="e">
        <f t="shared" si="127"/>
        <v>#DIV/0!</v>
      </c>
      <c r="G717" s="33"/>
      <c r="H717" s="38"/>
      <c r="I717" s="4" t="e">
        <f t="shared" si="128"/>
        <v>#DIV/0!</v>
      </c>
      <c r="J717" s="23">
        <f t="shared" si="139"/>
        <v>0</v>
      </c>
    </row>
    <row r="718" spans="1:10" s="26" customFormat="1">
      <c r="A718" s="7" t="s">
        <v>24</v>
      </c>
      <c r="B718" s="34">
        <v>7501008044698</v>
      </c>
      <c r="C718" s="35" t="s">
        <v>315</v>
      </c>
      <c r="D718" s="33">
        <f>37.55*1.08</f>
        <v>40.554000000000002</v>
      </c>
      <c r="E718" s="45">
        <v>49.5</v>
      </c>
      <c r="F718" s="5">
        <f t="shared" si="127"/>
        <v>0.18072727272727274</v>
      </c>
      <c r="G718" s="33">
        <v>36.498600000000003</v>
      </c>
      <c r="H718" s="38">
        <v>41.5</v>
      </c>
      <c r="I718" s="4">
        <f t="shared" si="128"/>
        <v>0.12051566265060232</v>
      </c>
      <c r="J718" s="23">
        <f t="shared" si="139"/>
        <v>4.0553999999999988</v>
      </c>
    </row>
    <row r="719" spans="1:10" s="26" customFormat="1">
      <c r="A719" s="25"/>
      <c r="B719" s="34">
        <v>7501008045091</v>
      </c>
      <c r="C719" s="35" t="s">
        <v>316</v>
      </c>
      <c r="D719" s="33">
        <f>53.18*1.08</f>
        <v>57.434400000000004</v>
      </c>
      <c r="E719" s="45">
        <v>69.900000000000006</v>
      </c>
      <c r="F719" s="5">
        <f t="shared" si="127"/>
        <v>0.1783347639484979</v>
      </c>
      <c r="G719" s="33">
        <v>51.690960000000004</v>
      </c>
      <c r="H719" s="38">
        <v>58.9</v>
      </c>
      <c r="I719" s="4">
        <f t="shared" si="128"/>
        <v>0.12239456706281826</v>
      </c>
      <c r="J719" s="23">
        <f t="shared" si="139"/>
        <v>5.7434399999999997</v>
      </c>
    </row>
    <row r="720" spans="1:10" s="26" customFormat="1">
      <c r="A720" s="7" t="s">
        <v>25</v>
      </c>
      <c r="B720" s="29">
        <v>7500478023899</v>
      </c>
      <c r="C720" s="28" t="s">
        <v>81</v>
      </c>
      <c r="D720" s="30">
        <v>19.46</v>
      </c>
      <c r="E720" s="45">
        <v>22.9</v>
      </c>
      <c r="F720" s="5">
        <f t="shared" si="127"/>
        <v>0.15021834061135364</v>
      </c>
      <c r="G720" s="33">
        <v>18</v>
      </c>
      <c r="H720" s="38">
        <v>20.5</v>
      </c>
      <c r="I720" s="4">
        <f t="shared" si="128"/>
        <v>0.12195121951219512</v>
      </c>
      <c r="J720" s="23"/>
    </row>
    <row r="721" spans="1:10" s="26" customFormat="1">
      <c r="A721" s="7"/>
      <c r="B721" s="29">
        <v>7501000655380</v>
      </c>
      <c r="C721" s="28" t="s">
        <v>317</v>
      </c>
      <c r="D721" s="30">
        <f>27.77*1.08</f>
        <v>29.991600000000002</v>
      </c>
      <c r="E721" s="45">
        <v>35.299999999999997</v>
      </c>
      <c r="F721" s="5">
        <f t="shared" si="127"/>
        <v>0.15037960339943335</v>
      </c>
      <c r="G721" s="30">
        <v>28.5</v>
      </c>
      <c r="H721" s="39">
        <v>32.5</v>
      </c>
      <c r="I721" s="4">
        <f t="shared" si="128"/>
        <v>0.12307692307692308</v>
      </c>
      <c r="J721" s="23"/>
    </row>
    <row r="722" spans="1:10" s="26" customFormat="1">
      <c r="A722" s="7"/>
      <c r="B722" s="29">
        <v>7501000616510</v>
      </c>
      <c r="C722" s="28" t="s">
        <v>318</v>
      </c>
      <c r="D722" s="30">
        <v>26.499960000000002</v>
      </c>
      <c r="E722" s="45">
        <v>33.200000000000003</v>
      </c>
      <c r="F722" s="5">
        <f t="shared" si="127"/>
        <v>0.20180843373493973</v>
      </c>
      <c r="G722" s="30">
        <v>25.95</v>
      </c>
      <c r="H722" s="39">
        <v>29.9</v>
      </c>
      <c r="I722" s="4">
        <f t="shared" si="128"/>
        <v>0.13210702341137126</v>
      </c>
      <c r="J722" s="23">
        <f t="shared" ref="J722:J735" si="140">+D722-G722</f>
        <v>0.54996000000000222</v>
      </c>
    </row>
    <row r="723" spans="1:10" s="26" customFormat="1">
      <c r="A723" s="7" t="s">
        <v>26</v>
      </c>
      <c r="B723" s="29">
        <v>7501404603116</v>
      </c>
      <c r="C723" s="28" t="s">
        <v>217</v>
      </c>
      <c r="D723" s="30">
        <v>15.56</v>
      </c>
      <c r="E723" s="45">
        <v>17.600000000000001</v>
      </c>
      <c r="F723" s="5">
        <f t="shared" si="127"/>
        <v>0.11590909090909096</v>
      </c>
      <c r="G723" s="30">
        <v>14.62</v>
      </c>
      <c r="H723" s="39">
        <v>16.899999999999999</v>
      </c>
      <c r="I723" s="4">
        <f t="shared" si="128"/>
        <v>0.13491124260355025</v>
      </c>
      <c r="J723" s="23">
        <f t="shared" si="140"/>
        <v>0.94000000000000128</v>
      </c>
    </row>
    <row r="724" spans="1:10" s="26" customFormat="1">
      <c r="A724" s="7" t="s">
        <v>27</v>
      </c>
      <c r="B724" s="63"/>
      <c r="C724" s="28"/>
      <c r="D724" s="30"/>
      <c r="E724" s="45"/>
      <c r="F724" s="5" t="e">
        <f t="shared" si="127"/>
        <v>#DIV/0!</v>
      </c>
      <c r="G724" s="30"/>
      <c r="H724" s="39"/>
      <c r="I724" s="4" t="e">
        <f t="shared" si="128"/>
        <v>#DIV/0!</v>
      </c>
      <c r="J724" s="23">
        <f t="shared" si="140"/>
        <v>0</v>
      </c>
    </row>
    <row r="725" spans="1:10" s="26" customFormat="1">
      <c r="A725" s="7" t="s">
        <v>28</v>
      </c>
      <c r="B725" s="28"/>
      <c r="C725" s="28"/>
      <c r="D725" s="30"/>
      <c r="E725" s="45"/>
      <c r="F725" s="5" t="e">
        <f t="shared" si="127"/>
        <v>#DIV/0!</v>
      </c>
      <c r="G725" s="30"/>
      <c r="H725" s="39"/>
      <c r="I725" s="4" t="e">
        <f t="shared" si="128"/>
        <v>#DIV/0!</v>
      </c>
      <c r="J725" s="23">
        <f t="shared" si="140"/>
        <v>0</v>
      </c>
    </row>
    <row r="726" spans="1:10" s="26" customFormat="1">
      <c r="A726" s="7" t="s">
        <v>29</v>
      </c>
      <c r="B726" s="29"/>
      <c r="C726" s="28"/>
      <c r="D726" s="30"/>
      <c r="E726" s="45"/>
      <c r="F726" s="5" t="e">
        <f t="shared" si="127"/>
        <v>#DIV/0!</v>
      </c>
      <c r="G726" s="30"/>
      <c r="H726" s="39"/>
      <c r="I726" s="4" t="e">
        <f t="shared" si="128"/>
        <v>#DIV/0!</v>
      </c>
      <c r="J726" s="23">
        <f t="shared" si="140"/>
        <v>0</v>
      </c>
    </row>
    <row r="727" spans="1:10" s="26" customFormat="1">
      <c r="A727" s="7" t="s">
        <v>30</v>
      </c>
      <c r="B727" s="29"/>
      <c r="C727" s="28"/>
      <c r="D727" s="30"/>
      <c r="E727" s="45"/>
      <c r="F727" s="5" t="e">
        <f t="shared" si="127"/>
        <v>#DIV/0!</v>
      </c>
      <c r="G727" s="30"/>
      <c r="H727" s="39"/>
      <c r="I727" s="4" t="e">
        <f t="shared" si="128"/>
        <v>#DIV/0!</v>
      </c>
      <c r="J727" s="23">
        <f t="shared" si="140"/>
        <v>0</v>
      </c>
    </row>
    <row r="728" spans="1:10" s="26" customFormat="1">
      <c r="A728" s="7" t="s">
        <v>38</v>
      </c>
      <c r="B728" s="29">
        <v>7501025403034</v>
      </c>
      <c r="C728" s="28" t="s">
        <v>55</v>
      </c>
      <c r="D728" s="30">
        <f>20.0527*1.16</f>
        <v>23.261132</v>
      </c>
      <c r="E728" s="45">
        <v>28.9</v>
      </c>
      <c r="F728" s="5">
        <f t="shared" si="127"/>
        <v>0.19511653979238752</v>
      </c>
      <c r="G728" s="30">
        <v>19.71</v>
      </c>
      <c r="H728" s="39">
        <v>21.9</v>
      </c>
      <c r="I728" s="4">
        <f t="shared" si="128"/>
        <v>9.9999999999999867E-2</v>
      </c>
      <c r="J728" s="23">
        <f t="shared" si="140"/>
        <v>3.5511319999999991</v>
      </c>
    </row>
    <row r="729" spans="1:10" s="26" customFormat="1">
      <c r="A729" s="7"/>
      <c r="B729" s="29">
        <v>7501025400088</v>
      </c>
      <c r="C729" s="28" t="s">
        <v>131</v>
      </c>
      <c r="D729" s="30">
        <f>16.45*1.16</f>
        <v>19.081999999999997</v>
      </c>
      <c r="E729" s="45">
        <v>23.9</v>
      </c>
      <c r="F729" s="5">
        <f t="shared" si="127"/>
        <v>0.20158995815899594</v>
      </c>
      <c r="G729" s="30">
        <v>17.559999999999999</v>
      </c>
      <c r="H729" s="39">
        <v>19.899999999999999</v>
      </c>
      <c r="I729" s="4">
        <f t="shared" si="128"/>
        <v>0.11758793969849246</v>
      </c>
      <c r="J729" s="23">
        <f t="shared" si="140"/>
        <v>1.5219999999999985</v>
      </c>
    </row>
    <row r="730" spans="1:10" s="26" customFormat="1">
      <c r="A730" s="7"/>
      <c r="B730" s="29">
        <v>7501025400118</v>
      </c>
      <c r="C730" s="28" t="s">
        <v>132</v>
      </c>
      <c r="D730" s="30">
        <f t="shared" ref="D730:D735" si="141">16.45*1.16</f>
        <v>19.081999999999997</v>
      </c>
      <c r="E730" s="45">
        <v>23.9</v>
      </c>
      <c r="F730" s="5">
        <f t="shared" si="127"/>
        <v>0.20158995815899594</v>
      </c>
      <c r="G730" s="30">
        <v>17.559999999999999</v>
      </c>
      <c r="H730" s="39">
        <v>19.899999999999999</v>
      </c>
      <c r="I730" s="4">
        <f t="shared" si="128"/>
        <v>0.11758793969849246</v>
      </c>
      <c r="J730" s="23">
        <f t="shared" si="140"/>
        <v>1.5219999999999985</v>
      </c>
    </row>
    <row r="731" spans="1:10" s="26" customFormat="1">
      <c r="A731" s="7"/>
      <c r="B731" s="29">
        <v>7501025400156</v>
      </c>
      <c r="C731" s="28" t="s">
        <v>133</v>
      </c>
      <c r="D731" s="30">
        <f t="shared" si="141"/>
        <v>19.081999999999997</v>
      </c>
      <c r="E731" s="45">
        <v>23.9</v>
      </c>
      <c r="F731" s="5">
        <f t="shared" si="127"/>
        <v>0.20158995815899594</v>
      </c>
      <c r="G731" s="30">
        <v>17.559999999999999</v>
      </c>
      <c r="H731" s="39">
        <v>19.899999999999999</v>
      </c>
      <c r="I731" s="4">
        <f t="shared" si="128"/>
        <v>0.11758793969849246</v>
      </c>
      <c r="J731" s="23">
        <f t="shared" si="140"/>
        <v>1.5219999999999985</v>
      </c>
    </row>
    <row r="732" spans="1:10" s="26" customFormat="1">
      <c r="A732" s="7"/>
      <c r="B732" s="29">
        <v>7501025400187</v>
      </c>
      <c r="C732" s="28" t="s">
        <v>134</v>
      </c>
      <c r="D732" s="30">
        <f t="shared" si="141"/>
        <v>19.081999999999997</v>
      </c>
      <c r="E732" s="45">
        <v>23.9</v>
      </c>
      <c r="F732" s="5">
        <f t="shared" si="127"/>
        <v>0.20158995815899594</v>
      </c>
      <c r="G732" s="30">
        <v>17.559999999999999</v>
      </c>
      <c r="H732" s="39">
        <v>19.899999999999999</v>
      </c>
      <c r="I732" s="4">
        <f t="shared" si="128"/>
        <v>0.11758793969849246</v>
      </c>
      <c r="J732" s="23">
        <f t="shared" si="140"/>
        <v>1.5219999999999985</v>
      </c>
    </row>
    <row r="733" spans="1:10" s="26" customFormat="1">
      <c r="A733" s="43"/>
      <c r="B733" s="34">
        <v>7501025403881</v>
      </c>
      <c r="C733" s="35" t="s">
        <v>135</v>
      </c>
      <c r="D733" s="30">
        <f t="shared" si="141"/>
        <v>19.081999999999997</v>
      </c>
      <c r="E733" s="45">
        <v>23.9</v>
      </c>
      <c r="F733" s="5">
        <f t="shared" si="127"/>
        <v>0.20158995815899594</v>
      </c>
      <c r="G733" s="30">
        <v>17.559999999999999</v>
      </c>
      <c r="H733" s="39">
        <v>19.899999999999999</v>
      </c>
      <c r="I733" s="4">
        <f t="shared" si="128"/>
        <v>0.11758793969849246</v>
      </c>
      <c r="J733" s="23">
        <f t="shared" si="140"/>
        <v>1.5219999999999985</v>
      </c>
    </row>
    <row r="734" spans="1:10" s="26" customFormat="1">
      <c r="A734" s="43"/>
      <c r="B734" s="34">
        <v>7501025403898</v>
      </c>
      <c r="C734" s="35" t="s">
        <v>136</v>
      </c>
      <c r="D734" s="30">
        <f t="shared" si="141"/>
        <v>19.081999999999997</v>
      </c>
      <c r="E734" s="45">
        <v>23.9</v>
      </c>
      <c r="F734" s="5">
        <f t="shared" si="127"/>
        <v>0.20158995815899594</v>
      </c>
      <c r="G734" s="30">
        <v>17.559999999999999</v>
      </c>
      <c r="H734" s="39">
        <v>19.899999999999999</v>
      </c>
      <c r="I734" s="4">
        <f t="shared" si="128"/>
        <v>0.11758793969849246</v>
      </c>
      <c r="J734" s="23">
        <f t="shared" si="140"/>
        <v>1.5219999999999985</v>
      </c>
    </row>
    <row r="735" spans="1:10" s="26" customFormat="1">
      <c r="A735" s="43"/>
      <c r="B735" s="34">
        <v>7501025403904</v>
      </c>
      <c r="C735" s="35" t="s">
        <v>137</v>
      </c>
      <c r="D735" s="30">
        <f t="shared" si="141"/>
        <v>19.081999999999997</v>
      </c>
      <c r="E735" s="45">
        <v>23.9</v>
      </c>
      <c r="F735" s="5">
        <f t="shared" si="127"/>
        <v>0.20158995815899594</v>
      </c>
      <c r="G735" s="30">
        <v>17.559999999999999</v>
      </c>
      <c r="H735" s="39">
        <v>19.899999999999999</v>
      </c>
      <c r="I735" s="4">
        <f t="shared" si="128"/>
        <v>0.11758793969849246</v>
      </c>
      <c r="J735" s="23">
        <f t="shared" si="140"/>
        <v>1.5219999999999985</v>
      </c>
    </row>
    <row r="736" spans="1:10" s="26" customFormat="1">
      <c r="A736" s="25"/>
      <c r="B736" s="34"/>
      <c r="C736" s="35"/>
      <c r="D736" s="33"/>
      <c r="E736" s="45"/>
      <c r="F736" s="5" t="e">
        <f t="shared" si="127"/>
        <v>#DIV/0!</v>
      </c>
      <c r="G736" s="33"/>
      <c r="H736" s="38"/>
      <c r="I736" s="4" t="e">
        <f t="shared" si="128"/>
        <v>#DIV/0!</v>
      </c>
      <c r="J736" s="23"/>
    </row>
    <row r="737" spans="1:10" s="26" customFormat="1">
      <c r="A737" s="25"/>
      <c r="B737" s="34">
        <v>7501035910034</v>
      </c>
      <c r="C737" s="35" t="s">
        <v>65</v>
      </c>
      <c r="D737" s="33">
        <f>22.3423*1.16</f>
        <v>25.917068</v>
      </c>
      <c r="E737" s="33">
        <v>31.6</v>
      </c>
      <c r="F737" s="5">
        <f t="shared" si="127"/>
        <v>0.17983962025316458</v>
      </c>
      <c r="G737" s="33">
        <v>22.41</v>
      </c>
      <c r="H737" s="38">
        <v>24.9</v>
      </c>
      <c r="I737" s="4">
        <f t="shared" si="128"/>
        <v>9.9999999999999978E-2</v>
      </c>
      <c r="J737" s="23"/>
    </row>
    <row r="738" spans="1:10" s="26" customFormat="1">
      <c r="A738" s="25"/>
      <c r="B738" s="34" t="s">
        <v>66</v>
      </c>
      <c r="C738" s="35" t="s">
        <v>67</v>
      </c>
      <c r="D738" s="33">
        <f t="shared" ref="D738:D742" si="142">22.3423*1.16</f>
        <v>25.917068</v>
      </c>
      <c r="E738" s="33">
        <v>31.6</v>
      </c>
      <c r="F738" s="5">
        <f t="shared" si="127"/>
        <v>0.17983962025316458</v>
      </c>
      <c r="G738" s="33">
        <v>22.41</v>
      </c>
      <c r="H738" s="38">
        <v>24.9</v>
      </c>
      <c r="I738" s="4">
        <f t="shared" si="128"/>
        <v>9.9999999999999978E-2</v>
      </c>
      <c r="J738" s="23"/>
    </row>
    <row r="739" spans="1:10" s="26" customFormat="1">
      <c r="A739" s="25"/>
      <c r="B739" s="34" t="s">
        <v>68</v>
      </c>
      <c r="C739" s="35" t="s">
        <v>69</v>
      </c>
      <c r="D739" s="33">
        <f t="shared" si="142"/>
        <v>25.917068</v>
      </c>
      <c r="E739" s="33">
        <v>31.6</v>
      </c>
      <c r="F739" s="5">
        <f t="shared" si="127"/>
        <v>0.17983962025316458</v>
      </c>
      <c r="G739" s="33">
        <v>22.41</v>
      </c>
      <c r="H739" s="38">
        <v>24.9</v>
      </c>
      <c r="I739" s="4">
        <f t="shared" si="128"/>
        <v>9.9999999999999978E-2</v>
      </c>
      <c r="J739" s="23"/>
    </row>
    <row r="740" spans="1:10" s="26" customFormat="1">
      <c r="A740" s="25"/>
      <c r="B740" s="34" t="s">
        <v>70</v>
      </c>
      <c r="C740" s="35" t="s">
        <v>71</v>
      </c>
      <c r="D740" s="33">
        <f t="shared" si="142"/>
        <v>25.917068</v>
      </c>
      <c r="E740" s="33">
        <v>31.6</v>
      </c>
      <c r="F740" s="5">
        <f t="shared" si="127"/>
        <v>0.17983962025316458</v>
      </c>
      <c r="G740" s="33">
        <v>22.41</v>
      </c>
      <c r="H740" s="38">
        <v>24.9</v>
      </c>
      <c r="I740" s="4">
        <f t="shared" si="128"/>
        <v>9.9999999999999978E-2</v>
      </c>
      <c r="J740" s="23"/>
    </row>
    <row r="741" spans="1:10" s="26" customFormat="1">
      <c r="A741" s="25"/>
      <c r="B741" s="34" t="s">
        <v>72</v>
      </c>
      <c r="C741" s="35" t="s">
        <v>73</v>
      </c>
      <c r="D741" s="33">
        <f t="shared" si="142"/>
        <v>25.917068</v>
      </c>
      <c r="E741" s="33">
        <v>31.6</v>
      </c>
      <c r="F741" s="5">
        <f t="shared" si="127"/>
        <v>0.17983962025316458</v>
      </c>
      <c r="G741" s="33">
        <v>22.41</v>
      </c>
      <c r="H741" s="38">
        <v>24.9</v>
      </c>
      <c r="I741" s="4">
        <f t="shared" si="128"/>
        <v>9.9999999999999978E-2</v>
      </c>
      <c r="J741" s="23"/>
    </row>
    <row r="742" spans="1:10" s="26" customFormat="1">
      <c r="A742" s="25"/>
      <c r="B742" s="34" t="s">
        <v>79</v>
      </c>
      <c r="C742" s="35" t="s">
        <v>80</v>
      </c>
      <c r="D742" s="33">
        <f t="shared" si="142"/>
        <v>25.917068</v>
      </c>
      <c r="E742" s="33">
        <v>31.6</v>
      </c>
      <c r="F742" s="5">
        <f t="shared" si="127"/>
        <v>0.17983962025316458</v>
      </c>
      <c r="G742" s="33">
        <v>22.41</v>
      </c>
      <c r="H742" s="38">
        <v>24.9</v>
      </c>
      <c r="I742" s="4">
        <f t="shared" si="128"/>
        <v>9.9999999999999978E-2</v>
      </c>
      <c r="J742" s="23"/>
    </row>
    <row r="743" spans="1:10" s="26" customFormat="1">
      <c r="A743" s="25"/>
      <c r="B743" s="34"/>
      <c r="C743" s="35"/>
      <c r="D743" s="33"/>
      <c r="E743" s="45"/>
      <c r="F743" s="5" t="e">
        <f t="shared" si="127"/>
        <v>#DIV/0!</v>
      </c>
      <c r="G743" s="33"/>
      <c r="H743" s="38"/>
      <c r="I743" s="4" t="e">
        <f t="shared" si="128"/>
        <v>#DIV/0!</v>
      </c>
      <c r="J743" s="23">
        <f t="shared" ref="J743:J752" si="143">+D743-G743</f>
        <v>0</v>
      </c>
    </row>
    <row r="744" spans="1:10" s="26" customFormat="1">
      <c r="A744" s="7" t="s">
        <v>31</v>
      </c>
      <c r="B744" s="29" t="s">
        <v>205</v>
      </c>
      <c r="C744" s="28" t="s">
        <v>206</v>
      </c>
      <c r="D744" s="30">
        <v>67.562972271590397</v>
      </c>
      <c r="E744" s="45">
        <v>82.8</v>
      </c>
      <c r="F744" s="5">
        <f t="shared" ref="F744:F759" si="144">+((D744/E744)-1)*-1</f>
        <v>0.18402207401460868</v>
      </c>
      <c r="G744" s="30">
        <v>64.18482365801087</v>
      </c>
      <c r="H744" s="39">
        <v>72.900000000000006</v>
      </c>
      <c r="I744" s="4">
        <f t="shared" si="128"/>
        <v>0.11954974406020757</v>
      </c>
      <c r="J744" s="23">
        <f t="shared" si="143"/>
        <v>3.3781486135795262</v>
      </c>
    </row>
    <row r="745" spans="1:10" s="26" customFormat="1">
      <c r="A745" s="25"/>
      <c r="B745" s="34" t="s">
        <v>207</v>
      </c>
      <c r="C745" s="35" t="s">
        <v>208</v>
      </c>
      <c r="D745" s="30">
        <v>84.345921315532792</v>
      </c>
      <c r="E745" s="45">
        <v>103.4</v>
      </c>
      <c r="F745" s="5">
        <f t="shared" si="144"/>
        <v>0.18427542248034057</v>
      </c>
      <c r="G745" s="30">
        <v>80.128625249756155</v>
      </c>
      <c r="H745" s="39">
        <v>91.9</v>
      </c>
      <c r="I745" s="4">
        <f t="shared" ref="I745:I759" si="145">+((G745/H745)-1)*-1</f>
        <v>0.12808895266859466</v>
      </c>
      <c r="J745" s="23">
        <f t="shared" si="143"/>
        <v>4.2172960657766367</v>
      </c>
    </row>
    <row r="746" spans="1:10" s="26" customFormat="1">
      <c r="A746" s="7"/>
      <c r="B746" s="29">
        <v>7502247330054</v>
      </c>
      <c r="C746" s="28" t="s">
        <v>209</v>
      </c>
      <c r="D746" s="30">
        <v>96.711337392001909</v>
      </c>
      <c r="E746" s="45">
        <v>118.5</v>
      </c>
      <c r="F746" s="5">
        <f t="shared" si="144"/>
        <v>0.18387057053162947</v>
      </c>
      <c r="G746" s="30">
        <v>91.875770522401808</v>
      </c>
      <c r="H746" s="39">
        <v>104.9</v>
      </c>
      <c r="I746" s="4">
        <f t="shared" si="145"/>
        <v>0.12415852695517826</v>
      </c>
      <c r="J746" s="23">
        <f t="shared" si="143"/>
        <v>4.8355668696001004</v>
      </c>
    </row>
    <row r="747" spans="1:10" s="26" customFormat="1">
      <c r="A747" s="7"/>
      <c r="B747" s="29" t="s">
        <v>210</v>
      </c>
      <c r="C747" s="28" t="s">
        <v>211</v>
      </c>
      <c r="D747" s="30">
        <v>101.56626680573952</v>
      </c>
      <c r="E747" s="45">
        <v>124.5</v>
      </c>
      <c r="F747" s="5">
        <f t="shared" si="144"/>
        <v>0.18420669232337739</v>
      </c>
      <c r="G747" s="30">
        <v>96.487953465452534</v>
      </c>
      <c r="H747" s="39">
        <v>109.9</v>
      </c>
      <c r="I747" s="4">
        <f t="shared" si="145"/>
        <v>0.12203863998678322</v>
      </c>
      <c r="J747" s="23">
        <f t="shared" si="143"/>
        <v>5.0783133402869822</v>
      </c>
    </row>
    <row r="748" spans="1:10" s="26" customFormat="1">
      <c r="A748" s="7" t="s">
        <v>167</v>
      </c>
      <c r="B748" s="29" t="s">
        <v>40</v>
      </c>
      <c r="C748" s="28" t="s">
        <v>57</v>
      </c>
      <c r="D748" s="30">
        <v>23.1</v>
      </c>
      <c r="E748" s="45">
        <v>27.2</v>
      </c>
      <c r="F748" s="5">
        <f t="shared" si="144"/>
        <v>0.15073529411764697</v>
      </c>
      <c r="G748" s="30">
        <v>20.7</v>
      </c>
      <c r="H748" s="39">
        <v>23.9</v>
      </c>
      <c r="I748" s="4">
        <f t="shared" si="145"/>
        <v>0.13389121338912136</v>
      </c>
      <c r="J748" s="23">
        <f t="shared" si="143"/>
        <v>2.4000000000000021</v>
      </c>
    </row>
    <row r="749" spans="1:10" s="26" customFormat="1">
      <c r="A749" s="25"/>
      <c r="B749" s="34">
        <v>7502247335677</v>
      </c>
      <c r="C749" s="35" t="s">
        <v>59</v>
      </c>
      <c r="D749" s="33">
        <v>18.45</v>
      </c>
      <c r="E749" s="45">
        <v>21.7</v>
      </c>
      <c r="F749" s="5">
        <f t="shared" si="144"/>
        <v>0.14976958525345618</v>
      </c>
      <c r="G749" s="33">
        <v>15.09</v>
      </c>
      <c r="H749" s="38">
        <v>16.899999999999999</v>
      </c>
      <c r="I749" s="42">
        <f t="shared" si="145"/>
        <v>0.1071005917159763</v>
      </c>
      <c r="J749" s="23">
        <f t="shared" si="143"/>
        <v>3.3599999999999994</v>
      </c>
    </row>
    <row r="750" spans="1:10" s="26" customFormat="1">
      <c r="A750" s="25"/>
      <c r="B750" s="34">
        <v>7502247338845</v>
      </c>
      <c r="C750" s="35" t="s">
        <v>212</v>
      </c>
      <c r="D750" s="33">
        <v>7.98</v>
      </c>
      <c r="E750" s="45">
        <v>9.4</v>
      </c>
      <c r="F750" s="5">
        <f t="shared" si="144"/>
        <v>0.15106382978723398</v>
      </c>
      <c r="G750" s="33">
        <f>5.82*1.16</f>
        <v>6.7511999999999999</v>
      </c>
      <c r="H750" s="38">
        <v>7.9</v>
      </c>
      <c r="I750" s="4">
        <f t="shared" si="145"/>
        <v>0.14541772151898735</v>
      </c>
      <c r="J750" s="23">
        <f t="shared" si="143"/>
        <v>1.2288000000000006</v>
      </c>
    </row>
    <row r="751" spans="1:10" s="26" customFormat="1">
      <c r="A751" s="25"/>
      <c r="B751" s="34">
        <v>7501943458499</v>
      </c>
      <c r="C751" s="35" t="s">
        <v>204</v>
      </c>
      <c r="D751" s="33">
        <v>6.45</v>
      </c>
      <c r="E751" s="45">
        <v>7.6</v>
      </c>
      <c r="F751" s="5">
        <f t="shared" si="144"/>
        <v>0.15131578947368418</v>
      </c>
      <c r="G751" s="33">
        <f>4.52*1.16</f>
        <v>5.243199999999999</v>
      </c>
      <c r="H751" s="38">
        <v>5.9</v>
      </c>
      <c r="I751" s="4">
        <f t="shared" si="145"/>
        <v>0.11132203389830531</v>
      </c>
      <c r="J751" s="23">
        <f t="shared" si="143"/>
        <v>1.2068000000000012</v>
      </c>
    </row>
    <row r="752" spans="1:10" s="26" customFormat="1">
      <c r="A752" s="25"/>
      <c r="B752" s="34">
        <v>7506425605781</v>
      </c>
      <c r="C752" s="35" t="s">
        <v>350</v>
      </c>
      <c r="D752" s="33">
        <v>14.940799999999999</v>
      </c>
      <c r="E752" s="45">
        <v>19.899999999999999</v>
      </c>
      <c r="F752" s="5">
        <f t="shared" si="144"/>
        <v>0.24920603015075371</v>
      </c>
      <c r="G752" s="33">
        <f>12.88*1.16</f>
        <v>14.940799999999999</v>
      </c>
      <c r="H752" s="38">
        <v>16.899999999999999</v>
      </c>
      <c r="I752" s="4">
        <f t="shared" si="145"/>
        <v>0.11592899408284019</v>
      </c>
      <c r="J752" s="23">
        <f t="shared" si="143"/>
        <v>0</v>
      </c>
    </row>
    <row r="753" spans="1:10" s="26" customFormat="1">
      <c r="A753" s="7" t="s">
        <v>32</v>
      </c>
      <c r="B753" s="34" t="s">
        <v>88</v>
      </c>
      <c r="C753" s="35" t="s">
        <v>89</v>
      </c>
      <c r="D753" s="33">
        <v>18.784099999999999</v>
      </c>
      <c r="E753" s="45">
        <v>23.5</v>
      </c>
      <c r="F753" s="5">
        <f t="shared" si="144"/>
        <v>0.20067659574468089</v>
      </c>
      <c r="G753" s="33">
        <v>17.010000000000002</v>
      </c>
      <c r="H753" s="38">
        <v>19.5</v>
      </c>
      <c r="I753" s="4">
        <f t="shared" si="145"/>
        <v>0.12769230769230766</v>
      </c>
      <c r="J753" s="23"/>
    </row>
    <row r="754" spans="1:10" s="26" customFormat="1">
      <c r="A754" s="7" t="s">
        <v>33</v>
      </c>
      <c r="B754" s="29"/>
      <c r="C754" s="28"/>
      <c r="D754" s="30"/>
      <c r="E754" s="45"/>
      <c r="F754" s="5" t="e">
        <f t="shared" si="144"/>
        <v>#DIV/0!</v>
      </c>
      <c r="G754" s="30"/>
      <c r="H754" s="39"/>
      <c r="I754" s="4" t="e">
        <f t="shared" si="145"/>
        <v>#DIV/0!</v>
      </c>
      <c r="J754" s="23">
        <f t="shared" ref="J754:J755" si="146">+D754-G754</f>
        <v>0</v>
      </c>
    </row>
    <row r="755" spans="1:10" s="26" customFormat="1">
      <c r="A755" s="7" t="s">
        <v>34</v>
      </c>
      <c r="B755" s="29"/>
      <c r="C755" s="28"/>
      <c r="D755" s="30"/>
      <c r="E755" s="45"/>
      <c r="F755" s="5" t="e">
        <f t="shared" si="144"/>
        <v>#DIV/0!</v>
      </c>
      <c r="G755" s="30"/>
      <c r="H755" s="39"/>
      <c r="I755" s="4" t="e">
        <f t="shared" si="145"/>
        <v>#DIV/0!</v>
      </c>
      <c r="J755" s="23">
        <f t="shared" si="146"/>
        <v>0</v>
      </c>
    </row>
    <row r="756" spans="1:10" s="26" customFormat="1">
      <c r="A756" s="7" t="s">
        <v>35</v>
      </c>
      <c r="B756" s="29">
        <v>75014339</v>
      </c>
      <c r="C756" s="28" t="s">
        <v>293</v>
      </c>
      <c r="D756" s="30">
        <v>10.320399999999999</v>
      </c>
      <c r="E756" s="45">
        <v>12.9</v>
      </c>
      <c r="F756" s="5">
        <f t="shared" si="144"/>
        <v>0.19996899224806208</v>
      </c>
      <c r="G756" s="30">
        <v>10.32</v>
      </c>
      <c r="H756" s="39">
        <v>11.9</v>
      </c>
      <c r="I756" s="4">
        <f t="shared" si="145"/>
        <v>0.13277310924369745</v>
      </c>
      <c r="J756" s="23"/>
    </row>
    <row r="757" spans="1:10" s="26" customFormat="1">
      <c r="A757" s="25" t="s">
        <v>304</v>
      </c>
      <c r="B757" s="34"/>
      <c r="C757" s="35"/>
      <c r="D757" s="33"/>
      <c r="E757" s="45"/>
      <c r="F757" s="5" t="e">
        <f t="shared" si="144"/>
        <v>#DIV/0!</v>
      </c>
      <c r="G757" s="33"/>
      <c r="H757" s="38"/>
      <c r="I757" s="4" t="e">
        <f t="shared" si="145"/>
        <v>#DIV/0!</v>
      </c>
      <c r="J757" s="23">
        <f t="shared" ref="J757:J759" si="147">+D757-G757</f>
        <v>0</v>
      </c>
    </row>
    <row r="758" spans="1:10" s="26" customFormat="1">
      <c r="A758" s="7" t="s">
        <v>36</v>
      </c>
      <c r="B758" s="29"/>
      <c r="C758" s="28"/>
      <c r="D758" s="30"/>
      <c r="E758" s="45"/>
      <c r="F758" s="5" t="e">
        <f t="shared" si="144"/>
        <v>#DIV/0!</v>
      </c>
      <c r="G758" s="30"/>
      <c r="H758" s="39"/>
      <c r="I758" s="4" t="e">
        <f t="shared" si="145"/>
        <v>#DIV/0!</v>
      </c>
      <c r="J758" s="23">
        <f t="shared" si="147"/>
        <v>0</v>
      </c>
    </row>
    <row r="759" spans="1:10" s="26" customFormat="1">
      <c r="A759" s="17" t="s">
        <v>37</v>
      </c>
      <c r="B759" s="14"/>
      <c r="C759" s="15"/>
      <c r="D759" s="13"/>
      <c r="E759" s="13"/>
      <c r="F759" s="5" t="e">
        <f t="shared" si="144"/>
        <v>#DIV/0!</v>
      </c>
      <c r="G759" s="30"/>
      <c r="H759" s="39"/>
      <c r="I759" s="4" t="e">
        <f t="shared" si="145"/>
        <v>#DIV/0!</v>
      </c>
      <c r="J759" s="23">
        <f t="shared" si="147"/>
        <v>0</v>
      </c>
    </row>
    <row r="764" spans="1:10" s="26" customFormat="1" ht="15.75">
      <c r="A764" s="77" t="s">
        <v>332</v>
      </c>
      <c r="B764" s="77"/>
      <c r="C764" s="77"/>
    </row>
    <row r="765" spans="1:10" s="26" customFormat="1" ht="23.25" customHeight="1">
      <c r="A765" s="78" t="s">
        <v>385</v>
      </c>
      <c r="B765" s="78"/>
      <c r="C765" s="78"/>
      <c r="D765" s="79" t="s">
        <v>0</v>
      </c>
      <c r="E765" s="80"/>
      <c r="F765" s="81"/>
      <c r="G765" s="79" t="s">
        <v>1</v>
      </c>
      <c r="H765" s="80"/>
      <c r="I765" s="81"/>
    </row>
    <row r="766" spans="1:10" s="26" customFormat="1" ht="22.5">
      <c r="A766" s="41" t="s">
        <v>11</v>
      </c>
      <c r="B766" s="41" t="s">
        <v>2</v>
      </c>
      <c r="C766" s="41" t="s">
        <v>3</v>
      </c>
      <c r="D766" s="27" t="s">
        <v>4</v>
      </c>
      <c r="E766" s="27" t="s">
        <v>5</v>
      </c>
      <c r="F766" s="3" t="s">
        <v>6</v>
      </c>
      <c r="G766" s="27" t="s">
        <v>7</v>
      </c>
      <c r="H766" s="37" t="s">
        <v>8</v>
      </c>
      <c r="I766" s="3" t="s">
        <v>9</v>
      </c>
      <c r="J766" s="6" t="s">
        <v>10</v>
      </c>
    </row>
    <row r="767" spans="1:10" s="26" customFormat="1">
      <c r="A767" s="7"/>
      <c r="B767" s="52">
        <v>7501039123027</v>
      </c>
      <c r="C767" s="54" t="s">
        <v>379</v>
      </c>
      <c r="D767" s="45">
        <v>36</v>
      </c>
      <c r="E767" s="45">
        <v>40.9</v>
      </c>
      <c r="F767" s="5">
        <f t="shared" ref="F767:F830" si="148">+((D767/E767)-1)*-1</f>
        <v>0.11980440097799505</v>
      </c>
      <c r="G767" s="45">
        <v>34</v>
      </c>
      <c r="H767" s="39">
        <v>37.9</v>
      </c>
      <c r="I767" s="4">
        <f t="shared" ref="I767:I830" si="149">+((G767/H767)-1)*-1</f>
        <v>0.1029023746701847</v>
      </c>
      <c r="J767" s="23">
        <f t="shared" ref="J767:J768" si="150">+D767-G767</f>
        <v>2</v>
      </c>
    </row>
    <row r="768" spans="1:10" s="26" customFormat="1">
      <c r="A768" s="7"/>
      <c r="B768" s="52"/>
      <c r="C768" s="54" t="s">
        <v>144</v>
      </c>
      <c r="D768" s="45">
        <v>5.42</v>
      </c>
      <c r="E768" s="45">
        <v>6.9</v>
      </c>
      <c r="F768" s="5">
        <f t="shared" si="148"/>
        <v>0.21449275362318843</v>
      </c>
      <c r="G768" s="45">
        <v>4.5999999999999996</v>
      </c>
      <c r="H768" s="39">
        <v>5.5</v>
      </c>
      <c r="I768" s="4">
        <f t="shared" si="149"/>
        <v>0.16363636363636369</v>
      </c>
      <c r="J768" s="23">
        <f t="shared" si="150"/>
        <v>0.82000000000000028</v>
      </c>
    </row>
    <row r="769" spans="1:10" s="26" customFormat="1">
      <c r="A769" s="25"/>
      <c r="B769" s="50">
        <v>7506425602759</v>
      </c>
      <c r="C769" s="54" t="s">
        <v>91</v>
      </c>
      <c r="D769" s="45">
        <f>7.6724*1.16</f>
        <v>8.8999839999999981</v>
      </c>
      <c r="E769" s="45">
        <v>11.2</v>
      </c>
      <c r="F769" s="5">
        <f t="shared" si="148"/>
        <v>0.2053585714285715</v>
      </c>
      <c r="G769" s="45">
        <v>8</v>
      </c>
      <c r="H769" s="38">
        <v>9.5</v>
      </c>
      <c r="I769" s="4">
        <f t="shared" si="149"/>
        <v>0.15789473684210531</v>
      </c>
      <c r="J769" s="23">
        <f>+D769-G769</f>
        <v>0.89998399999999812</v>
      </c>
    </row>
    <row r="770" spans="1:10" s="26" customFormat="1">
      <c r="A770" s="25"/>
      <c r="B770" s="50">
        <v>7501019035548</v>
      </c>
      <c r="C770" s="54" t="s">
        <v>392</v>
      </c>
      <c r="D770" s="45">
        <v>20.91</v>
      </c>
      <c r="E770" s="45">
        <v>24.6</v>
      </c>
      <c r="F770" s="5">
        <f t="shared" si="148"/>
        <v>0.15000000000000002</v>
      </c>
      <c r="G770" s="45">
        <v>16.5517</v>
      </c>
      <c r="H770" s="38">
        <v>18.899999999999999</v>
      </c>
      <c r="I770" s="4">
        <f t="shared" si="149"/>
        <v>0.12424867724867716</v>
      </c>
      <c r="J770" s="23"/>
    </row>
    <row r="771" spans="1:10" s="26" customFormat="1">
      <c r="A771" s="25"/>
      <c r="B771" s="50">
        <v>7501036622042</v>
      </c>
      <c r="C771" s="54" t="s">
        <v>393</v>
      </c>
      <c r="D771" s="45">
        <f>24.3534*1.16</f>
        <v>28.249943999999999</v>
      </c>
      <c r="E771" s="45">
        <v>33.299999999999997</v>
      </c>
      <c r="F771" s="5">
        <f t="shared" si="148"/>
        <v>0.15165333333333331</v>
      </c>
      <c r="G771" s="45">
        <f>+D771*0.85</f>
        <v>24.012452399999997</v>
      </c>
      <c r="H771" s="38">
        <v>27.9</v>
      </c>
      <c r="I771" s="4">
        <f t="shared" si="149"/>
        <v>0.13933862365591398</v>
      </c>
      <c r="J771" s="23"/>
    </row>
    <row r="772" spans="1:10" s="26" customFormat="1">
      <c r="A772" s="25"/>
      <c r="B772" s="50">
        <v>7500435193498</v>
      </c>
      <c r="C772" s="54" t="s">
        <v>275</v>
      </c>
      <c r="D772" s="45">
        <f>13.2517*1.16</f>
        <v>15.371971999999998</v>
      </c>
      <c r="E772" s="45">
        <v>19.899999999999999</v>
      </c>
      <c r="F772" s="5">
        <f t="shared" si="148"/>
        <v>0.22753909547738704</v>
      </c>
      <c r="G772" s="45">
        <v>14.87</v>
      </c>
      <c r="H772" s="38">
        <v>16.899999999999999</v>
      </c>
      <c r="I772" s="4">
        <f t="shared" si="149"/>
        <v>0.12011834319526626</v>
      </c>
      <c r="J772" s="23">
        <f t="shared" ref="J772:J774" si="151">+D772-G772</f>
        <v>0.50197199999999853</v>
      </c>
    </row>
    <row r="773" spans="1:10" s="26" customFormat="1">
      <c r="A773" s="25"/>
      <c r="B773" s="50">
        <v>7500435193481</v>
      </c>
      <c r="C773" s="54" t="s">
        <v>276</v>
      </c>
      <c r="D773" s="45">
        <f t="shared" ref="D773:D774" si="152">13.2517*1.16</f>
        <v>15.371971999999998</v>
      </c>
      <c r="E773" s="45">
        <v>19.899999999999999</v>
      </c>
      <c r="F773" s="5">
        <f t="shared" si="148"/>
        <v>0.22753909547738704</v>
      </c>
      <c r="G773" s="45">
        <v>14.87</v>
      </c>
      <c r="H773" s="38">
        <v>16.899999999999999</v>
      </c>
      <c r="I773" s="4">
        <f t="shared" si="149"/>
        <v>0.12011834319526626</v>
      </c>
      <c r="J773" s="23">
        <f t="shared" si="151"/>
        <v>0.50197199999999853</v>
      </c>
    </row>
    <row r="774" spans="1:10" s="26" customFormat="1">
      <c r="A774" s="25"/>
      <c r="B774" s="50">
        <v>7500435184434</v>
      </c>
      <c r="C774" s="54" t="s">
        <v>277</v>
      </c>
      <c r="D774" s="45">
        <f t="shared" si="152"/>
        <v>15.371971999999998</v>
      </c>
      <c r="E774" s="45">
        <v>19.899999999999999</v>
      </c>
      <c r="F774" s="5">
        <f t="shared" si="148"/>
        <v>0.22753909547738704</v>
      </c>
      <c r="G774" s="45">
        <v>14.87</v>
      </c>
      <c r="H774" s="38">
        <v>16.899999999999999</v>
      </c>
      <c r="I774" s="4">
        <f t="shared" si="149"/>
        <v>0.12011834319526626</v>
      </c>
      <c r="J774" s="23">
        <f t="shared" si="151"/>
        <v>0.50197199999999853</v>
      </c>
    </row>
    <row r="775" spans="1:10" s="26" customFormat="1">
      <c r="A775" s="17" t="s">
        <v>12</v>
      </c>
      <c r="B775" s="34"/>
      <c r="C775" s="35"/>
      <c r="D775" s="33"/>
      <c r="E775" s="45"/>
      <c r="F775" s="5" t="e">
        <f t="shared" si="148"/>
        <v>#DIV/0!</v>
      </c>
      <c r="G775" s="33"/>
      <c r="H775" s="39"/>
      <c r="I775" s="4" t="e">
        <f t="shared" si="149"/>
        <v>#DIV/0!</v>
      </c>
      <c r="J775" s="23"/>
    </row>
    <row r="776" spans="1:10" s="26" customFormat="1">
      <c r="A776" s="17" t="s">
        <v>13</v>
      </c>
      <c r="B776" s="34">
        <v>608875001216</v>
      </c>
      <c r="C776" s="35" t="s">
        <v>327</v>
      </c>
      <c r="D776" s="33">
        <v>25.125</v>
      </c>
      <c r="E776" s="45">
        <v>30.6</v>
      </c>
      <c r="F776" s="5">
        <f t="shared" si="148"/>
        <v>0.17892156862745101</v>
      </c>
      <c r="G776" s="33">
        <v>21.36</v>
      </c>
      <c r="H776" s="39">
        <v>24.5</v>
      </c>
      <c r="I776" s="4">
        <f t="shared" si="149"/>
        <v>0.12816326530612243</v>
      </c>
      <c r="J776" s="23">
        <f t="shared" ref="J776:J781" si="153">+D776-G776</f>
        <v>3.7650000000000006</v>
      </c>
    </row>
    <row r="777" spans="1:10" s="26" customFormat="1">
      <c r="A777" s="17" t="s">
        <v>14</v>
      </c>
      <c r="B777" s="34">
        <v>7501468711116</v>
      </c>
      <c r="C777" s="35" t="s">
        <v>87</v>
      </c>
      <c r="D777" s="33">
        <v>18.649999999999999</v>
      </c>
      <c r="E777" s="45">
        <v>21.2</v>
      </c>
      <c r="F777" s="5">
        <f t="shared" si="148"/>
        <v>0.12028301886792458</v>
      </c>
      <c r="G777" s="33">
        <v>18</v>
      </c>
      <c r="H777" s="39">
        <v>20.5</v>
      </c>
      <c r="I777" s="4">
        <f t="shared" si="149"/>
        <v>0.12195121951219512</v>
      </c>
      <c r="J777" s="23">
        <f t="shared" si="153"/>
        <v>0.64999999999999858</v>
      </c>
    </row>
    <row r="778" spans="1:10" s="26" customFormat="1">
      <c r="A778" s="17"/>
      <c r="B778" s="34">
        <v>7501468777778</v>
      </c>
      <c r="C778" s="35" t="s">
        <v>86</v>
      </c>
      <c r="D778" s="33">
        <v>16</v>
      </c>
      <c r="E778" s="45">
        <v>18.399999999999999</v>
      </c>
      <c r="F778" s="5">
        <f t="shared" si="148"/>
        <v>0.13043478260869557</v>
      </c>
      <c r="G778" s="33">
        <v>15</v>
      </c>
      <c r="H778" s="39">
        <v>16.899999999999999</v>
      </c>
      <c r="I778" s="4">
        <f t="shared" si="149"/>
        <v>0.11242603550295849</v>
      </c>
      <c r="J778" s="23">
        <f t="shared" si="153"/>
        <v>1</v>
      </c>
    </row>
    <row r="779" spans="1:10" s="26" customFormat="1">
      <c r="A779" s="7" t="s">
        <v>15</v>
      </c>
      <c r="B779" s="29"/>
      <c r="C779" s="47"/>
      <c r="D779" s="48"/>
      <c r="E779" s="45"/>
      <c r="F779" s="5" t="e">
        <f t="shared" si="148"/>
        <v>#DIV/0!</v>
      </c>
      <c r="G779" s="48"/>
      <c r="H779" s="49"/>
      <c r="I779" s="4" t="e">
        <f t="shared" si="149"/>
        <v>#DIV/0!</v>
      </c>
      <c r="J779" s="23">
        <f t="shared" si="153"/>
        <v>0</v>
      </c>
    </row>
    <row r="780" spans="1:10" s="26" customFormat="1">
      <c r="A780" s="7" t="s">
        <v>16</v>
      </c>
      <c r="B780" s="34">
        <v>75000615</v>
      </c>
      <c r="C780" s="35" t="s">
        <v>52</v>
      </c>
      <c r="D780" s="33">
        <f>11.93*1.16</f>
        <v>13.838799999999999</v>
      </c>
      <c r="E780" s="45">
        <v>17.3</v>
      </c>
      <c r="F780" s="5">
        <f t="shared" si="148"/>
        <v>0.20006936416184984</v>
      </c>
      <c r="G780" s="33">
        <v>12.5</v>
      </c>
      <c r="H780" s="38">
        <v>13.9</v>
      </c>
      <c r="I780" s="4">
        <f t="shared" si="149"/>
        <v>0.10071942446043169</v>
      </c>
      <c r="J780" s="23">
        <f t="shared" si="153"/>
        <v>1.3387999999999991</v>
      </c>
    </row>
    <row r="781" spans="1:10" s="26" customFormat="1">
      <c r="A781" s="7"/>
      <c r="B781" s="34">
        <v>7501025444969</v>
      </c>
      <c r="C781" s="35" t="s">
        <v>255</v>
      </c>
      <c r="D781" s="33">
        <f>10.9*1.16</f>
        <v>12.644</v>
      </c>
      <c r="E781" s="45">
        <v>16.7</v>
      </c>
      <c r="F781" s="5">
        <f t="shared" si="148"/>
        <v>0.24287425149700592</v>
      </c>
      <c r="G781" s="33">
        <v>11.352</v>
      </c>
      <c r="H781" s="38">
        <v>12.9</v>
      </c>
      <c r="I781" s="4">
        <f t="shared" si="149"/>
        <v>0.12</v>
      </c>
      <c r="J781" s="23">
        <f t="shared" si="153"/>
        <v>1.2919999999999998</v>
      </c>
    </row>
    <row r="782" spans="1:10" s="26" customFormat="1">
      <c r="A782" s="25"/>
      <c r="B782" s="34"/>
      <c r="C782" s="35"/>
      <c r="D782" s="33"/>
      <c r="E782" s="45"/>
      <c r="F782" s="5" t="e">
        <f t="shared" si="148"/>
        <v>#DIV/0!</v>
      </c>
      <c r="G782" s="33"/>
      <c r="H782" s="38"/>
      <c r="I782" s="4" t="e">
        <f t="shared" si="149"/>
        <v>#DIV/0!</v>
      </c>
      <c r="J782" s="23"/>
    </row>
    <row r="783" spans="1:10" s="26" customFormat="1">
      <c r="A783" s="25"/>
      <c r="B783" s="34">
        <v>7509546016306</v>
      </c>
      <c r="C783" s="35" t="s">
        <v>271</v>
      </c>
      <c r="D783" s="30">
        <v>25.1</v>
      </c>
      <c r="E783" s="45">
        <v>31.3</v>
      </c>
      <c r="F783" s="5">
        <f t="shared" si="148"/>
        <v>0.19808306709265178</v>
      </c>
      <c r="G783" s="30">
        <f>15.5388*1.16</f>
        <v>18.025008</v>
      </c>
      <c r="H783" s="39">
        <v>20.5</v>
      </c>
      <c r="I783" s="4">
        <f t="shared" si="149"/>
        <v>0.12073131707317075</v>
      </c>
      <c r="J783" s="23"/>
    </row>
    <row r="784" spans="1:10" s="26" customFormat="1">
      <c r="A784" s="43"/>
      <c r="B784" s="34">
        <v>7509546016313</v>
      </c>
      <c r="C784" s="35" t="s">
        <v>272</v>
      </c>
      <c r="D784" s="30">
        <v>25.1</v>
      </c>
      <c r="E784" s="45">
        <v>31.3</v>
      </c>
      <c r="F784" s="5">
        <f t="shared" si="148"/>
        <v>0.19808306709265178</v>
      </c>
      <c r="G784" s="30">
        <f t="shared" ref="G784:G786" si="154">15.5388*1.16</f>
        <v>18.025008</v>
      </c>
      <c r="H784" s="39">
        <v>20.5</v>
      </c>
      <c r="I784" s="4">
        <f t="shared" si="149"/>
        <v>0.12073131707317075</v>
      </c>
      <c r="J784" s="23"/>
    </row>
    <row r="785" spans="1:10" s="26" customFormat="1">
      <c r="A785" s="7"/>
      <c r="B785" s="29">
        <v>7509546043579</v>
      </c>
      <c r="C785" s="28" t="s">
        <v>273</v>
      </c>
      <c r="D785" s="30">
        <v>25.1</v>
      </c>
      <c r="E785" s="45">
        <v>31.3</v>
      </c>
      <c r="F785" s="5">
        <f t="shared" si="148"/>
        <v>0.19808306709265178</v>
      </c>
      <c r="G785" s="30">
        <f t="shared" si="154"/>
        <v>18.025008</v>
      </c>
      <c r="H785" s="39">
        <v>20.5</v>
      </c>
      <c r="I785" s="4">
        <f t="shared" si="149"/>
        <v>0.12073131707317075</v>
      </c>
      <c r="J785" s="23"/>
    </row>
    <row r="786" spans="1:10" s="26" customFormat="1">
      <c r="A786" s="7"/>
      <c r="B786" s="29">
        <v>7509546050102</v>
      </c>
      <c r="C786" s="28" t="s">
        <v>274</v>
      </c>
      <c r="D786" s="30">
        <v>25.1</v>
      </c>
      <c r="E786" s="45">
        <v>31.3</v>
      </c>
      <c r="F786" s="5">
        <f t="shared" si="148"/>
        <v>0.19808306709265178</v>
      </c>
      <c r="G786" s="30">
        <f t="shared" si="154"/>
        <v>18.025008</v>
      </c>
      <c r="H786" s="39">
        <v>20.5</v>
      </c>
      <c r="I786" s="4">
        <f t="shared" si="149"/>
        <v>0.12073131707317075</v>
      </c>
      <c r="J786" s="23"/>
    </row>
    <row r="787" spans="1:10" s="26" customFormat="1">
      <c r="A787" s="7" t="s">
        <v>17</v>
      </c>
      <c r="B787" s="34"/>
      <c r="C787" s="35"/>
      <c r="D787" s="33"/>
      <c r="E787" s="45"/>
      <c r="F787" s="5" t="e">
        <f t="shared" si="148"/>
        <v>#DIV/0!</v>
      </c>
      <c r="G787" s="33"/>
      <c r="H787" s="38"/>
      <c r="I787" s="4" t="e">
        <f t="shared" si="149"/>
        <v>#DIV/0!</v>
      </c>
      <c r="J787" s="23"/>
    </row>
    <row r="788" spans="1:10" s="26" customFormat="1">
      <c r="A788" s="7" t="s">
        <v>169</v>
      </c>
      <c r="B788" s="34"/>
      <c r="C788" s="35"/>
      <c r="D788" s="33"/>
      <c r="E788" s="45"/>
      <c r="F788" s="5" t="e">
        <f t="shared" si="148"/>
        <v>#DIV/0!</v>
      </c>
      <c r="G788" s="33"/>
      <c r="H788" s="38"/>
      <c r="I788" s="4" t="e">
        <f t="shared" si="149"/>
        <v>#DIV/0!</v>
      </c>
      <c r="J788" s="23"/>
    </row>
    <row r="789" spans="1:10" s="26" customFormat="1">
      <c r="A789" s="7" t="s">
        <v>18</v>
      </c>
      <c r="B789" s="34">
        <v>7501001600426</v>
      </c>
      <c r="C789" s="35" t="s">
        <v>278</v>
      </c>
      <c r="D789" s="33">
        <v>13.92</v>
      </c>
      <c r="E789" s="45">
        <v>17.399999999999999</v>
      </c>
      <c r="F789" s="5">
        <f t="shared" si="148"/>
        <v>0.19999999999999996</v>
      </c>
      <c r="G789" s="33">
        <v>12.76</v>
      </c>
      <c r="H789" s="38">
        <v>14.5</v>
      </c>
      <c r="I789" s="4">
        <f t="shared" si="149"/>
        <v>0.12</v>
      </c>
      <c r="J789" s="23">
        <f>+D789-G789</f>
        <v>1.1600000000000001</v>
      </c>
    </row>
    <row r="790" spans="1:10" s="26" customFormat="1">
      <c r="A790" s="25"/>
      <c r="B790" s="34">
        <v>7501058619228</v>
      </c>
      <c r="C790" s="35" t="s">
        <v>386</v>
      </c>
      <c r="D790" s="33">
        <v>26.98</v>
      </c>
      <c r="E790" s="45">
        <v>33.700000000000003</v>
      </c>
      <c r="F790" s="5">
        <f t="shared" si="148"/>
        <v>0.199406528189911</v>
      </c>
      <c r="G790" s="33">
        <v>24.552</v>
      </c>
      <c r="H790" s="38">
        <v>27.9</v>
      </c>
      <c r="I790" s="4">
        <f t="shared" si="149"/>
        <v>0.12</v>
      </c>
      <c r="J790" s="23">
        <f>+D790-G790</f>
        <v>2.4280000000000008</v>
      </c>
    </row>
    <row r="791" spans="1:10" s="26" customFormat="1">
      <c r="A791" s="7" t="s">
        <v>19</v>
      </c>
      <c r="B791" s="34"/>
      <c r="C791" s="35"/>
      <c r="D791" s="33"/>
      <c r="E791" s="45"/>
      <c r="F791" s="5" t="e">
        <f t="shared" si="148"/>
        <v>#DIV/0!</v>
      </c>
      <c r="G791" s="33"/>
      <c r="H791" s="38"/>
      <c r="I791" s="4" t="e">
        <f t="shared" si="149"/>
        <v>#DIV/0!</v>
      </c>
      <c r="J791" s="23"/>
    </row>
    <row r="792" spans="1:10" s="26" customFormat="1">
      <c r="A792" s="7" t="s">
        <v>20</v>
      </c>
      <c r="B792" s="34">
        <v>7501017005024</v>
      </c>
      <c r="C792" s="35" t="s">
        <v>339</v>
      </c>
      <c r="D792" s="33">
        <v>10.6092</v>
      </c>
      <c r="E792" s="45">
        <v>13.3</v>
      </c>
      <c r="F792" s="5">
        <f t="shared" si="148"/>
        <v>0.20231578947368434</v>
      </c>
      <c r="G792" s="33">
        <f>+D792*0.9</f>
        <v>9.5482800000000001</v>
      </c>
      <c r="H792" s="38">
        <v>10.9</v>
      </c>
      <c r="I792" s="4">
        <f t="shared" si="149"/>
        <v>0.12401100917431196</v>
      </c>
      <c r="J792" s="23">
        <f>+D792-G792</f>
        <v>1.0609199999999994</v>
      </c>
    </row>
    <row r="793" spans="1:10" s="26" customFormat="1">
      <c r="A793" s="7"/>
      <c r="B793" s="29">
        <v>7501017005000</v>
      </c>
      <c r="C793" s="28" t="s">
        <v>340</v>
      </c>
      <c r="D793" s="30">
        <v>8.9023000000000003</v>
      </c>
      <c r="E793" s="45">
        <v>11.2</v>
      </c>
      <c r="F793" s="5">
        <f t="shared" si="148"/>
        <v>0.20515178571428561</v>
      </c>
      <c r="G793" s="30">
        <f>+D793*0.9</f>
        <v>8.0120700000000014</v>
      </c>
      <c r="H793" s="39">
        <v>9.5</v>
      </c>
      <c r="I793" s="4">
        <f t="shared" si="149"/>
        <v>0.1566242105263157</v>
      </c>
      <c r="J793" s="23">
        <f>+D793-G793</f>
        <v>0.89022999999999897</v>
      </c>
    </row>
    <row r="794" spans="1:10" s="26" customFormat="1">
      <c r="A794" s="7" t="s">
        <v>21</v>
      </c>
      <c r="B794" s="29" t="s">
        <v>311</v>
      </c>
      <c r="C794" s="28" t="s">
        <v>312</v>
      </c>
      <c r="D794" s="30">
        <v>9.2512000000000008</v>
      </c>
      <c r="E794" s="45">
        <v>11.9</v>
      </c>
      <c r="F794" s="5">
        <f t="shared" si="148"/>
        <v>0.22258823529411764</v>
      </c>
      <c r="G794" s="30">
        <v>8.98</v>
      </c>
      <c r="H794" s="39">
        <v>10.5</v>
      </c>
      <c r="I794" s="4">
        <f t="shared" si="149"/>
        <v>0.14476190476190476</v>
      </c>
      <c r="J794" s="23"/>
    </row>
    <row r="795" spans="1:10" s="26" customFormat="1">
      <c r="A795" s="25"/>
      <c r="B795" s="34"/>
      <c r="C795" s="35"/>
      <c r="D795" s="33"/>
      <c r="E795" s="45"/>
      <c r="F795" s="5" t="e">
        <f t="shared" si="148"/>
        <v>#DIV/0!</v>
      </c>
      <c r="G795" s="33"/>
      <c r="H795" s="38"/>
      <c r="I795" s="4" t="e">
        <f t="shared" si="149"/>
        <v>#DIV/0!</v>
      </c>
      <c r="J795" s="23">
        <f t="shared" ref="J795" si="155">+D795-G795</f>
        <v>0</v>
      </c>
    </row>
    <row r="796" spans="1:10" s="26" customFormat="1">
      <c r="A796" s="7" t="s">
        <v>39</v>
      </c>
      <c r="B796" s="29">
        <v>7501041419071</v>
      </c>
      <c r="C796" s="28" t="s">
        <v>251</v>
      </c>
      <c r="D796" s="30">
        <v>13.52</v>
      </c>
      <c r="E796" s="45">
        <v>15.9</v>
      </c>
      <c r="F796" s="5">
        <f t="shared" si="148"/>
        <v>0.14968553459119505</v>
      </c>
      <c r="G796" s="30">
        <v>12.78</v>
      </c>
      <c r="H796" s="39">
        <v>14.5</v>
      </c>
      <c r="I796" s="4">
        <f t="shared" si="149"/>
        <v>0.11862068965517247</v>
      </c>
      <c r="J796" s="23"/>
    </row>
    <row r="797" spans="1:10" s="26" customFormat="1">
      <c r="A797" s="25"/>
      <c r="B797" s="34">
        <v>7501041419088</v>
      </c>
      <c r="C797" s="35" t="s">
        <v>250</v>
      </c>
      <c r="D797" s="30">
        <v>13.52</v>
      </c>
      <c r="E797" s="45">
        <v>15.9</v>
      </c>
      <c r="F797" s="5">
        <f t="shared" si="148"/>
        <v>0.14968553459119505</v>
      </c>
      <c r="G797" s="30">
        <v>12.78</v>
      </c>
      <c r="H797" s="38">
        <v>14.5</v>
      </c>
      <c r="I797" s="4">
        <f t="shared" si="149"/>
        <v>0.11862068965517247</v>
      </c>
      <c r="J797" s="23"/>
    </row>
    <row r="798" spans="1:10" s="26" customFormat="1">
      <c r="A798" s="7" t="s">
        <v>22</v>
      </c>
      <c r="B798" s="34">
        <v>7509546051932</v>
      </c>
      <c r="C798" s="35" t="s">
        <v>247</v>
      </c>
      <c r="D798" s="33">
        <f>30.9583*1.16</f>
        <v>35.911628</v>
      </c>
      <c r="E798" s="45">
        <v>43.8</v>
      </c>
      <c r="F798" s="5">
        <f t="shared" si="148"/>
        <v>0.18009981735159808</v>
      </c>
      <c r="G798" s="33">
        <f>+D798*0.85</f>
        <v>30.524883799999998</v>
      </c>
      <c r="H798" s="38">
        <v>35.9</v>
      </c>
      <c r="I798" s="4">
        <f t="shared" si="149"/>
        <v>0.14972468523676885</v>
      </c>
      <c r="J798" s="23"/>
    </row>
    <row r="799" spans="1:10" s="26" customFormat="1">
      <c r="A799" s="7" t="s">
        <v>23</v>
      </c>
      <c r="B799" s="29">
        <v>7501058618597</v>
      </c>
      <c r="C799" s="28" t="s">
        <v>253</v>
      </c>
      <c r="D799" s="33">
        <f>16.79*1.08</f>
        <v>18.133199999999999</v>
      </c>
      <c r="E799" s="45">
        <v>22.7</v>
      </c>
      <c r="F799" s="5">
        <f t="shared" si="148"/>
        <v>0.20118061674008814</v>
      </c>
      <c r="G799" s="33">
        <f>+D799*0.9</f>
        <v>16.319879999999998</v>
      </c>
      <c r="H799" s="38">
        <v>18.39</v>
      </c>
      <c r="I799" s="4">
        <f t="shared" si="149"/>
        <v>0.11256769983686798</v>
      </c>
      <c r="J799" s="23">
        <f t="shared" ref="J799:J801" si="156">+D799-G799</f>
        <v>1.8133200000000009</v>
      </c>
    </row>
    <row r="800" spans="1:10" s="26" customFormat="1">
      <c r="A800" s="7" t="s">
        <v>24</v>
      </c>
      <c r="B800" s="34"/>
      <c r="C800" s="35"/>
      <c r="D800" s="33"/>
      <c r="E800" s="45"/>
      <c r="F800" s="5" t="e">
        <f t="shared" si="148"/>
        <v>#DIV/0!</v>
      </c>
      <c r="G800" s="33"/>
      <c r="H800" s="38"/>
      <c r="I800" s="4" t="e">
        <f t="shared" si="149"/>
        <v>#DIV/0!</v>
      </c>
      <c r="J800" s="23">
        <f t="shared" si="156"/>
        <v>0</v>
      </c>
    </row>
    <row r="801" spans="1:10" s="26" customFormat="1">
      <c r="A801" s="25"/>
      <c r="B801" s="34"/>
      <c r="C801" s="35"/>
      <c r="D801" s="33"/>
      <c r="E801" s="45"/>
      <c r="F801" s="5" t="e">
        <f t="shared" si="148"/>
        <v>#DIV/0!</v>
      </c>
      <c r="G801" s="33"/>
      <c r="H801" s="38"/>
      <c r="I801" s="4" t="e">
        <f t="shared" si="149"/>
        <v>#DIV/0!</v>
      </c>
      <c r="J801" s="23">
        <f t="shared" si="156"/>
        <v>0</v>
      </c>
    </row>
    <row r="802" spans="1:10" s="26" customFormat="1">
      <c r="A802" s="7" t="s">
        <v>25</v>
      </c>
      <c r="B802" s="29">
        <v>7500478023899</v>
      </c>
      <c r="C802" s="28" t="s">
        <v>81</v>
      </c>
      <c r="D802" s="30">
        <v>19.46</v>
      </c>
      <c r="E802" s="45">
        <v>22.9</v>
      </c>
      <c r="F802" s="5">
        <f t="shared" si="148"/>
        <v>0.15021834061135364</v>
      </c>
      <c r="G802" s="33">
        <v>18</v>
      </c>
      <c r="H802" s="38">
        <v>20.5</v>
      </c>
      <c r="I802" s="4">
        <f t="shared" si="149"/>
        <v>0.12195121951219512</v>
      </c>
      <c r="J802" s="23"/>
    </row>
    <row r="803" spans="1:10" s="26" customFormat="1">
      <c r="A803" s="7"/>
      <c r="B803" s="29">
        <v>7500478018192</v>
      </c>
      <c r="C803" s="28" t="s">
        <v>352</v>
      </c>
      <c r="D803" s="30">
        <v>39.83</v>
      </c>
      <c r="E803" s="45">
        <v>46.9</v>
      </c>
      <c r="F803" s="5">
        <f t="shared" si="148"/>
        <v>0.15074626865671648</v>
      </c>
      <c r="G803" s="30">
        <f>+D803*0.9</f>
        <v>35.847000000000001</v>
      </c>
      <c r="H803" s="39">
        <v>40.9</v>
      </c>
      <c r="I803" s="4">
        <f t="shared" si="149"/>
        <v>0.12354523227383862</v>
      </c>
      <c r="J803" s="23"/>
    </row>
    <row r="804" spans="1:10" s="26" customFormat="1">
      <c r="A804" s="7" t="s">
        <v>26</v>
      </c>
      <c r="B804" s="29">
        <v>7501036010016</v>
      </c>
      <c r="C804" s="28" t="s">
        <v>249</v>
      </c>
      <c r="D804" s="30">
        <v>16</v>
      </c>
      <c r="E804" s="45">
        <v>18.2</v>
      </c>
      <c r="F804" s="5">
        <f t="shared" si="148"/>
        <v>0.12087912087912089</v>
      </c>
      <c r="G804" s="30">
        <v>14.55</v>
      </c>
      <c r="H804" s="39">
        <v>16.899999999999999</v>
      </c>
      <c r="I804" s="4">
        <f t="shared" si="149"/>
        <v>0.13905325443786976</v>
      </c>
      <c r="J804" s="23"/>
    </row>
    <row r="805" spans="1:10" s="26" customFormat="1">
      <c r="A805" s="7" t="s">
        <v>27</v>
      </c>
      <c r="B805" s="63"/>
      <c r="C805" s="28"/>
      <c r="D805" s="30"/>
      <c r="E805" s="45"/>
      <c r="F805" s="5" t="e">
        <f t="shared" si="148"/>
        <v>#DIV/0!</v>
      </c>
      <c r="G805" s="30"/>
      <c r="H805" s="39"/>
      <c r="I805" s="4" t="e">
        <f t="shared" si="149"/>
        <v>#DIV/0!</v>
      </c>
      <c r="J805" s="23">
        <f t="shared" ref="J805:J821" si="157">+D805-G805</f>
        <v>0</v>
      </c>
    </row>
    <row r="806" spans="1:10" s="26" customFormat="1">
      <c r="A806" s="7" t="s">
        <v>28</v>
      </c>
      <c r="B806" s="28"/>
      <c r="C806" s="28"/>
      <c r="D806" s="30"/>
      <c r="E806" s="45"/>
      <c r="F806" s="5" t="e">
        <f t="shared" si="148"/>
        <v>#DIV/0!</v>
      </c>
      <c r="G806" s="30"/>
      <c r="H806" s="39"/>
      <c r="I806" s="4" t="e">
        <f t="shared" si="149"/>
        <v>#DIV/0!</v>
      </c>
      <c r="J806" s="23">
        <f t="shared" si="157"/>
        <v>0</v>
      </c>
    </row>
    <row r="807" spans="1:10" s="26" customFormat="1">
      <c r="A807" s="7" t="s">
        <v>29</v>
      </c>
      <c r="B807" s="29"/>
      <c r="C807" s="28"/>
      <c r="D807" s="30"/>
      <c r="E807" s="45"/>
      <c r="F807" s="5" t="e">
        <f t="shared" si="148"/>
        <v>#DIV/0!</v>
      </c>
      <c r="G807" s="30"/>
      <c r="H807" s="39"/>
      <c r="I807" s="4" t="e">
        <f t="shared" si="149"/>
        <v>#DIV/0!</v>
      </c>
      <c r="J807" s="23">
        <f t="shared" si="157"/>
        <v>0</v>
      </c>
    </row>
    <row r="808" spans="1:10" s="26" customFormat="1">
      <c r="A808" s="7" t="s">
        <v>30</v>
      </c>
      <c r="B808" s="29"/>
      <c r="C808" s="28"/>
      <c r="D808" s="30"/>
      <c r="E808" s="45"/>
      <c r="F808" s="5" t="e">
        <f t="shared" si="148"/>
        <v>#DIV/0!</v>
      </c>
      <c r="G808" s="30"/>
      <c r="H808" s="39"/>
      <c r="I808" s="4" t="e">
        <f t="shared" si="149"/>
        <v>#DIV/0!</v>
      </c>
      <c r="J808" s="23">
        <f t="shared" si="157"/>
        <v>0</v>
      </c>
    </row>
    <row r="809" spans="1:10" s="26" customFormat="1">
      <c r="A809" s="7" t="s">
        <v>38</v>
      </c>
      <c r="B809" s="29">
        <v>7501025403034</v>
      </c>
      <c r="C809" s="28" t="s">
        <v>55</v>
      </c>
      <c r="D809" s="30">
        <f>20.0527*1.16</f>
        <v>23.261132</v>
      </c>
      <c r="E809" s="45">
        <v>28.9</v>
      </c>
      <c r="F809" s="5">
        <f t="shared" si="148"/>
        <v>0.19511653979238752</v>
      </c>
      <c r="G809" s="30">
        <v>19.71</v>
      </c>
      <c r="H809" s="39">
        <v>21.9</v>
      </c>
      <c r="I809" s="4">
        <f t="shared" si="149"/>
        <v>9.9999999999999867E-2</v>
      </c>
      <c r="J809" s="23">
        <f t="shared" si="157"/>
        <v>3.5511319999999991</v>
      </c>
    </row>
    <row r="810" spans="1:10" s="26" customFormat="1">
      <c r="A810" s="7"/>
      <c r="B810" s="29">
        <v>7501025431457</v>
      </c>
      <c r="C810" s="28" t="s">
        <v>49</v>
      </c>
      <c r="D810" s="30">
        <f>10.57*1.16</f>
        <v>12.261199999999999</v>
      </c>
      <c r="E810" s="45">
        <v>15.3</v>
      </c>
      <c r="F810" s="5">
        <f t="shared" si="148"/>
        <v>0.19861437908496749</v>
      </c>
      <c r="G810" s="30">
        <v>11.25</v>
      </c>
      <c r="H810" s="39">
        <v>12.5</v>
      </c>
      <c r="I810" s="4">
        <f t="shared" si="149"/>
        <v>9.9999999999999978E-2</v>
      </c>
      <c r="J810" s="23">
        <f t="shared" si="157"/>
        <v>1.0111999999999988</v>
      </c>
    </row>
    <row r="811" spans="1:10" s="26" customFormat="1">
      <c r="A811" s="7"/>
      <c r="B811" s="29">
        <v>7501025440282</v>
      </c>
      <c r="C811" s="28" t="s">
        <v>46</v>
      </c>
      <c r="D811" s="30">
        <f t="shared" ref="D811:D814" si="158">10.57*1.16</f>
        <v>12.261199999999999</v>
      </c>
      <c r="E811" s="45">
        <v>15.3</v>
      </c>
      <c r="F811" s="5">
        <f t="shared" si="148"/>
        <v>0.19861437908496749</v>
      </c>
      <c r="G811" s="30">
        <v>11.25</v>
      </c>
      <c r="H811" s="39">
        <v>12.5</v>
      </c>
      <c r="I811" s="4">
        <f t="shared" si="149"/>
        <v>9.9999999999999978E-2</v>
      </c>
      <c r="J811" s="23">
        <f t="shared" si="157"/>
        <v>1.0111999999999988</v>
      </c>
    </row>
    <row r="812" spans="1:10" s="26" customFormat="1">
      <c r="A812" s="7"/>
      <c r="B812" s="29">
        <v>7501025440299</v>
      </c>
      <c r="C812" s="28" t="s">
        <v>47</v>
      </c>
      <c r="D812" s="30">
        <f t="shared" si="158"/>
        <v>12.261199999999999</v>
      </c>
      <c r="E812" s="45">
        <v>15.3</v>
      </c>
      <c r="F812" s="5">
        <f t="shared" si="148"/>
        <v>0.19861437908496749</v>
      </c>
      <c r="G812" s="30">
        <v>11.25</v>
      </c>
      <c r="H812" s="39">
        <v>12.5</v>
      </c>
      <c r="I812" s="4">
        <f t="shared" si="149"/>
        <v>9.9999999999999978E-2</v>
      </c>
      <c r="J812" s="23">
        <f t="shared" si="157"/>
        <v>1.0111999999999988</v>
      </c>
    </row>
    <row r="813" spans="1:10" s="26" customFormat="1">
      <c r="A813" s="7"/>
      <c r="B813" s="29">
        <v>7501025440305</v>
      </c>
      <c r="C813" s="28" t="s">
        <v>48</v>
      </c>
      <c r="D813" s="30">
        <f t="shared" si="158"/>
        <v>12.261199999999999</v>
      </c>
      <c r="E813" s="45">
        <v>15.3</v>
      </c>
      <c r="F813" s="5">
        <f t="shared" si="148"/>
        <v>0.19861437908496749</v>
      </c>
      <c r="G813" s="30">
        <v>11.25</v>
      </c>
      <c r="H813" s="39">
        <v>12.5</v>
      </c>
      <c r="I813" s="4">
        <f t="shared" si="149"/>
        <v>9.9999999999999978E-2</v>
      </c>
      <c r="J813" s="23">
        <f t="shared" si="157"/>
        <v>1.0111999999999988</v>
      </c>
    </row>
    <row r="814" spans="1:10" s="26" customFormat="1">
      <c r="A814" s="43"/>
      <c r="B814" s="34" t="s">
        <v>185</v>
      </c>
      <c r="C814" s="35" t="s">
        <v>186</v>
      </c>
      <c r="D814" s="30">
        <f t="shared" si="158"/>
        <v>12.261199999999999</v>
      </c>
      <c r="E814" s="45">
        <v>15.3</v>
      </c>
      <c r="F814" s="5">
        <f t="shared" si="148"/>
        <v>0.19861437908496749</v>
      </c>
      <c r="G814" s="30">
        <v>11.25</v>
      </c>
      <c r="H814" s="39">
        <v>12.5</v>
      </c>
      <c r="I814" s="4">
        <f t="shared" si="149"/>
        <v>9.9999999999999978E-2</v>
      </c>
      <c r="J814" s="23">
        <f t="shared" si="157"/>
        <v>1.0111999999999988</v>
      </c>
    </row>
    <row r="815" spans="1:10" s="26" customFormat="1">
      <c r="A815" s="43"/>
      <c r="B815" s="34"/>
      <c r="C815" s="35"/>
      <c r="D815" s="30"/>
      <c r="E815" s="45"/>
      <c r="F815" s="5" t="e">
        <f t="shared" si="148"/>
        <v>#DIV/0!</v>
      </c>
      <c r="G815" s="30"/>
      <c r="H815" s="39"/>
      <c r="I815" s="4" t="e">
        <f t="shared" si="149"/>
        <v>#DIV/0!</v>
      </c>
      <c r="J815" s="23">
        <f t="shared" si="157"/>
        <v>0</v>
      </c>
    </row>
    <row r="816" spans="1:10" s="26" customFormat="1">
      <c r="A816" s="7" t="s">
        <v>31</v>
      </c>
      <c r="B816" s="29">
        <v>619585006118</v>
      </c>
      <c r="C816" s="28" t="s">
        <v>387</v>
      </c>
      <c r="D816" s="30">
        <v>95.37</v>
      </c>
      <c r="E816" s="45">
        <v>112.2</v>
      </c>
      <c r="F816" s="5">
        <f t="shared" si="148"/>
        <v>0.15000000000000002</v>
      </c>
      <c r="G816" s="30">
        <v>85.83</v>
      </c>
      <c r="H816" s="39">
        <v>97.9</v>
      </c>
      <c r="I816" s="4">
        <f t="shared" si="149"/>
        <v>0.12328907048008175</v>
      </c>
      <c r="J816" s="23">
        <f t="shared" si="157"/>
        <v>9.5400000000000063</v>
      </c>
    </row>
    <row r="817" spans="1:10" s="26" customFormat="1">
      <c r="A817" s="25"/>
      <c r="B817" s="34">
        <v>619585006217</v>
      </c>
      <c r="C817" s="35" t="s">
        <v>388</v>
      </c>
      <c r="D817" s="33">
        <v>105.655</v>
      </c>
      <c r="E817" s="45">
        <v>124.3</v>
      </c>
      <c r="F817" s="5">
        <f t="shared" si="148"/>
        <v>0.15000000000000002</v>
      </c>
      <c r="G817" s="30">
        <v>95.09</v>
      </c>
      <c r="H817" s="39">
        <v>108.9</v>
      </c>
      <c r="I817" s="4">
        <f t="shared" si="149"/>
        <v>0.12681359044995411</v>
      </c>
      <c r="J817" s="23">
        <f t="shared" si="157"/>
        <v>10.564999999999998</v>
      </c>
    </row>
    <row r="818" spans="1:10" s="26" customFormat="1">
      <c r="A818" s="25"/>
      <c r="B818" s="34">
        <v>619585006316</v>
      </c>
      <c r="C818" s="35" t="s">
        <v>389</v>
      </c>
      <c r="D818" s="33">
        <v>117.2</v>
      </c>
      <c r="E818" s="45">
        <v>137.80000000000001</v>
      </c>
      <c r="F818" s="5">
        <f t="shared" si="148"/>
        <v>0.14949201741654572</v>
      </c>
      <c r="G818" s="30">
        <v>105.48</v>
      </c>
      <c r="H818" s="39">
        <v>119.9</v>
      </c>
      <c r="I818" s="4">
        <f t="shared" si="149"/>
        <v>0.12026688907422856</v>
      </c>
      <c r="J818" s="23">
        <f t="shared" si="157"/>
        <v>11.719999999999999</v>
      </c>
    </row>
    <row r="819" spans="1:10" s="26" customFormat="1">
      <c r="A819" s="25"/>
      <c r="B819" s="34">
        <v>619585006415</v>
      </c>
      <c r="C819" s="35" t="s">
        <v>390</v>
      </c>
      <c r="D819" s="30">
        <v>131.66</v>
      </c>
      <c r="E819" s="45">
        <v>154.9</v>
      </c>
      <c r="F819" s="5">
        <f t="shared" si="148"/>
        <v>0.15003227888960624</v>
      </c>
      <c r="G819" s="30">
        <v>118.49</v>
      </c>
      <c r="H819" s="39">
        <v>134.9</v>
      </c>
      <c r="I819" s="4">
        <f t="shared" si="149"/>
        <v>0.12164566345441075</v>
      </c>
      <c r="J819" s="23">
        <f t="shared" si="157"/>
        <v>13.170000000000002</v>
      </c>
    </row>
    <row r="820" spans="1:10" s="26" customFormat="1">
      <c r="A820" s="7"/>
      <c r="B820" s="29">
        <v>619585006613</v>
      </c>
      <c r="C820" s="28" t="s">
        <v>391</v>
      </c>
      <c r="D820" s="30">
        <v>153.76</v>
      </c>
      <c r="E820" s="45">
        <v>180.9</v>
      </c>
      <c r="F820" s="5">
        <f t="shared" si="148"/>
        <v>0.15002763957987841</v>
      </c>
      <c r="G820" s="30">
        <v>138.38</v>
      </c>
      <c r="H820" s="39">
        <v>157.9</v>
      </c>
      <c r="I820" s="4">
        <f t="shared" si="149"/>
        <v>0.12362254591513622</v>
      </c>
      <c r="J820" s="23">
        <f t="shared" si="157"/>
        <v>15.379999999999995</v>
      </c>
    </row>
    <row r="821" spans="1:10" s="26" customFormat="1">
      <c r="A821" s="7"/>
      <c r="B821" s="29"/>
      <c r="C821" s="28"/>
      <c r="D821" s="30"/>
      <c r="E821" s="45"/>
      <c r="F821" s="5" t="e">
        <f t="shared" si="148"/>
        <v>#DIV/0!</v>
      </c>
      <c r="G821" s="30"/>
      <c r="H821" s="39"/>
      <c r="I821" s="4" t="e">
        <f t="shared" si="149"/>
        <v>#DIV/0!</v>
      </c>
      <c r="J821" s="23">
        <f t="shared" si="157"/>
        <v>0</v>
      </c>
    </row>
    <row r="822" spans="1:10" s="26" customFormat="1">
      <c r="A822" s="7" t="s">
        <v>167</v>
      </c>
      <c r="B822" s="29" t="s">
        <v>40</v>
      </c>
      <c r="C822" s="28" t="s">
        <v>57</v>
      </c>
      <c r="D822" s="30">
        <v>23.12</v>
      </c>
      <c r="E822" s="45">
        <v>27.2</v>
      </c>
      <c r="F822" s="5">
        <f t="shared" si="148"/>
        <v>0.14999999999999991</v>
      </c>
      <c r="G822" s="30">
        <v>21.38</v>
      </c>
      <c r="H822" s="39">
        <v>24.5</v>
      </c>
      <c r="I822" s="4">
        <f t="shared" si="149"/>
        <v>0.12734693877551029</v>
      </c>
      <c r="J822" s="23"/>
    </row>
    <row r="823" spans="1:10" s="26" customFormat="1">
      <c r="A823" s="25"/>
      <c r="B823" s="34" t="s">
        <v>41</v>
      </c>
      <c r="C823" s="35" t="s">
        <v>58</v>
      </c>
      <c r="D823" s="33">
        <v>23.35</v>
      </c>
      <c r="E823" s="45">
        <v>27.2</v>
      </c>
      <c r="F823" s="5">
        <f t="shared" si="148"/>
        <v>0.14154411764705876</v>
      </c>
      <c r="G823" s="33">
        <f>18.64*1.16</f>
        <v>21.622399999999999</v>
      </c>
      <c r="H823" s="38">
        <v>24.5</v>
      </c>
      <c r="I823" s="4">
        <f t="shared" si="149"/>
        <v>0.11745306122448984</v>
      </c>
      <c r="J823" s="23"/>
    </row>
    <row r="824" spans="1:10" s="26" customFormat="1">
      <c r="A824" s="25"/>
      <c r="B824" s="34">
        <v>7502247335677</v>
      </c>
      <c r="C824" s="35" t="s">
        <v>59</v>
      </c>
      <c r="D824" s="33">
        <v>18.45</v>
      </c>
      <c r="E824" s="45">
        <v>21.7</v>
      </c>
      <c r="F824" s="5">
        <f t="shared" si="148"/>
        <v>0.14976958525345618</v>
      </c>
      <c r="G824" s="33">
        <f>13*1.16</f>
        <v>15.079999999999998</v>
      </c>
      <c r="H824" s="38">
        <v>16.899999999999999</v>
      </c>
      <c r="I824" s="4">
        <f t="shared" si="149"/>
        <v>0.10769230769230775</v>
      </c>
      <c r="J824" s="23"/>
    </row>
    <row r="825" spans="1:10" s="26" customFormat="1">
      <c r="A825" s="25"/>
      <c r="B825" s="34">
        <v>7502247338845</v>
      </c>
      <c r="C825" s="35" t="s">
        <v>212</v>
      </c>
      <c r="D825" s="33">
        <v>8</v>
      </c>
      <c r="E825" s="45">
        <v>9.4</v>
      </c>
      <c r="F825" s="5">
        <f t="shared" si="148"/>
        <v>0.14893617021276595</v>
      </c>
      <c r="G825" s="33">
        <v>6.84</v>
      </c>
      <c r="H825" s="38">
        <v>7.9</v>
      </c>
      <c r="I825" s="4">
        <f t="shared" si="149"/>
        <v>0.13417721518987347</v>
      </c>
      <c r="J825" s="23"/>
    </row>
    <row r="826" spans="1:10" s="26" customFormat="1">
      <c r="A826" s="25"/>
      <c r="B826" s="34">
        <v>7501943458499</v>
      </c>
      <c r="C826" s="35" t="s">
        <v>204</v>
      </c>
      <c r="D826" s="33">
        <v>6.45</v>
      </c>
      <c r="E826" s="45">
        <v>7.6</v>
      </c>
      <c r="F826" s="5">
        <f t="shared" si="148"/>
        <v>0.15131578947368418</v>
      </c>
      <c r="G826" s="33">
        <f>4.8215*1.16</f>
        <v>5.5929399999999996</v>
      </c>
      <c r="H826" s="38">
        <v>6.5</v>
      </c>
      <c r="I826" s="4">
        <f t="shared" si="149"/>
        <v>0.13954769230769237</v>
      </c>
      <c r="J826" s="23"/>
    </row>
    <row r="827" spans="1:10" s="26" customFormat="1">
      <c r="A827" s="25"/>
      <c r="B827" s="34">
        <v>7506425605781</v>
      </c>
      <c r="C827" s="35" t="s">
        <v>350</v>
      </c>
      <c r="D827" s="33">
        <v>14.940799999999999</v>
      </c>
      <c r="E827" s="45">
        <v>19.899999999999999</v>
      </c>
      <c r="F827" s="5">
        <f t="shared" si="148"/>
        <v>0.24920603015075371</v>
      </c>
      <c r="G827" s="33">
        <f>12.88*1.16</f>
        <v>14.940799999999999</v>
      </c>
      <c r="H827" s="38">
        <v>16.899999999999999</v>
      </c>
      <c r="I827" s="4">
        <f t="shared" si="149"/>
        <v>0.11592899408284019</v>
      </c>
      <c r="J827" s="23"/>
    </row>
    <row r="828" spans="1:10" s="26" customFormat="1">
      <c r="A828" s="25"/>
      <c r="B828" s="34">
        <v>7501007716206</v>
      </c>
      <c r="C828" s="35" t="s">
        <v>168</v>
      </c>
      <c r="D828" s="33">
        <f>25.82*1.16</f>
        <v>29.951199999999996</v>
      </c>
      <c r="E828" s="45">
        <v>37.6</v>
      </c>
      <c r="F828" s="5">
        <f t="shared" si="148"/>
        <v>0.20342553191489376</v>
      </c>
      <c r="G828" s="33">
        <v>26.95</v>
      </c>
      <c r="H828" s="38">
        <v>31.9</v>
      </c>
      <c r="I828" s="4">
        <f t="shared" si="149"/>
        <v>0.15517241379310343</v>
      </c>
      <c r="J828" s="23"/>
    </row>
    <row r="829" spans="1:10" s="26" customFormat="1">
      <c r="A829" s="7" t="s">
        <v>32</v>
      </c>
      <c r="B829" s="34">
        <v>7501071307775</v>
      </c>
      <c r="C829" s="35" t="s">
        <v>319</v>
      </c>
      <c r="D829" s="33">
        <v>14.0967</v>
      </c>
      <c r="E829" s="45">
        <v>16.600000000000001</v>
      </c>
      <c r="F829" s="5">
        <f t="shared" si="148"/>
        <v>0.15080120481927717</v>
      </c>
      <c r="G829" s="33">
        <v>12.68703</v>
      </c>
      <c r="H829" s="38">
        <v>14.9</v>
      </c>
      <c r="I829" s="4">
        <f t="shared" si="149"/>
        <v>0.14852147651006709</v>
      </c>
      <c r="J829" s="23"/>
    </row>
    <row r="830" spans="1:10" s="26" customFormat="1">
      <c r="A830" s="25"/>
      <c r="B830" s="34">
        <v>7501071307782</v>
      </c>
      <c r="C830" s="35" t="s">
        <v>320</v>
      </c>
      <c r="D830" s="33">
        <v>14.126300000000001</v>
      </c>
      <c r="E830" s="45">
        <v>16.600000000000001</v>
      </c>
      <c r="F830" s="5">
        <f t="shared" si="148"/>
        <v>0.14901807228915664</v>
      </c>
      <c r="G830" s="33">
        <v>12.71367</v>
      </c>
      <c r="H830" s="38">
        <v>14.9</v>
      </c>
      <c r="I830" s="4">
        <f t="shared" si="149"/>
        <v>0.14673355704697988</v>
      </c>
      <c r="J830" s="23"/>
    </row>
    <row r="831" spans="1:10" s="26" customFormat="1">
      <c r="A831" s="25"/>
      <c r="B831" s="34">
        <v>7501071307799</v>
      </c>
      <c r="C831" s="35" t="s">
        <v>321</v>
      </c>
      <c r="D831" s="33">
        <v>14.12</v>
      </c>
      <c r="E831" s="45">
        <v>16.600000000000001</v>
      </c>
      <c r="F831" s="5">
        <f t="shared" ref="F831:F837" si="159">+((D831/E831)-1)*-1</f>
        <v>0.14939759036144595</v>
      </c>
      <c r="G831" s="33">
        <v>12.708</v>
      </c>
      <c r="H831" s="38">
        <v>14.9</v>
      </c>
      <c r="I831" s="4">
        <f t="shared" ref="I831:I837" si="160">+((G831/H831)-1)*-1</f>
        <v>0.14711409395973152</v>
      </c>
      <c r="J831" s="23"/>
    </row>
    <row r="832" spans="1:10" s="26" customFormat="1">
      <c r="A832" s="7" t="s">
        <v>33</v>
      </c>
      <c r="B832" s="29"/>
      <c r="C832" s="28" t="s">
        <v>382</v>
      </c>
      <c r="D832" s="30">
        <v>6.2</v>
      </c>
      <c r="E832" s="45">
        <v>7.6</v>
      </c>
      <c r="F832" s="5">
        <f t="shared" si="159"/>
        <v>0.18421052631578938</v>
      </c>
      <c r="G832" s="30">
        <v>5.8297999999999996</v>
      </c>
      <c r="H832" s="39">
        <v>6.5</v>
      </c>
      <c r="I832" s="4">
        <f t="shared" si="160"/>
        <v>0.10310769230769234</v>
      </c>
      <c r="J832" s="23">
        <f t="shared" ref="J832:J833" si="161">+D832-G832</f>
        <v>0.37020000000000053</v>
      </c>
    </row>
    <row r="833" spans="1:10" s="26" customFormat="1">
      <c r="A833" s="7" t="s">
        <v>34</v>
      </c>
      <c r="B833" s="29">
        <v>7501003150233</v>
      </c>
      <c r="C833" s="28" t="s">
        <v>90</v>
      </c>
      <c r="D833" s="30">
        <v>32.1</v>
      </c>
      <c r="E833" s="45">
        <v>40.200000000000003</v>
      </c>
      <c r="F833" s="5">
        <f t="shared" si="159"/>
        <v>0.20149253731343286</v>
      </c>
      <c r="G833" s="30">
        <f>+D833*0.9</f>
        <v>28.89</v>
      </c>
      <c r="H833" s="39">
        <v>32.9</v>
      </c>
      <c r="I833" s="4">
        <f t="shared" si="160"/>
        <v>0.12188449848024308</v>
      </c>
      <c r="J833" s="23">
        <f t="shared" si="161"/>
        <v>3.2100000000000009</v>
      </c>
    </row>
    <row r="834" spans="1:10" s="26" customFormat="1">
      <c r="A834" s="7" t="s">
        <v>35</v>
      </c>
      <c r="B834" s="29">
        <v>75053901</v>
      </c>
      <c r="C834" s="28" t="s">
        <v>308</v>
      </c>
      <c r="D834" s="30">
        <v>12.3713</v>
      </c>
      <c r="E834" s="45">
        <v>15.5</v>
      </c>
      <c r="F834" s="5">
        <f t="shared" si="159"/>
        <v>0.20185161290322584</v>
      </c>
      <c r="G834" s="30">
        <v>11.3</v>
      </c>
      <c r="H834" s="39">
        <v>12.9</v>
      </c>
      <c r="I834" s="4">
        <f t="shared" si="160"/>
        <v>0.12403100775193798</v>
      </c>
      <c r="J834" s="23"/>
    </row>
    <row r="835" spans="1:10" s="26" customFormat="1">
      <c r="A835" s="25" t="s">
        <v>304</v>
      </c>
      <c r="B835" s="34">
        <v>7501079702817</v>
      </c>
      <c r="C835" s="35" t="s">
        <v>351</v>
      </c>
      <c r="D835" s="33">
        <v>5.7</v>
      </c>
      <c r="E835" s="45">
        <v>7.2</v>
      </c>
      <c r="F835" s="5">
        <f t="shared" si="159"/>
        <v>0.20833333333333337</v>
      </c>
      <c r="G835" s="33">
        <f>+D835*0.9</f>
        <v>5.13</v>
      </c>
      <c r="H835" s="38">
        <v>5.9</v>
      </c>
      <c r="I835" s="4">
        <f t="shared" si="160"/>
        <v>0.13050847457627124</v>
      </c>
      <c r="J835" s="23">
        <f t="shared" ref="J835:J837" si="162">+D835-G835</f>
        <v>0.57000000000000028</v>
      </c>
    </row>
    <row r="836" spans="1:10" s="26" customFormat="1">
      <c r="A836" s="7" t="s">
        <v>36</v>
      </c>
      <c r="B836" s="29"/>
      <c r="C836" s="28"/>
      <c r="D836" s="30"/>
      <c r="E836" s="45"/>
      <c r="F836" s="5" t="e">
        <f t="shared" si="159"/>
        <v>#DIV/0!</v>
      </c>
      <c r="G836" s="30"/>
      <c r="H836" s="39"/>
      <c r="I836" s="4" t="e">
        <f t="shared" si="160"/>
        <v>#DIV/0!</v>
      </c>
      <c r="J836" s="23">
        <f t="shared" si="162"/>
        <v>0</v>
      </c>
    </row>
    <row r="837" spans="1:10" s="26" customFormat="1">
      <c r="A837" s="17" t="s">
        <v>37</v>
      </c>
      <c r="B837" s="14"/>
      <c r="C837" s="15"/>
      <c r="D837" s="13"/>
      <c r="E837" s="13"/>
      <c r="F837" s="5" t="e">
        <f t="shared" si="159"/>
        <v>#DIV/0!</v>
      </c>
      <c r="G837" s="30"/>
      <c r="H837" s="39"/>
      <c r="I837" s="4" t="e">
        <f t="shared" si="160"/>
        <v>#DIV/0!</v>
      </c>
      <c r="J837" s="23">
        <f t="shared" si="162"/>
        <v>0</v>
      </c>
    </row>
    <row r="841" spans="1:10" s="26" customFormat="1" ht="15.75">
      <c r="A841" s="77" t="s">
        <v>332</v>
      </c>
      <c r="B841" s="77"/>
      <c r="C841" s="77"/>
    </row>
    <row r="842" spans="1:10" s="26" customFormat="1" ht="23.25" customHeight="1">
      <c r="A842" s="78" t="s">
        <v>394</v>
      </c>
      <c r="B842" s="78"/>
      <c r="C842" s="78"/>
      <c r="D842" s="79" t="s">
        <v>0</v>
      </c>
      <c r="E842" s="80"/>
      <c r="F842" s="81"/>
      <c r="G842" s="79" t="s">
        <v>1</v>
      </c>
      <c r="H842" s="80"/>
      <c r="I842" s="81"/>
    </row>
    <row r="843" spans="1:10" s="26" customFormat="1" ht="22.5">
      <c r="A843" s="41" t="s">
        <v>11</v>
      </c>
      <c r="B843" s="41" t="s">
        <v>2</v>
      </c>
      <c r="C843" s="41" t="s">
        <v>3</v>
      </c>
      <c r="D843" s="27" t="s">
        <v>4</v>
      </c>
      <c r="E843" s="27" t="s">
        <v>5</v>
      </c>
      <c r="F843" s="3" t="s">
        <v>6</v>
      </c>
      <c r="G843" s="27" t="s">
        <v>7</v>
      </c>
      <c r="H843" s="37" t="s">
        <v>8</v>
      </c>
      <c r="I843" s="3" t="s">
        <v>9</v>
      </c>
      <c r="J843" s="6" t="s">
        <v>10</v>
      </c>
    </row>
    <row r="844" spans="1:10" s="26" customFormat="1">
      <c r="A844" s="7"/>
      <c r="B844" s="52">
        <v>7501039123027</v>
      </c>
      <c r="C844" s="54" t="s">
        <v>379</v>
      </c>
      <c r="D844" s="45">
        <v>36</v>
      </c>
      <c r="E844" s="45">
        <v>40.9</v>
      </c>
      <c r="F844" s="5">
        <f t="shared" ref="F844:F907" si="163">+((D844/E844)-1)*-1</f>
        <v>0.11980440097799505</v>
      </c>
      <c r="G844" s="45">
        <v>34</v>
      </c>
      <c r="H844" s="39">
        <v>37.9</v>
      </c>
      <c r="I844" s="4">
        <f t="shared" ref="I844:I907" si="164">+((G844/H844)-1)*-1</f>
        <v>0.1029023746701847</v>
      </c>
      <c r="J844" s="23">
        <f t="shared" ref="J844:J845" si="165">+D844-G844</f>
        <v>2</v>
      </c>
    </row>
    <row r="845" spans="1:10" s="26" customFormat="1">
      <c r="A845" s="7"/>
      <c r="B845" s="52"/>
      <c r="C845" s="54" t="s">
        <v>144</v>
      </c>
      <c r="D845" s="45">
        <v>5.42</v>
      </c>
      <c r="E845" s="45">
        <v>6.9</v>
      </c>
      <c r="F845" s="5">
        <f t="shared" si="163"/>
        <v>0.21449275362318843</v>
      </c>
      <c r="G845" s="45">
        <v>4.5999999999999996</v>
      </c>
      <c r="H845" s="39">
        <v>5.5</v>
      </c>
      <c r="I845" s="4">
        <f t="shared" si="164"/>
        <v>0.16363636363636369</v>
      </c>
      <c r="J845" s="23">
        <f t="shared" si="165"/>
        <v>0.82000000000000028</v>
      </c>
    </row>
    <row r="846" spans="1:10" s="26" customFormat="1">
      <c r="A846" s="25"/>
      <c r="B846" s="50">
        <v>7506425602759</v>
      </c>
      <c r="C846" s="54" t="s">
        <v>91</v>
      </c>
      <c r="D846" s="45">
        <f>7.6724*1.16</f>
        <v>8.8999839999999981</v>
      </c>
      <c r="E846" s="45">
        <v>11.2</v>
      </c>
      <c r="F846" s="5">
        <f t="shared" si="163"/>
        <v>0.2053585714285715</v>
      </c>
      <c r="G846" s="45">
        <v>8</v>
      </c>
      <c r="H846" s="38">
        <v>9.5</v>
      </c>
      <c r="I846" s="4">
        <f t="shared" si="164"/>
        <v>0.15789473684210531</v>
      </c>
      <c r="J846" s="23">
        <f>+D846-G846</f>
        <v>0.89998399999999812</v>
      </c>
    </row>
    <row r="847" spans="1:10" s="26" customFormat="1">
      <c r="A847" s="25"/>
      <c r="B847" s="50">
        <v>7501019035548</v>
      </c>
      <c r="C847" s="54" t="s">
        <v>392</v>
      </c>
      <c r="D847" s="45">
        <v>20.91</v>
      </c>
      <c r="E847" s="45">
        <v>24.6</v>
      </c>
      <c r="F847" s="5">
        <f t="shared" si="163"/>
        <v>0.15000000000000002</v>
      </c>
      <c r="G847" s="45">
        <v>16.5517</v>
      </c>
      <c r="H847" s="38">
        <v>18.899999999999999</v>
      </c>
      <c r="I847" s="4">
        <f t="shared" si="164"/>
        <v>0.12424867724867716</v>
      </c>
      <c r="J847" s="23"/>
    </row>
    <row r="848" spans="1:10" s="26" customFormat="1">
      <c r="A848" s="25"/>
      <c r="B848" s="50">
        <v>7501036622042</v>
      </c>
      <c r="C848" s="54" t="s">
        <v>393</v>
      </c>
      <c r="D848" s="45">
        <f>24.3534*1.16</f>
        <v>28.249943999999999</v>
      </c>
      <c r="E848" s="45">
        <v>33.299999999999997</v>
      </c>
      <c r="F848" s="5">
        <f t="shared" si="163"/>
        <v>0.15165333333333331</v>
      </c>
      <c r="G848" s="45">
        <f>+D848*0.85</f>
        <v>24.012452399999997</v>
      </c>
      <c r="H848" s="38">
        <v>27.9</v>
      </c>
      <c r="I848" s="4">
        <f t="shared" si="164"/>
        <v>0.13933862365591398</v>
      </c>
      <c r="J848" s="23"/>
    </row>
    <row r="849" spans="1:10" s="26" customFormat="1">
      <c r="A849" s="25"/>
      <c r="B849" s="50">
        <v>7500435193498</v>
      </c>
      <c r="C849" s="54" t="s">
        <v>275</v>
      </c>
      <c r="D849" s="45">
        <f>13.2517*1.16</f>
        <v>15.371971999999998</v>
      </c>
      <c r="E849" s="45">
        <v>19.899999999999999</v>
      </c>
      <c r="F849" s="5">
        <f t="shared" si="163"/>
        <v>0.22753909547738704</v>
      </c>
      <c r="G849" s="45">
        <v>14.87</v>
      </c>
      <c r="H849" s="38">
        <v>16.899999999999999</v>
      </c>
      <c r="I849" s="4">
        <f t="shared" si="164"/>
        <v>0.12011834319526626</v>
      </c>
      <c r="J849" s="23">
        <f t="shared" ref="J849:J851" si="166">+D849-G849</f>
        <v>0.50197199999999853</v>
      </c>
    </row>
    <row r="850" spans="1:10" s="26" customFormat="1">
      <c r="A850" s="25"/>
      <c r="B850" s="50">
        <v>7500435193481</v>
      </c>
      <c r="C850" s="54" t="s">
        <v>276</v>
      </c>
      <c r="D850" s="45">
        <f t="shared" ref="D850:D851" si="167">13.2517*1.16</f>
        <v>15.371971999999998</v>
      </c>
      <c r="E850" s="45">
        <v>19.899999999999999</v>
      </c>
      <c r="F850" s="5">
        <f t="shared" si="163"/>
        <v>0.22753909547738704</v>
      </c>
      <c r="G850" s="45">
        <v>14.87</v>
      </c>
      <c r="H850" s="38">
        <v>16.899999999999999</v>
      </c>
      <c r="I850" s="4">
        <f t="shared" si="164"/>
        <v>0.12011834319526626</v>
      </c>
      <c r="J850" s="23">
        <f t="shared" si="166"/>
        <v>0.50197199999999853</v>
      </c>
    </row>
    <row r="851" spans="1:10" s="26" customFormat="1">
      <c r="A851" s="25"/>
      <c r="B851" s="50">
        <v>7500435184434</v>
      </c>
      <c r="C851" s="54" t="s">
        <v>277</v>
      </c>
      <c r="D851" s="45">
        <f t="shared" si="167"/>
        <v>15.371971999999998</v>
      </c>
      <c r="E851" s="45">
        <v>19.899999999999999</v>
      </c>
      <c r="F851" s="5">
        <f t="shared" si="163"/>
        <v>0.22753909547738704</v>
      </c>
      <c r="G851" s="45">
        <v>14.87</v>
      </c>
      <c r="H851" s="38">
        <v>16.899999999999999</v>
      </c>
      <c r="I851" s="4">
        <f t="shared" si="164"/>
        <v>0.12011834319526626</v>
      </c>
      <c r="J851" s="23">
        <f t="shared" si="166"/>
        <v>0.50197199999999853</v>
      </c>
    </row>
    <row r="852" spans="1:10" s="26" customFormat="1">
      <c r="A852" s="17" t="s">
        <v>12</v>
      </c>
      <c r="B852" s="34"/>
      <c r="C852" s="35"/>
      <c r="D852" s="33"/>
      <c r="E852" s="45"/>
      <c r="F852" s="5" t="e">
        <f t="shared" si="163"/>
        <v>#DIV/0!</v>
      </c>
      <c r="G852" s="33"/>
      <c r="H852" s="39"/>
      <c r="I852" s="4" t="e">
        <f t="shared" si="164"/>
        <v>#DIV/0!</v>
      </c>
      <c r="J852" s="23"/>
    </row>
    <row r="853" spans="1:10" s="26" customFormat="1">
      <c r="A853" s="17" t="s">
        <v>13</v>
      </c>
      <c r="B853" s="34">
        <v>608875001216</v>
      </c>
      <c r="C853" s="35" t="s">
        <v>327</v>
      </c>
      <c r="D853" s="33">
        <v>25.125</v>
      </c>
      <c r="E853" s="45">
        <v>30.6</v>
      </c>
      <c r="F853" s="5">
        <f t="shared" si="163"/>
        <v>0.17892156862745101</v>
      </c>
      <c r="G853" s="33">
        <v>21.36</v>
      </c>
      <c r="H853" s="39">
        <v>24.5</v>
      </c>
      <c r="I853" s="4">
        <f t="shared" si="164"/>
        <v>0.12816326530612243</v>
      </c>
      <c r="J853" s="23">
        <f t="shared" ref="J853:J858" si="168">+D853-G853</f>
        <v>3.7650000000000006</v>
      </c>
    </row>
    <row r="854" spans="1:10" s="26" customFormat="1">
      <c r="A854" s="17" t="s">
        <v>14</v>
      </c>
      <c r="B854" s="34">
        <v>7501468711116</v>
      </c>
      <c r="C854" s="35" t="s">
        <v>87</v>
      </c>
      <c r="D854" s="33">
        <v>18.649999999999999</v>
      </c>
      <c r="E854" s="45">
        <v>21.2</v>
      </c>
      <c r="F854" s="5">
        <f t="shared" si="163"/>
        <v>0.12028301886792458</v>
      </c>
      <c r="G854" s="33">
        <v>18</v>
      </c>
      <c r="H854" s="39">
        <v>20.5</v>
      </c>
      <c r="I854" s="4">
        <f t="shared" si="164"/>
        <v>0.12195121951219512</v>
      </c>
      <c r="J854" s="23">
        <f t="shared" si="168"/>
        <v>0.64999999999999858</v>
      </c>
    </row>
    <row r="855" spans="1:10" s="26" customFormat="1">
      <c r="A855" s="17"/>
      <c r="B855" s="34">
        <v>7501468777778</v>
      </c>
      <c r="C855" s="35" t="s">
        <v>86</v>
      </c>
      <c r="D855" s="33">
        <v>16</v>
      </c>
      <c r="E855" s="45">
        <v>18.399999999999999</v>
      </c>
      <c r="F855" s="5">
        <f t="shared" si="163"/>
        <v>0.13043478260869557</v>
      </c>
      <c r="G855" s="33">
        <v>15</v>
      </c>
      <c r="H855" s="39">
        <v>16.899999999999999</v>
      </c>
      <c r="I855" s="4">
        <f t="shared" si="164"/>
        <v>0.11242603550295849</v>
      </c>
      <c r="J855" s="23">
        <f t="shared" si="168"/>
        <v>1</v>
      </c>
    </row>
    <row r="856" spans="1:10" s="26" customFormat="1">
      <c r="A856" s="7" t="s">
        <v>15</v>
      </c>
      <c r="B856" s="29"/>
      <c r="C856" s="47"/>
      <c r="D856" s="48"/>
      <c r="E856" s="45"/>
      <c r="F856" s="5" t="e">
        <f t="shared" si="163"/>
        <v>#DIV/0!</v>
      </c>
      <c r="G856" s="48"/>
      <c r="H856" s="49"/>
      <c r="I856" s="4" t="e">
        <f t="shared" si="164"/>
        <v>#DIV/0!</v>
      </c>
      <c r="J856" s="23">
        <f t="shared" si="168"/>
        <v>0</v>
      </c>
    </row>
    <row r="857" spans="1:10" s="26" customFormat="1">
      <c r="A857" s="7" t="s">
        <v>16</v>
      </c>
      <c r="B857" s="34">
        <v>75000615</v>
      </c>
      <c r="C857" s="35" t="s">
        <v>52</v>
      </c>
      <c r="D857" s="33">
        <f>11.93*1.16</f>
        <v>13.838799999999999</v>
      </c>
      <c r="E857" s="45">
        <v>17.3</v>
      </c>
      <c r="F857" s="5">
        <f t="shared" si="163"/>
        <v>0.20006936416184984</v>
      </c>
      <c r="G857" s="33">
        <v>12.5</v>
      </c>
      <c r="H857" s="38">
        <v>13.9</v>
      </c>
      <c r="I857" s="4">
        <f t="shared" si="164"/>
        <v>0.10071942446043169</v>
      </c>
      <c r="J857" s="23">
        <f t="shared" si="168"/>
        <v>1.3387999999999991</v>
      </c>
    </row>
    <row r="858" spans="1:10" s="26" customFormat="1">
      <c r="A858" s="7"/>
      <c r="B858" s="34">
        <v>7501025444969</v>
      </c>
      <c r="C858" s="35" t="s">
        <v>255</v>
      </c>
      <c r="D858" s="33">
        <f>10.9*1.16</f>
        <v>12.644</v>
      </c>
      <c r="E858" s="45">
        <v>16.7</v>
      </c>
      <c r="F858" s="5">
        <f t="shared" si="163"/>
        <v>0.24287425149700592</v>
      </c>
      <c r="G858" s="33">
        <v>11.352</v>
      </c>
      <c r="H858" s="38">
        <v>12.9</v>
      </c>
      <c r="I858" s="4">
        <f t="shared" si="164"/>
        <v>0.12</v>
      </c>
      <c r="J858" s="23">
        <f t="shared" si="168"/>
        <v>1.2919999999999998</v>
      </c>
    </row>
    <row r="859" spans="1:10" s="26" customFormat="1">
      <c r="A859" s="25"/>
      <c r="B859" s="34"/>
      <c r="C859" s="35"/>
      <c r="D859" s="33"/>
      <c r="E859" s="45"/>
      <c r="F859" s="5" t="e">
        <f t="shared" si="163"/>
        <v>#DIV/0!</v>
      </c>
      <c r="G859" s="33"/>
      <c r="H859" s="38"/>
      <c r="I859" s="4" t="e">
        <f t="shared" si="164"/>
        <v>#DIV/0!</v>
      </c>
      <c r="J859" s="23"/>
    </row>
    <row r="860" spans="1:10" s="26" customFormat="1">
      <c r="A860" s="25"/>
      <c r="B860" s="34">
        <v>7509546016306</v>
      </c>
      <c r="C860" s="35" t="s">
        <v>271</v>
      </c>
      <c r="D860" s="30">
        <v>25.1</v>
      </c>
      <c r="E860" s="45">
        <v>31.3</v>
      </c>
      <c r="F860" s="5">
        <f t="shared" si="163"/>
        <v>0.19808306709265178</v>
      </c>
      <c r="G860" s="30">
        <f>15.5388*1.16</f>
        <v>18.025008</v>
      </c>
      <c r="H860" s="39">
        <v>20.5</v>
      </c>
      <c r="I860" s="4">
        <f t="shared" si="164"/>
        <v>0.12073131707317075</v>
      </c>
      <c r="J860" s="23"/>
    </row>
    <row r="861" spans="1:10" s="26" customFormat="1">
      <c r="A861" s="43"/>
      <c r="B861" s="34">
        <v>7509546016313</v>
      </c>
      <c r="C861" s="35" t="s">
        <v>272</v>
      </c>
      <c r="D861" s="30">
        <v>25.1</v>
      </c>
      <c r="E861" s="45">
        <v>31.3</v>
      </c>
      <c r="F861" s="5">
        <f t="shared" si="163"/>
        <v>0.19808306709265178</v>
      </c>
      <c r="G861" s="30">
        <f t="shared" ref="G861:G863" si="169">15.5388*1.16</f>
        <v>18.025008</v>
      </c>
      <c r="H861" s="39">
        <v>20.5</v>
      </c>
      <c r="I861" s="4">
        <f t="shared" si="164"/>
        <v>0.12073131707317075</v>
      </c>
      <c r="J861" s="23"/>
    </row>
    <row r="862" spans="1:10" s="26" customFormat="1">
      <c r="A862" s="7"/>
      <c r="B862" s="29">
        <v>7509546043579</v>
      </c>
      <c r="C862" s="28" t="s">
        <v>273</v>
      </c>
      <c r="D862" s="30">
        <v>25.1</v>
      </c>
      <c r="E862" s="45">
        <v>31.3</v>
      </c>
      <c r="F862" s="5">
        <f t="shared" si="163"/>
        <v>0.19808306709265178</v>
      </c>
      <c r="G862" s="30">
        <f t="shared" si="169"/>
        <v>18.025008</v>
      </c>
      <c r="H862" s="39">
        <v>20.5</v>
      </c>
      <c r="I862" s="4">
        <f t="shared" si="164"/>
        <v>0.12073131707317075</v>
      </c>
      <c r="J862" s="23"/>
    </row>
    <row r="863" spans="1:10" s="26" customFormat="1">
      <c r="A863" s="7"/>
      <c r="B863" s="29">
        <v>7509546050102</v>
      </c>
      <c r="C863" s="28" t="s">
        <v>274</v>
      </c>
      <c r="D863" s="30">
        <v>25.1</v>
      </c>
      <c r="E863" s="45">
        <v>31.3</v>
      </c>
      <c r="F863" s="5">
        <f t="shared" si="163"/>
        <v>0.19808306709265178</v>
      </c>
      <c r="G863" s="30">
        <f t="shared" si="169"/>
        <v>18.025008</v>
      </c>
      <c r="H863" s="39">
        <v>20.5</v>
      </c>
      <c r="I863" s="4">
        <f t="shared" si="164"/>
        <v>0.12073131707317075</v>
      </c>
      <c r="J863" s="23"/>
    </row>
    <row r="864" spans="1:10" s="26" customFormat="1">
      <c r="A864" s="7" t="s">
        <v>17</v>
      </c>
      <c r="B864" s="34"/>
      <c r="C864" s="35"/>
      <c r="D864" s="33"/>
      <c r="E864" s="45"/>
      <c r="F864" s="5" t="e">
        <f t="shared" si="163"/>
        <v>#DIV/0!</v>
      </c>
      <c r="G864" s="33"/>
      <c r="H864" s="38"/>
      <c r="I864" s="4" t="e">
        <f t="shared" si="164"/>
        <v>#DIV/0!</v>
      </c>
      <c r="J864" s="23"/>
    </row>
    <row r="865" spans="1:10" s="26" customFormat="1">
      <c r="A865" s="7" t="s">
        <v>169</v>
      </c>
      <c r="B865" s="34"/>
      <c r="C865" s="35"/>
      <c r="D865" s="33"/>
      <c r="E865" s="45"/>
      <c r="F865" s="5" t="e">
        <f t="shared" si="163"/>
        <v>#DIV/0!</v>
      </c>
      <c r="G865" s="33"/>
      <c r="H865" s="38"/>
      <c r="I865" s="4" t="e">
        <f t="shared" si="164"/>
        <v>#DIV/0!</v>
      </c>
      <c r="J865" s="23"/>
    </row>
    <row r="866" spans="1:10" s="26" customFormat="1">
      <c r="A866" s="7" t="s">
        <v>18</v>
      </c>
      <c r="B866" s="34">
        <v>7501001600426</v>
      </c>
      <c r="C866" s="35" t="s">
        <v>278</v>
      </c>
      <c r="D866" s="33">
        <v>13.92</v>
      </c>
      <c r="E866" s="45">
        <v>17.399999999999999</v>
      </c>
      <c r="F866" s="5">
        <f t="shared" si="163"/>
        <v>0.19999999999999996</v>
      </c>
      <c r="G866" s="33">
        <v>12.76</v>
      </c>
      <c r="H866" s="38">
        <v>14.5</v>
      </c>
      <c r="I866" s="4">
        <f t="shared" si="164"/>
        <v>0.12</v>
      </c>
      <c r="J866" s="23">
        <f>+D866-G866</f>
        <v>1.1600000000000001</v>
      </c>
    </row>
    <row r="867" spans="1:10" s="26" customFormat="1">
      <c r="A867" s="25"/>
      <c r="B867" s="34">
        <v>7501058619228</v>
      </c>
      <c r="C867" s="35" t="s">
        <v>386</v>
      </c>
      <c r="D867" s="33">
        <v>26.98</v>
      </c>
      <c r="E867" s="45">
        <v>33.700000000000003</v>
      </c>
      <c r="F867" s="5">
        <f t="shared" si="163"/>
        <v>0.199406528189911</v>
      </c>
      <c r="G867" s="33">
        <v>24.552</v>
      </c>
      <c r="H867" s="38">
        <v>27.9</v>
      </c>
      <c r="I867" s="4">
        <f t="shared" si="164"/>
        <v>0.12</v>
      </c>
      <c r="J867" s="23">
        <f>+D867-G867</f>
        <v>2.4280000000000008</v>
      </c>
    </row>
    <row r="868" spans="1:10" s="26" customFormat="1">
      <c r="A868" s="7" t="s">
        <v>19</v>
      </c>
      <c r="B868" s="34"/>
      <c r="C868" s="35"/>
      <c r="D868" s="33"/>
      <c r="E868" s="45"/>
      <c r="F868" s="5" t="e">
        <f t="shared" si="163"/>
        <v>#DIV/0!</v>
      </c>
      <c r="G868" s="33"/>
      <c r="H868" s="38"/>
      <c r="I868" s="4" t="e">
        <f t="shared" si="164"/>
        <v>#DIV/0!</v>
      </c>
      <c r="J868" s="23"/>
    </row>
    <row r="869" spans="1:10" s="26" customFormat="1">
      <c r="A869" s="7" t="s">
        <v>20</v>
      </c>
      <c r="B869" s="34">
        <v>7501017005024</v>
      </c>
      <c r="C869" s="35" t="s">
        <v>339</v>
      </c>
      <c r="D869" s="33">
        <v>10.6092</v>
      </c>
      <c r="E869" s="45">
        <v>13.3</v>
      </c>
      <c r="F869" s="5">
        <f t="shared" si="163"/>
        <v>0.20231578947368434</v>
      </c>
      <c r="G869" s="33">
        <f>+D869*0.9</f>
        <v>9.5482800000000001</v>
      </c>
      <c r="H869" s="38">
        <v>10.9</v>
      </c>
      <c r="I869" s="4">
        <f t="shared" si="164"/>
        <v>0.12401100917431196</v>
      </c>
      <c r="J869" s="23">
        <f>+D869-G869</f>
        <v>1.0609199999999994</v>
      </c>
    </row>
    <row r="870" spans="1:10" s="26" customFormat="1">
      <c r="A870" s="7"/>
      <c r="B870" s="29">
        <v>7501017005000</v>
      </c>
      <c r="C870" s="28" t="s">
        <v>340</v>
      </c>
      <c r="D870" s="30">
        <v>8.9023000000000003</v>
      </c>
      <c r="E870" s="45">
        <v>11.2</v>
      </c>
      <c r="F870" s="5">
        <f t="shared" si="163"/>
        <v>0.20515178571428561</v>
      </c>
      <c r="G870" s="30">
        <f>+D870*0.9</f>
        <v>8.0120700000000014</v>
      </c>
      <c r="H870" s="39">
        <v>9.5</v>
      </c>
      <c r="I870" s="4">
        <f t="shared" si="164"/>
        <v>0.1566242105263157</v>
      </c>
      <c r="J870" s="23">
        <f>+D870-G870</f>
        <v>0.89022999999999897</v>
      </c>
    </row>
    <row r="871" spans="1:10" s="26" customFormat="1">
      <c r="A871" s="7" t="s">
        <v>21</v>
      </c>
      <c r="B871" s="29" t="s">
        <v>311</v>
      </c>
      <c r="C871" s="28" t="s">
        <v>312</v>
      </c>
      <c r="D871" s="30">
        <v>9.2512000000000008</v>
      </c>
      <c r="E871" s="45">
        <v>11.9</v>
      </c>
      <c r="F871" s="5">
        <f t="shared" si="163"/>
        <v>0.22258823529411764</v>
      </c>
      <c r="G871" s="30">
        <v>8.98</v>
      </c>
      <c r="H871" s="39">
        <v>10.5</v>
      </c>
      <c r="I871" s="4">
        <f t="shared" si="164"/>
        <v>0.14476190476190476</v>
      </c>
      <c r="J871" s="23"/>
    </row>
    <row r="872" spans="1:10" s="26" customFormat="1">
      <c r="A872" s="25"/>
      <c r="B872" s="34"/>
      <c r="C872" s="35"/>
      <c r="D872" s="33"/>
      <c r="E872" s="45"/>
      <c r="F872" s="5" t="e">
        <f t="shared" si="163"/>
        <v>#DIV/0!</v>
      </c>
      <c r="G872" s="33"/>
      <c r="H872" s="38"/>
      <c r="I872" s="4" t="e">
        <f t="shared" si="164"/>
        <v>#DIV/0!</v>
      </c>
      <c r="J872" s="23">
        <f t="shared" ref="J872" si="170">+D872-G872</f>
        <v>0</v>
      </c>
    </row>
    <row r="873" spans="1:10" s="26" customFormat="1">
      <c r="A873" s="7" t="s">
        <v>39</v>
      </c>
      <c r="B873" s="29">
        <v>7501041419071</v>
      </c>
      <c r="C873" s="28" t="s">
        <v>251</v>
      </c>
      <c r="D873" s="30">
        <v>13.52</v>
      </c>
      <c r="E873" s="45">
        <v>15.9</v>
      </c>
      <c r="F873" s="5">
        <f t="shared" si="163"/>
        <v>0.14968553459119505</v>
      </c>
      <c r="G873" s="30">
        <v>12.78</v>
      </c>
      <c r="H873" s="39">
        <v>14.5</v>
      </c>
      <c r="I873" s="4">
        <f t="shared" si="164"/>
        <v>0.11862068965517247</v>
      </c>
      <c r="J873" s="23"/>
    </row>
    <row r="874" spans="1:10" s="26" customFormat="1">
      <c r="A874" s="25"/>
      <c r="B874" s="34">
        <v>7501041419088</v>
      </c>
      <c r="C874" s="35" t="s">
        <v>250</v>
      </c>
      <c r="D874" s="30">
        <v>13.52</v>
      </c>
      <c r="E874" s="45">
        <v>15.9</v>
      </c>
      <c r="F874" s="5">
        <f t="shared" si="163"/>
        <v>0.14968553459119505</v>
      </c>
      <c r="G874" s="30">
        <v>12.78</v>
      </c>
      <c r="H874" s="38">
        <v>14.5</v>
      </c>
      <c r="I874" s="4">
        <f t="shared" si="164"/>
        <v>0.11862068965517247</v>
      </c>
      <c r="J874" s="23"/>
    </row>
    <row r="875" spans="1:10" s="26" customFormat="1">
      <c r="A875" s="7" t="s">
        <v>22</v>
      </c>
      <c r="B875" s="34">
        <v>7509546051932</v>
      </c>
      <c r="C875" s="35" t="s">
        <v>247</v>
      </c>
      <c r="D875" s="33">
        <f>30.9583*1.16</f>
        <v>35.911628</v>
      </c>
      <c r="E875" s="45">
        <v>43.8</v>
      </c>
      <c r="F875" s="5">
        <f t="shared" si="163"/>
        <v>0.18009981735159808</v>
      </c>
      <c r="G875" s="33">
        <f>+D875*0.85</f>
        <v>30.524883799999998</v>
      </c>
      <c r="H875" s="38">
        <v>35.9</v>
      </c>
      <c r="I875" s="4">
        <f t="shared" si="164"/>
        <v>0.14972468523676885</v>
      </c>
      <c r="J875" s="23"/>
    </row>
    <row r="876" spans="1:10" s="26" customFormat="1">
      <c r="A876" s="7" t="s">
        <v>23</v>
      </c>
      <c r="B876" s="29">
        <v>7501058618597</v>
      </c>
      <c r="C876" s="28" t="s">
        <v>253</v>
      </c>
      <c r="D876" s="33">
        <f>16.79*1.08</f>
        <v>18.133199999999999</v>
      </c>
      <c r="E876" s="45">
        <v>22.7</v>
      </c>
      <c r="F876" s="5">
        <f t="shared" si="163"/>
        <v>0.20118061674008814</v>
      </c>
      <c r="G876" s="33">
        <f>+D876*0.9</f>
        <v>16.319879999999998</v>
      </c>
      <c r="H876" s="38">
        <v>18.39</v>
      </c>
      <c r="I876" s="4">
        <f t="shared" si="164"/>
        <v>0.11256769983686798</v>
      </c>
      <c r="J876" s="23">
        <f t="shared" ref="J876:J878" si="171">+D876-G876</f>
        <v>1.8133200000000009</v>
      </c>
    </row>
    <row r="877" spans="1:10" s="26" customFormat="1">
      <c r="A877" s="7" t="s">
        <v>24</v>
      </c>
      <c r="B877" s="34"/>
      <c r="C877" s="35"/>
      <c r="D877" s="33"/>
      <c r="E877" s="45"/>
      <c r="F877" s="5" t="e">
        <f t="shared" si="163"/>
        <v>#DIV/0!</v>
      </c>
      <c r="G877" s="33"/>
      <c r="H877" s="38"/>
      <c r="I877" s="4" t="e">
        <f t="shared" si="164"/>
        <v>#DIV/0!</v>
      </c>
      <c r="J877" s="23">
        <f t="shared" si="171"/>
        <v>0</v>
      </c>
    </row>
    <row r="878" spans="1:10" s="26" customFormat="1">
      <c r="A878" s="25"/>
      <c r="B878" s="34"/>
      <c r="C878" s="35"/>
      <c r="D878" s="33"/>
      <c r="E878" s="45"/>
      <c r="F878" s="5" t="e">
        <f t="shared" si="163"/>
        <v>#DIV/0!</v>
      </c>
      <c r="G878" s="33"/>
      <c r="H878" s="38"/>
      <c r="I878" s="4" t="e">
        <f t="shared" si="164"/>
        <v>#DIV/0!</v>
      </c>
      <c r="J878" s="23">
        <f t="shared" si="171"/>
        <v>0</v>
      </c>
    </row>
    <row r="879" spans="1:10" s="26" customFormat="1">
      <c r="A879" s="7" t="s">
        <v>25</v>
      </c>
      <c r="B879" s="29">
        <v>7500478023899</v>
      </c>
      <c r="C879" s="28" t="s">
        <v>81</v>
      </c>
      <c r="D879" s="30">
        <v>19.46</v>
      </c>
      <c r="E879" s="45">
        <v>22.9</v>
      </c>
      <c r="F879" s="5">
        <f t="shared" si="163"/>
        <v>0.15021834061135364</v>
      </c>
      <c r="G879" s="33">
        <v>18</v>
      </c>
      <c r="H879" s="38">
        <v>20.5</v>
      </c>
      <c r="I879" s="4">
        <f t="shared" si="164"/>
        <v>0.12195121951219512</v>
      </c>
      <c r="J879" s="23"/>
    </row>
    <row r="880" spans="1:10" s="26" customFormat="1">
      <c r="A880" s="7"/>
      <c r="B880" s="29">
        <v>7500478018192</v>
      </c>
      <c r="C880" s="28" t="s">
        <v>352</v>
      </c>
      <c r="D880" s="30">
        <v>39.83</v>
      </c>
      <c r="E880" s="45">
        <v>46.9</v>
      </c>
      <c r="F880" s="5">
        <f t="shared" si="163"/>
        <v>0.15074626865671648</v>
      </c>
      <c r="G880" s="30">
        <f>+D880*0.9</f>
        <v>35.847000000000001</v>
      </c>
      <c r="H880" s="39">
        <v>40.9</v>
      </c>
      <c r="I880" s="4">
        <f t="shared" si="164"/>
        <v>0.12354523227383862</v>
      </c>
      <c r="J880" s="23"/>
    </row>
    <row r="881" spans="1:10" s="26" customFormat="1">
      <c r="A881" s="7" t="s">
        <v>26</v>
      </c>
      <c r="B881" s="29">
        <v>7501036010016</v>
      </c>
      <c r="C881" s="28" t="s">
        <v>249</v>
      </c>
      <c r="D881" s="30">
        <v>16</v>
      </c>
      <c r="E881" s="45">
        <v>18.2</v>
      </c>
      <c r="F881" s="5">
        <f t="shared" si="163"/>
        <v>0.12087912087912089</v>
      </c>
      <c r="G881" s="30">
        <v>14.55</v>
      </c>
      <c r="H881" s="39">
        <v>16.899999999999999</v>
      </c>
      <c r="I881" s="4">
        <f t="shared" si="164"/>
        <v>0.13905325443786976</v>
      </c>
      <c r="J881" s="23"/>
    </row>
    <row r="882" spans="1:10" s="26" customFormat="1">
      <c r="A882" s="7" t="s">
        <v>27</v>
      </c>
      <c r="B882" s="63"/>
      <c r="C882" s="28"/>
      <c r="D882" s="30"/>
      <c r="E882" s="45"/>
      <c r="F882" s="5" t="e">
        <f t="shared" si="163"/>
        <v>#DIV/0!</v>
      </c>
      <c r="G882" s="30"/>
      <c r="H882" s="39"/>
      <c r="I882" s="4" t="e">
        <f t="shared" si="164"/>
        <v>#DIV/0!</v>
      </c>
      <c r="J882" s="23">
        <f t="shared" ref="J882:J898" si="172">+D882-G882</f>
        <v>0</v>
      </c>
    </row>
    <row r="883" spans="1:10" s="26" customFormat="1">
      <c r="A883" s="7" t="s">
        <v>28</v>
      </c>
      <c r="B883" s="28"/>
      <c r="C883" s="28"/>
      <c r="D883" s="30"/>
      <c r="E883" s="45"/>
      <c r="F883" s="5" t="e">
        <f t="shared" si="163"/>
        <v>#DIV/0!</v>
      </c>
      <c r="G883" s="30"/>
      <c r="H883" s="39"/>
      <c r="I883" s="4" t="e">
        <f t="shared" si="164"/>
        <v>#DIV/0!</v>
      </c>
      <c r="J883" s="23">
        <f t="shared" si="172"/>
        <v>0</v>
      </c>
    </row>
    <row r="884" spans="1:10" s="26" customFormat="1">
      <c r="A884" s="7" t="s">
        <v>29</v>
      </c>
      <c r="B884" s="29"/>
      <c r="C884" s="28"/>
      <c r="D884" s="30"/>
      <c r="E884" s="45"/>
      <c r="F884" s="5" t="e">
        <f t="shared" si="163"/>
        <v>#DIV/0!</v>
      </c>
      <c r="G884" s="30"/>
      <c r="H884" s="39"/>
      <c r="I884" s="4" t="e">
        <f t="shared" si="164"/>
        <v>#DIV/0!</v>
      </c>
      <c r="J884" s="23">
        <f t="shared" si="172"/>
        <v>0</v>
      </c>
    </row>
    <row r="885" spans="1:10" s="26" customFormat="1">
      <c r="A885" s="7" t="s">
        <v>30</v>
      </c>
      <c r="B885" s="29"/>
      <c r="C885" s="28"/>
      <c r="D885" s="30"/>
      <c r="E885" s="45"/>
      <c r="F885" s="5" t="e">
        <f t="shared" si="163"/>
        <v>#DIV/0!</v>
      </c>
      <c r="G885" s="30"/>
      <c r="H885" s="39"/>
      <c r="I885" s="4" t="e">
        <f t="shared" si="164"/>
        <v>#DIV/0!</v>
      </c>
      <c r="J885" s="23">
        <f t="shared" si="172"/>
        <v>0</v>
      </c>
    </row>
    <row r="886" spans="1:10" s="26" customFormat="1">
      <c r="A886" s="7" t="s">
        <v>38</v>
      </c>
      <c r="B886" s="29">
        <v>7501025403034</v>
      </c>
      <c r="C886" s="28" t="s">
        <v>55</v>
      </c>
      <c r="D886" s="30">
        <f>20.0527*1.16</f>
        <v>23.261132</v>
      </c>
      <c r="E886" s="45">
        <v>28.9</v>
      </c>
      <c r="F886" s="5">
        <f t="shared" si="163"/>
        <v>0.19511653979238752</v>
      </c>
      <c r="G886" s="30">
        <v>19.71</v>
      </c>
      <c r="H886" s="39">
        <v>21.9</v>
      </c>
      <c r="I886" s="4">
        <f t="shared" si="164"/>
        <v>9.9999999999999867E-2</v>
      </c>
      <c r="J886" s="23">
        <f t="shared" si="172"/>
        <v>3.5511319999999991</v>
      </c>
    </row>
    <row r="887" spans="1:10" s="26" customFormat="1">
      <c r="A887" s="7"/>
      <c r="B887" s="29">
        <v>7501025431457</v>
      </c>
      <c r="C887" s="28" t="s">
        <v>49</v>
      </c>
      <c r="D887" s="30">
        <f>10.57*1.16</f>
        <v>12.261199999999999</v>
      </c>
      <c r="E887" s="45">
        <v>15.3</v>
      </c>
      <c r="F887" s="5">
        <f t="shared" si="163"/>
        <v>0.19861437908496749</v>
      </c>
      <c r="G887" s="30">
        <v>11.25</v>
      </c>
      <c r="H887" s="39">
        <v>12.5</v>
      </c>
      <c r="I887" s="4">
        <f t="shared" si="164"/>
        <v>9.9999999999999978E-2</v>
      </c>
      <c r="J887" s="23">
        <f t="shared" si="172"/>
        <v>1.0111999999999988</v>
      </c>
    </row>
    <row r="888" spans="1:10" s="26" customFormat="1">
      <c r="A888" s="7"/>
      <c r="B888" s="29">
        <v>7501025440282</v>
      </c>
      <c r="C888" s="28" t="s">
        <v>46</v>
      </c>
      <c r="D888" s="30">
        <f t="shared" ref="D888:D891" si="173">10.57*1.16</f>
        <v>12.261199999999999</v>
      </c>
      <c r="E888" s="45">
        <v>15.3</v>
      </c>
      <c r="F888" s="5">
        <f t="shared" si="163"/>
        <v>0.19861437908496749</v>
      </c>
      <c r="G888" s="30">
        <v>11.25</v>
      </c>
      <c r="H888" s="39">
        <v>12.5</v>
      </c>
      <c r="I888" s="4">
        <f t="shared" si="164"/>
        <v>9.9999999999999978E-2</v>
      </c>
      <c r="J888" s="23">
        <f t="shared" si="172"/>
        <v>1.0111999999999988</v>
      </c>
    </row>
    <row r="889" spans="1:10" s="26" customFormat="1">
      <c r="A889" s="7"/>
      <c r="B889" s="29">
        <v>7501025440299</v>
      </c>
      <c r="C889" s="28" t="s">
        <v>47</v>
      </c>
      <c r="D889" s="30">
        <f t="shared" si="173"/>
        <v>12.261199999999999</v>
      </c>
      <c r="E889" s="45">
        <v>15.3</v>
      </c>
      <c r="F889" s="5">
        <f t="shared" si="163"/>
        <v>0.19861437908496749</v>
      </c>
      <c r="G889" s="30">
        <v>11.25</v>
      </c>
      <c r="H889" s="39">
        <v>12.5</v>
      </c>
      <c r="I889" s="4">
        <f t="shared" si="164"/>
        <v>9.9999999999999978E-2</v>
      </c>
      <c r="J889" s="23">
        <f t="shared" si="172"/>
        <v>1.0111999999999988</v>
      </c>
    </row>
    <row r="890" spans="1:10" s="26" customFormat="1">
      <c r="A890" s="7"/>
      <c r="B890" s="29">
        <v>7501025440305</v>
      </c>
      <c r="C890" s="28" t="s">
        <v>48</v>
      </c>
      <c r="D890" s="30">
        <f t="shared" si="173"/>
        <v>12.261199999999999</v>
      </c>
      <c r="E890" s="45">
        <v>15.3</v>
      </c>
      <c r="F890" s="5">
        <f t="shared" si="163"/>
        <v>0.19861437908496749</v>
      </c>
      <c r="G890" s="30">
        <v>11.25</v>
      </c>
      <c r="H890" s="39">
        <v>12.5</v>
      </c>
      <c r="I890" s="4">
        <f t="shared" si="164"/>
        <v>9.9999999999999978E-2</v>
      </c>
      <c r="J890" s="23">
        <f t="shared" si="172"/>
        <v>1.0111999999999988</v>
      </c>
    </row>
    <row r="891" spans="1:10" s="26" customFormat="1">
      <c r="A891" s="43"/>
      <c r="B891" s="34" t="s">
        <v>185</v>
      </c>
      <c r="C891" s="35" t="s">
        <v>186</v>
      </c>
      <c r="D891" s="30">
        <f t="shared" si="173"/>
        <v>12.261199999999999</v>
      </c>
      <c r="E891" s="45">
        <v>15.3</v>
      </c>
      <c r="F891" s="5">
        <f t="shared" si="163"/>
        <v>0.19861437908496749</v>
      </c>
      <c r="G891" s="30">
        <v>11.25</v>
      </c>
      <c r="H891" s="39">
        <v>12.5</v>
      </c>
      <c r="I891" s="4">
        <f t="shared" si="164"/>
        <v>9.9999999999999978E-2</v>
      </c>
      <c r="J891" s="23">
        <f t="shared" si="172"/>
        <v>1.0111999999999988</v>
      </c>
    </row>
    <row r="892" spans="1:10" s="26" customFormat="1">
      <c r="A892" s="43"/>
      <c r="B892" s="34"/>
      <c r="C892" s="35"/>
      <c r="D892" s="30"/>
      <c r="E892" s="45"/>
      <c r="F892" s="5" t="e">
        <f t="shared" si="163"/>
        <v>#DIV/0!</v>
      </c>
      <c r="G892" s="30"/>
      <c r="H892" s="39"/>
      <c r="I892" s="4" t="e">
        <f t="shared" si="164"/>
        <v>#DIV/0!</v>
      </c>
      <c r="J892" s="23">
        <f t="shared" si="172"/>
        <v>0</v>
      </c>
    </row>
    <row r="893" spans="1:10" s="26" customFormat="1">
      <c r="A893" s="7" t="s">
        <v>31</v>
      </c>
      <c r="B893" s="29">
        <v>619585006118</v>
      </c>
      <c r="C893" s="28" t="s">
        <v>387</v>
      </c>
      <c r="D893" s="30">
        <v>95.37</v>
      </c>
      <c r="E893" s="45">
        <v>112.2</v>
      </c>
      <c r="F893" s="5">
        <f t="shared" si="163"/>
        <v>0.15000000000000002</v>
      </c>
      <c r="G893" s="30">
        <v>85.83</v>
      </c>
      <c r="H893" s="39">
        <v>97.9</v>
      </c>
      <c r="I893" s="4">
        <f t="shared" si="164"/>
        <v>0.12328907048008175</v>
      </c>
      <c r="J893" s="23">
        <f t="shared" si="172"/>
        <v>9.5400000000000063</v>
      </c>
    </row>
    <row r="894" spans="1:10" s="26" customFormat="1">
      <c r="A894" s="25"/>
      <c r="B894" s="34">
        <v>619585006217</v>
      </c>
      <c r="C894" s="35" t="s">
        <v>388</v>
      </c>
      <c r="D894" s="33">
        <v>105.655</v>
      </c>
      <c r="E894" s="45">
        <v>124.3</v>
      </c>
      <c r="F894" s="5">
        <f t="shared" si="163"/>
        <v>0.15000000000000002</v>
      </c>
      <c r="G894" s="30">
        <v>95.09</v>
      </c>
      <c r="H894" s="39">
        <v>108.9</v>
      </c>
      <c r="I894" s="4">
        <f t="shared" si="164"/>
        <v>0.12681359044995411</v>
      </c>
      <c r="J894" s="23">
        <f t="shared" si="172"/>
        <v>10.564999999999998</v>
      </c>
    </row>
    <row r="895" spans="1:10" s="26" customFormat="1">
      <c r="A895" s="25"/>
      <c r="B895" s="34">
        <v>619585006316</v>
      </c>
      <c r="C895" s="35" t="s">
        <v>389</v>
      </c>
      <c r="D895" s="33">
        <v>117.2</v>
      </c>
      <c r="E895" s="45">
        <v>137.80000000000001</v>
      </c>
      <c r="F895" s="5">
        <f t="shared" si="163"/>
        <v>0.14949201741654572</v>
      </c>
      <c r="G895" s="30">
        <v>105.48</v>
      </c>
      <c r="H895" s="39">
        <v>119.9</v>
      </c>
      <c r="I895" s="4">
        <f t="shared" si="164"/>
        <v>0.12026688907422856</v>
      </c>
      <c r="J895" s="23">
        <f t="shared" si="172"/>
        <v>11.719999999999999</v>
      </c>
    </row>
    <row r="896" spans="1:10" s="26" customFormat="1">
      <c r="A896" s="25"/>
      <c r="B896" s="34">
        <v>619585006415</v>
      </c>
      <c r="C896" s="35" t="s">
        <v>390</v>
      </c>
      <c r="D896" s="30">
        <v>131.66</v>
      </c>
      <c r="E896" s="45">
        <v>154.9</v>
      </c>
      <c r="F896" s="5">
        <f t="shared" si="163"/>
        <v>0.15003227888960624</v>
      </c>
      <c r="G896" s="30">
        <v>118.49</v>
      </c>
      <c r="H896" s="39">
        <v>134.9</v>
      </c>
      <c r="I896" s="4">
        <f t="shared" si="164"/>
        <v>0.12164566345441075</v>
      </c>
      <c r="J896" s="23">
        <f t="shared" si="172"/>
        <v>13.170000000000002</v>
      </c>
    </row>
    <row r="897" spans="1:10" s="26" customFormat="1">
      <c r="A897" s="7"/>
      <c r="B897" s="29">
        <v>619585006613</v>
      </c>
      <c r="C897" s="28" t="s">
        <v>391</v>
      </c>
      <c r="D897" s="30">
        <v>153.76</v>
      </c>
      <c r="E897" s="45">
        <v>180.9</v>
      </c>
      <c r="F897" s="5">
        <f t="shared" si="163"/>
        <v>0.15002763957987841</v>
      </c>
      <c r="G897" s="30">
        <v>138.38</v>
      </c>
      <c r="H897" s="39">
        <v>157.9</v>
      </c>
      <c r="I897" s="4">
        <f t="shared" si="164"/>
        <v>0.12362254591513622</v>
      </c>
      <c r="J897" s="23">
        <f t="shared" si="172"/>
        <v>15.379999999999995</v>
      </c>
    </row>
    <row r="898" spans="1:10" s="26" customFormat="1">
      <c r="A898" s="7"/>
      <c r="B898" s="29"/>
      <c r="C898" s="28"/>
      <c r="D898" s="30"/>
      <c r="E898" s="45"/>
      <c r="F898" s="5" t="e">
        <f t="shared" si="163"/>
        <v>#DIV/0!</v>
      </c>
      <c r="G898" s="30"/>
      <c r="H898" s="39"/>
      <c r="I898" s="4" t="e">
        <f t="shared" si="164"/>
        <v>#DIV/0!</v>
      </c>
      <c r="J898" s="23">
        <f t="shared" si="172"/>
        <v>0</v>
      </c>
    </row>
    <row r="899" spans="1:10" s="26" customFormat="1">
      <c r="A899" s="7" t="s">
        <v>167</v>
      </c>
      <c r="B899" s="29" t="s">
        <v>40</v>
      </c>
      <c r="C899" s="28" t="s">
        <v>57</v>
      </c>
      <c r="D899" s="30">
        <v>23.12</v>
      </c>
      <c r="E899" s="45">
        <v>27.2</v>
      </c>
      <c r="F899" s="5">
        <f t="shared" si="163"/>
        <v>0.14999999999999991</v>
      </c>
      <c r="G899" s="30">
        <v>21.38</v>
      </c>
      <c r="H899" s="39">
        <v>24.5</v>
      </c>
      <c r="I899" s="4">
        <f t="shared" si="164"/>
        <v>0.12734693877551029</v>
      </c>
      <c r="J899" s="23"/>
    </row>
    <row r="900" spans="1:10" s="26" customFormat="1">
      <c r="A900" s="25"/>
      <c r="B900" s="34" t="s">
        <v>41</v>
      </c>
      <c r="C900" s="35" t="s">
        <v>58</v>
      </c>
      <c r="D900" s="33">
        <v>23.35</v>
      </c>
      <c r="E900" s="45">
        <v>27.2</v>
      </c>
      <c r="F900" s="5">
        <f t="shared" si="163"/>
        <v>0.14154411764705876</v>
      </c>
      <c r="G900" s="33">
        <f>18.64*1.16</f>
        <v>21.622399999999999</v>
      </c>
      <c r="H900" s="38">
        <v>24.5</v>
      </c>
      <c r="I900" s="4">
        <f t="shared" si="164"/>
        <v>0.11745306122448984</v>
      </c>
      <c r="J900" s="23"/>
    </row>
    <row r="901" spans="1:10" s="26" customFormat="1">
      <c r="A901" s="25"/>
      <c r="B901" s="34">
        <v>7502247335677</v>
      </c>
      <c r="C901" s="35" t="s">
        <v>59</v>
      </c>
      <c r="D901" s="33">
        <v>18.45</v>
      </c>
      <c r="E901" s="45">
        <v>21.7</v>
      </c>
      <c r="F901" s="5">
        <f t="shared" si="163"/>
        <v>0.14976958525345618</v>
      </c>
      <c r="G901" s="33">
        <f>13*1.16</f>
        <v>15.079999999999998</v>
      </c>
      <c r="H901" s="38">
        <v>16.899999999999999</v>
      </c>
      <c r="I901" s="4">
        <f t="shared" si="164"/>
        <v>0.10769230769230775</v>
      </c>
      <c r="J901" s="23"/>
    </row>
    <row r="902" spans="1:10" s="26" customFormat="1">
      <c r="A902" s="25"/>
      <c r="B902" s="34">
        <v>7502247338845</v>
      </c>
      <c r="C902" s="35" t="s">
        <v>212</v>
      </c>
      <c r="D902" s="33">
        <v>8</v>
      </c>
      <c r="E902" s="45">
        <v>9.4</v>
      </c>
      <c r="F902" s="5">
        <f t="shared" si="163"/>
        <v>0.14893617021276595</v>
      </c>
      <c r="G902" s="33">
        <v>6.84</v>
      </c>
      <c r="H902" s="38">
        <v>7.9</v>
      </c>
      <c r="I902" s="4">
        <f t="shared" si="164"/>
        <v>0.13417721518987347</v>
      </c>
      <c r="J902" s="23"/>
    </row>
    <row r="903" spans="1:10" s="26" customFormat="1">
      <c r="A903" s="25"/>
      <c r="B903" s="34">
        <v>7501943458499</v>
      </c>
      <c r="C903" s="35" t="s">
        <v>204</v>
      </c>
      <c r="D903" s="33">
        <v>6.45</v>
      </c>
      <c r="E903" s="45">
        <v>7.6</v>
      </c>
      <c r="F903" s="5">
        <f t="shared" si="163"/>
        <v>0.15131578947368418</v>
      </c>
      <c r="G903" s="33">
        <f>4.8215*1.16</f>
        <v>5.5929399999999996</v>
      </c>
      <c r="H903" s="38">
        <v>6.5</v>
      </c>
      <c r="I903" s="4">
        <f t="shared" si="164"/>
        <v>0.13954769230769237</v>
      </c>
      <c r="J903" s="23"/>
    </row>
    <row r="904" spans="1:10" s="26" customFormat="1">
      <c r="A904" s="25"/>
      <c r="B904" s="34">
        <v>7506425605781</v>
      </c>
      <c r="C904" s="35" t="s">
        <v>350</v>
      </c>
      <c r="D904" s="33">
        <v>14.940799999999999</v>
      </c>
      <c r="E904" s="45">
        <v>19.899999999999999</v>
      </c>
      <c r="F904" s="5">
        <f t="shared" si="163"/>
        <v>0.24920603015075371</v>
      </c>
      <c r="G904" s="33">
        <f>12.88*1.16</f>
        <v>14.940799999999999</v>
      </c>
      <c r="H904" s="38">
        <v>16.899999999999999</v>
      </c>
      <c r="I904" s="4">
        <f t="shared" si="164"/>
        <v>0.11592899408284019</v>
      </c>
      <c r="J904" s="23"/>
    </row>
    <row r="905" spans="1:10" s="26" customFormat="1">
      <c r="A905" s="25"/>
      <c r="B905" s="34">
        <v>7501007716206</v>
      </c>
      <c r="C905" s="35" t="s">
        <v>168</v>
      </c>
      <c r="D905" s="33">
        <f>25.82*1.16</f>
        <v>29.951199999999996</v>
      </c>
      <c r="E905" s="45">
        <v>37.6</v>
      </c>
      <c r="F905" s="5">
        <f t="shared" si="163"/>
        <v>0.20342553191489376</v>
      </c>
      <c r="G905" s="33">
        <v>26.95</v>
      </c>
      <c r="H905" s="38">
        <v>31.9</v>
      </c>
      <c r="I905" s="4">
        <f t="shared" si="164"/>
        <v>0.15517241379310343</v>
      </c>
      <c r="J905" s="23"/>
    </row>
    <row r="906" spans="1:10" s="26" customFormat="1">
      <c r="A906" s="7" t="s">
        <v>32</v>
      </c>
      <c r="B906" s="34">
        <v>7501071307775</v>
      </c>
      <c r="C906" s="35" t="s">
        <v>319</v>
      </c>
      <c r="D906" s="33">
        <v>14.0967</v>
      </c>
      <c r="E906" s="45">
        <v>16.600000000000001</v>
      </c>
      <c r="F906" s="5">
        <f t="shared" si="163"/>
        <v>0.15080120481927717</v>
      </c>
      <c r="G906" s="33">
        <v>12.68703</v>
      </c>
      <c r="H906" s="38">
        <v>14.9</v>
      </c>
      <c r="I906" s="4">
        <f t="shared" si="164"/>
        <v>0.14852147651006709</v>
      </c>
      <c r="J906" s="23"/>
    </row>
    <row r="907" spans="1:10" s="26" customFormat="1">
      <c r="A907" s="25"/>
      <c r="B907" s="34">
        <v>7501071307782</v>
      </c>
      <c r="C907" s="35" t="s">
        <v>320</v>
      </c>
      <c r="D907" s="33">
        <v>14.126300000000001</v>
      </c>
      <c r="E907" s="45">
        <v>16.600000000000001</v>
      </c>
      <c r="F907" s="5">
        <f t="shared" si="163"/>
        <v>0.14901807228915664</v>
      </c>
      <c r="G907" s="33">
        <v>12.71367</v>
      </c>
      <c r="H907" s="38">
        <v>14.9</v>
      </c>
      <c r="I907" s="4">
        <f t="shared" si="164"/>
        <v>0.14673355704697988</v>
      </c>
      <c r="J907" s="23"/>
    </row>
    <row r="908" spans="1:10" s="26" customFormat="1">
      <c r="A908" s="25"/>
      <c r="B908" s="34">
        <v>7501071307799</v>
      </c>
      <c r="C908" s="35" t="s">
        <v>321</v>
      </c>
      <c r="D908" s="33">
        <v>14.12</v>
      </c>
      <c r="E908" s="45">
        <v>16.600000000000001</v>
      </c>
      <c r="F908" s="5">
        <f t="shared" ref="F908:F914" si="174">+((D908/E908)-1)*-1</f>
        <v>0.14939759036144595</v>
      </c>
      <c r="G908" s="33">
        <v>12.708</v>
      </c>
      <c r="H908" s="38">
        <v>14.9</v>
      </c>
      <c r="I908" s="4">
        <f t="shared" ref="I908:I914" si="175">+((G908/H908)-1)*-1</f>
        <v>0.14711409395973152</v>
      </c>
      <c r="J908" s="23"/>
    </row>
    <row r="909" spans="1:10" s="26" customFormat="1">
      <c r="A909" s="7" t="s">
        <v>33</v>
      </c>
      <c r="B909" s="29"/>
      <c r="C909" s="28" t="s">
        <v>382</v>
      </c>
      <c r="D909" s="30">
        <v>6.2</v>
      </c>
      <c r="E909" s="45">
        <v>7.6</v>
      </c>
      <c r="F909" s="5">
        <f t="shared" si="174"/>
        <v>0.18421052631578938</v>
      </c>
      <c r="G909" s="30">
        <v>5.8297999999999996</v>
      </c>
      <c r="H909" s="39">
        <v>6.5</v>
      </c>
      <c r="I909" s="4">
        <f t="shared" si="175"/>
        <v>0.10310769230769234</v>
      </c>
      <c r="J909" s="23">
        <f t="shared" ref="J909:J910" si="176">+D909-G909</f>
        <v>0.37020000000000053</v>
      </c>
    </row>
    <row r="910" spans="1:10" s="26" customFormat="1">
      <c r="A910" s="7" t="s">
        <v>34</v>
      </c>
      <c r="B910" s="29">
        <v>7501003150233</v>
      </c>
      <c r="C910" s="28" t="s">
        <v>90</v>
      </c>
      <c r="D910" s="30">
        <v>32.1</v>
      </c>
      <c r="E910" s="45">
        <v>40.200000000000003</v>
      </c>
      <c r="F910" s="5">
        <f t="shared" si="174"/>
        <v>0.20149253731343286</v>
      </c>
      <c r="G910" s="30">
        <f>+D910*0.9</f>
        <v>28.89</v>
      </c>
      <c r="H910" s="39">
        <v>32.9</v>
      </c>
      <c r="I910" s="4">
        <f t="shared" si="175"/>
        <v>0.12188449848024308</v>
      </c>
      <c r="J910" s="23">
        <f t="shared" si="176"/>
        <v>3.2100000000000009</v>
      </c>
    </row>
    <row r="911" spans="1:10" s="26" customFormat="1">
      <c r="A911" s="7" t="s">
        <v>35</v>
      </c>
      <c r="B911" s="29">
        <v>75053901</v>
      </c>
      <c r="C911" s="28" t="s">
        <v>308</v>
      </c>
      <c r="D911" s="30">
        <v>12.3713</v>
      </c>
      <c r="E911" s="45">
        <v>15.5</v>
      </c>
      <c r="F911" s="5">
        <f t="shared" si="174"/>
        <v>0.20185161290322584</v>
      </c>
      <c r="G911" s="30">
        <v>11.3</v>
      </c>
      <c r="H911" s="39">
        <v>12.9</v>
      </c>
      <c r="I911" s="4">
        <f t="shared" si="175"/>
        <v>0.12403100775193798</v>
      </c>
      <c r="J911" s="23"/>
    </row>
    <row r="912" spans="1:10" s="26" customFormat="1">
      <c r="A912" s="25" t="s">
        <v>304</v>
      </c>
      <c r="B912" s="34">
        <v>7501079702817</v>
      </c>
      <c r="C912" s="35" t="s">
        <v>351</v>
      </c>
      <c r="D912" s="33">
        <v>5.7</v>
      </c>
      <c r="E912" s="45">
        <v>7.2</v>
      </c>
      <c r="F912" s="5">
        <f t="shared" si="174"/>
        <v>0.20833333333333337</v>
      </c>
      <c r="G912" s="33">
        <f>+D912*0.9</f>
        <v>5.13</v>
      </c>
      <c r="H912" s="38">
        <v>5.9</v>
      </c>
      <c r="I912" s="4">
        <f t="shared" si="175"/>
        <v>0.13050847457627124</v>
      </c>
      <c r="J912" s="23">
        <f t="shared" ref="J912:J914" si="177">+D912-G912</f>
        <v>0.57000000000000028</v>
      </c>
    </row>
    <row r="913" spans="1:10" s="26" customFormat="1">
      <c r="A913" s="7" t="s">
        <v>36</v>
      </c>
      <c r="B913" s="29"/>
      <c r="C913" s="28"/>
      <c r="D913" s="30"/>
      <c r="E913" s="45"/>
      <c r="F913" s="5" t="e">
        <f t="shared" si="174"/>
        <v>#DIV/0!</v>
      </c>
      <c r="G913" s="30"/>
      <c r="H913" s="39"/>
      <c r="I913" s="4" t="e">
        <f t="shared" si="175"/>
        <v>#DIV/0!</v>
      </c>
      <c r="J913" s="23">
        <f t="shared" si="177"/>
        <v>0</v>
      </c>
    </row>
    <row r="914" spans="1:10" s="26" customFormat="1">
      <c r="A914" s="17" t="s">
        <v>37</v>
      </c>
      <c r="B914" s="14"/>
      <c r="C914" s="15"/>
      <c r="D914" s="13"/>
      <c r="E914" s="13"/>
      <c r="F914" s="5" t="e">
        <f t="shared" si="174"/>
        <v>#DIV/0!</v>
      </c>
      <c r="G914" s="30"/>
      <c r="H914" s="39"/>
      <c r="I914" s="4" t="e">
        <f t="shared" si="175"/>
        <v>#DIV/0!</v>
      </c>
      <c r="J914" s="23">
        <f t="shared" si="177"/>
        <v>0</v>
      </c>
    </row>
    <row r="920" spans="1:10" s="26" customFormat="1" ht="15.75">
      <c r="A920" s="77" t="s">
        <v>332</v>
      </c>
      <c r="B920" s="77"/>
      <c r="C920" s="77"/>
    </row>
    <row r="921" spans="1:10" s="26" customFormat="1" ht="23.25" customHeight="1">
      <c r="A921" s="78" t="s">
        <v>394</v>
      </c>
      <c r="B921" s="78"/>
      <c r="C921" s="78"/>
      <c r="D921" s="79" t="s">
        <v>0</v>
      </c>
      <c r="E921" s="80"/>
      <c r="F921" s="81"/>
      <c r="G921" s="79" t="s">
        <v>1</v>
      </c>
      <c r="H921" s="80"/>
      <c r="I921" s="81"/>
    </row>
    <row r="922" spans="1:10" s="26" customFormat="1" ht="22.5">
      <c r="A922" s="41" t="s">
        <v>11</v>
      </c>
      <c r="B922" s="41" t="s">
        <v>2</v>
      </c>
      <c r="C922" s="41" t="s">
        <v>3</v>
      </c>
      <c r="D922" s="27" t="s">
        <v>4</v>
      </c>
      <c r="E922" s="27" t="s">
        <v>5</v>
      </c>
      <c r="F922" s="3" t="s">
        <v>6</v>
      </c>
      <c r="G922" s="27" t="s">
        <v>7</v>
      </c>
      <c r="H922" s="37" t="s">
        <v>8</v>
      </c>
      <c r="I922" s="3" t="s">
        <v>9</v>
      </c>
      <c r="J922" s="6" t="s">
        <v>10</v>
      </c>
    </row>
    <row r="923" spans="1:10" s="26" customFormat="1">
      <c r="A923" s="7"/>
      <c r="B923" s="52">
        <v>7501468711116</v>
      </c>
      <c r="C923" s="54" t="s">
        <v>87</v>
      </c>
      <c r="D923" s="45">
        <v>18.5</v>
      </c>
      <c r="E923" s="45">
        <v>21.2</v>
      </c>
      <c r="F923" s="5">
        <f t="shared" ref="F923:F924" si="178">+((D923/E923)-1)*-1</f>
        <v>0.12735849056603765</v>
      </c>
      <c r="G923" s="45">
        <v>17</v>
      </c>
      <c r="H923" s="39">
        <v>18.899999999999999</v>
      </c>
      <c r="I923" s="4">
        <f t="shared" ref="I923:I1000" si="179">+((G923/H923)-1)*-1</f>
        <v>0.10052910052910047</v>
      </c>
      <c r="J923" s="23">
        <f t="shared" ref="J923" si="180">+D923-G923</f>
        <v>1.5</v>
      </c>
    </row>
    <row r="924" spans="1:10" s="26" customFormat="1">
      <c r="A924" s="25"/>
      <c r="B924" s="50">
        <v>7501468777778</v>
      </c>
      <c r="C924" s="54" t="s">
        <v>86</v>
      </c>
      <c r="D924" s="45">
        <v>16.2</v>
      </c>
      <c r="E924" s="45">
        <v>18.399999999999999</v>
      </c>
      <c r="F924" s="5">
        <f t="shared" si="178"/>
        <v>0.11956521739130432</v>
      </c>
      <c r="G924" s="45">
        <v>14.58</v>
      </c>
      <c r="H924" s="38">
        <v>16.5</v>
      </c>
      <c r="I924" s="4">
        <f t="shared" si="179"/>
        <v>0.11636363636363634</v>
      </c>
      <c r="J924" s="23">
        <f>+D924-G924</f>
        <v>1.6199999999999992</v>
      </c>
    </row>
    <row r="925" spans="1:10" s="26" customFormat="1">
      <c r="A925" s="25"/>
      <c r="B925" s="50">
        <v>7501071307775</v>
      </c>
      <c r="C925" s="54" t="s">
        <v>319</v>
      </c>
      <c r="D925" s="45">
        <v>14.0967</v>
      </c>
      <c r="E925" s="45">
        <v>16.600000000000001</v>
      </c>
      <c r="F925" s="5">
        <v>0.15080120481927717</v>
      </c>
      <c r="G925" s="45">
        <v>12.68703</v>
      </c>
      <c r="H925" s="38">
        <v>14.9</v>
      </c>
      <c r="I925" s="4">
        <f t="shared" si="179"/>
        <v>0.14852147651006709</v>
      </c>
      <c r="J925" s="23"/>
    </row>
    <row r="926" spans="1:10" s="26" customFormat="1">
      <c r="A926" s="25"/>
      <c r="B926" s="50">
        <v>7501071307782</v>
      </c>
      <c r="C926" s="54" t="s">
        <v>320</v>
      </c>
      <c r="D926" s="45">
        <v>14.126300000000001</v>
      </c>
      <c r="E926" s="45">
        <v>16.600000000000001</v>
      </c>
      <c r="F926" s="5">
        <v>0.14901807228915664</v>
      </c>
      <c r="G926" s="45">
        <v>12.71367</v>
      </c>
      <c r="H926" s="38">
        <v>14.9</v>
      </c>
      <c r="I926" s="4">
        <f t="shared" si="179"/>
        <v>0.14673355704697988</v>
      </c>
      <c r="J926" s="23"/>
    </row>
    <row r="927" spans="1:10" s="26" customFormat="1">
      <c r="A927" s="25"/>
      <c r="B927" s="50">
        <v>7501071307799</v>
      </c>
      <c r="C927" s="54" t="s">
        <v>321</v>
      </c>
      <c r="D927" s="45">
        <v>14.12</v>
      </c>
      <c r="E927" s="45">
        <v>16.600000000000001</v>
      </c>
      <c r="F927" s="5">
        <v>0.14939759036144595</v>
      </c>
      <c r="G927" s="45">
        <v>12.708</v>
      </c>
      <c r="H927" s="38">
        <v>14.9</v>
      </c>
      <c r="I927" s="4">
        <f t="shared" si="179"/>
        <v>0.14711409395973152</v>
      </c>
      <c r="J927" s="23"/>
    </row>
    <row r="928" spans="1:10" s="26" customFormat="1">
      <c r="A928" s="25"/>
      <c r="B928" s="50">
        <v>75000622</v>
      </c>
      <c r="C928" s="54" t="s">
        <v>54</v>
      </c>
      <c r="D928" s="45">
        <v>24.239476</v>
      </c>
      <c r="E928" s="45">
        <v>30.3</v>
      </c>
      <c r="F928" s="5">
        <f t="shared" ref="F928:F1000" si="181">+((D928/E928)-1)*-1</f>
        <v>0.20001729372937294</v>
      </c>
      <c r="G928" s="45">
        <v>17.91</v>
      </c>
      <c r="H928" s="38">
        <v>19.899999999999999</v>
      </c>
      <c r="I928" s="4">
        <f t="shared" si="179"/>
        <v>9.9999999999999978E-2</v>
      </c>
      <c r="J928" s="23">
        <f t="shared" ref="J928" si="182">+D928-G928</f>
        <v>6.3294759999999997</v>
      </c>
    </row>
    <row r="929" spans="1:10" s="26" customFormat="1">
      <c r="A929" s="17" t="s">
        <v>12</v>
      </c>
      <c r="B929" s="34"/>
      <c r="C929" s="35"/>
      <c r="D929" s="33"/>
      <c r="E929" s="45"/>
      <c r="F929" s="5" t="e">
        <f t="shared" si="181"/>
        <v>#DIV/0!</v>
      </c>
      <c r="G929" s="33"/>
      <c r="H929" s="39"/>
      <c r="I929" s="4" t="e">
        <f t="shared" si="179"/>
        <v>#DIV/0!</v>
      </c>
      <c r="J929" s="23"/>
    </row>
    <row r="930" spans="1:10" s="26" customFormat="1">
      <c r="A930" s="17" t="s">
        <v>13</v>
      </c>
      <c r="B930" s="34">
        <v>7501005151955</v>
      </c>
      <c r="C930" s="35" t="s">
        <v>412</v>
      </c>
      <c r="D930" s="33">
        <v>16.752099999999999</v>
      </c>
      <c r="E930" s="45">
        <v>20.5</v>
      </c>
      <c r="F930" s="5">
        <f t="shared" si="181"/>
        <v>0.18282439024390251</v>
      </c>
      <c r="G930" s="33">
        <v>14.239284999999999</v>
      </c>
      <c r="H930" s="39">
        <v>16.5</v>
      </c>
      <c r="I930" s="4">
        <f t="shared" si="179"/>
        <v>0.13701303030303036</v>
      </c>
      <c r="J930" s="23">
        <f t="shared" ref="J930:J947" si="183">+D930-G930</f>
        <v>2.5128149999999998</v>
      </c>
    </row>
    <row r="931" spans="1:10" s="26" customFormat="1">
      <c r="A931" s="17" t="s">
        <v>14</v>
      </c>
      <c r="B931" s="34">
        <v>7501125410109</v>
      </c>
      <c r="C931" s="35" t="s">
        <v>85</v>
      </c>
      <c r="D931" s="33">
        <v>22.253900000000002</v>
      </c>
      <c r="E931" s="45">
        <v>25.3</v>
      </c>
      <c r="F931" s="5">
        <f t="shared" si="181"/>
        <v>0.120399209486166</v>
      </c>
      <c r="G931" s="33">
        <f>+D931-1.62</f>
        <v>20.633900000000001</v>
      </c>
      <c r="H931" s="39">
        <v>22.9</v>
      </c>
      <c r="I931" s="4">
        <f t="shared" si="179"/>
        <v>9.8956331877729231E-2</v>
      </c>
      <c r="J931" s="23">
        <f t="shared" si="183"/>
        <v>1.620000000000001</v>
      </c>
    </row>
    <row r="932" spans="1:10" s="26" customFormat="1">
      <c r="A932" s="17"/>
      <c r="B932" s="34">
        <v>7501125412042</v>
      </c>
      <c r="C932" s="35" t="s">
        <v>151</v>
      </c>
      <c r="D932" s="33">
        <v>17.36</v>
      </c>
      <c r="E932" s="45">
        <v>19.8</v>
      </c>
      <c r="F932" s="5">
        <f t="shared" si="181"/>
        <v>0.12323232323232325</v>
      </c>
      <c r="G932" s="33">
        <f>+D932-0.4</f>
        <v>16.96</v>
      </c>
      <c r="H932" s="39">
        <v>18.899999999999999</v>
      </c>
      <c r="I932" s="4">
        <f t="shared" si="179"/>
        <v>0.10264550264550254</v>
      </c>
      <c r="J932" s="23">
        <f t="shared" si="183"/>
        <v>0.39999999999999858</v>
      </c>
    </row>
    <row r="933" spans="1:10" s="26" customFormat="1">
      <c r="A933" s="7" t="s">
        <v>15</v>
      </c>
      <c r="B933" s="29"/>
      <c r="C933" s="47"/>
      <c r="D933" s="48"/>
      <c r="E933" s="45"/>
      <c r="F933" s="5" t="e">
        <f t="shared" si="181"/>
        <v>#DIV/0!</v>
      </c>
      <c r="G933" s="48"/>
      <c r="H933" s="49"/>
      <c r="I933" s="4" t="e">
        <f t="shared" si="179"/>
        <v>#DIV/0!</v>
      </c>
      <c r="J933" s="23">
        <f t="shared" si="183"/>
        <v>0</v>
      </c>
    </row>
    <row r="934" spans="1:10" s="26" customFormat="1">
      <c r="A934" s="7" t="s">
        <v>16</v>
      </c>
      <c r="B934" s="34">
        <v>75000615</v>
      </c>
      <c r="C934" s="35" t="s">
        <v>52</v>
      </c>
      <c r="D934" s="33">
        <f>11.93*1.16</f>
        <v>13.838799999999999</v>
      </c>
      <c r="E934" s="45">
        <v>17.3</v>
      </c>
      <c r="F934" s="5">
        <f t="shared" si="181"/>
        <v>0.20006936416184984</v>
      </c>
      <c r="G934" s="33">
        <v>12.5</v>
      </c>
      <c r="H934" s="38">
        <v>13.9</v>
      </c>
      <c r="I934" s="4">
        <f t="shared" si="179"/>
        <v>0.10071942446043169</v>
      </c>
      <c r="J934" s="23">
        <f t="shared" si="183"/>
        <v>1.3387999999999991</v>
      </c>
    </row>
    <row r="935" spans="1:10" s="26" customFormat="1">
      <c r="A935" s="25"/>
      <c r="B935" s="34">
        <v>7501025413019</v>
      </c>
      <c r="C935" s="35" t="s">
        <v>257</v>
      </c>
      <c r="D935" s="33">
        <f>13.82*1.16</f>
        <v>16.031199999999998</v>
      </c>
      <c r="E935" s="45">
        <v>24.8</v>
      </c>
      <c r="F935" s="5">
        <f t="shared" si="181"/>
        <v>0.3535806451612904</v>
      </c>
      <c r="G935" s="33">
        <f>+D935*0.9</f>
        <v>14.42808</v>
      </c>
      <c r="H935" s="38">
        <v>16.5</v>
      </c>
      <c r="I935" s="4">
        <f t="shared" si="179"/>
        <v>0.12557090909090907</v>
      </c>
      <c r="J935" s="23">
        <f t="shared" si="183"/>
        <v>1.6031199999999988</v>
      </c>
    </row>
    <row r="936" spans="1:10" s="26" customFormat="1">
      <c r="A936" s="25"/>
      <c r="B936" s="34">
        <v>7501025414009</v>
      </c>
      <c r="C936" s="35" t="s">
        <v>258</v>
      </c>
      <c r="D936" s="33">
        <v>16.034099999999999</v>
      </c>
      <c r="E936" s="45">
        <v>24.8</v>
      </c>
      <c r="F936" s="5">
        <f t="shared" si="181"/>
        <v>0.35346370967741947</v>
      </c>
      <c r="G936" s="33">
        <f t="shared" ref="G936:G946" si="184">+D936*0.9</f>
        <v>14.430689999999998</v>
      </c>
      <c r="H936" s="38">
        <v>16.5</v>
      </c>
      <c r="I936" s="4">
        <f t="shared" si="179"/>
        <v>0.12541272727272734</v>
      </c>
      <c r="J936" s="23">
        <f t="shared" si="183"/>
        <v>1.6034100000000002</v>
      </c>
    </row>
    <row r="937" spans="1:10" s="26" customFormat="1">
      <c r="A937" s="25"/>
      <c r="B937" s="34">
        <v>7501025413002</v>
      </c>
      <c r="C937" s="35" t="s">
        <v>256</v>
      </c>
      <c r="D937" s="33">
        <f>17.0688*1.16</f>
        <v>19.799807999999999</v>
      </c>
      <c r="E937" s="45">
        <v>24.8</v>
      </c>
      <c r="F937" s="5">
        <f t="shared" si="181"/>
        <v>0.20162064516129041</v>
      </c>
      <c r="G937" s="33">
        <f t="shared" si="184"/>
        <v>17.819827199999999</v>
      </c>
      <c r="H937" s="38">
        <v>20.5</v>
      </c>
      <c r="I937" s="4">
        <f t="shared" si="179"/>
        <v>0.13074013658536587</v>
      </c>
      <c r="J937" s="23">
        <f t="shared" si="183"/>
        <v>1.9799807999999999</v>
      </c>
    </row>
    <row r="938" spans="1:10" s="26" customFormat="1">
      <c r="A938" s="25"/>
      <c r="B938" s="34">
        <v>7501025414030</v>
      </c>
      <c r="C938" s="35" t="s">
        <v>259</v>
      </c>
      <c r="D938" s="33">
        <f t="shared" ref="D938:D946" si="185">17.0688*1.16</f>
        <v>19.799807999999999</v>
      </c>
      <c r="E938" s="45">
        <v>24.8</v>
      </c>
      <c r="F938" s="5">
        <f t="shared" si="181"/>
        <v>0.20162064516129041</v>
      </c>
      <c r="G938" s="33">
        <f t="shared" si="184"/>
        <v>17.819827199999999</v>
      </c>
      <c r="H938" s="38">
        <v>20.5</v>
      </c>
      <c r="I938" s="4">
        <f t="shared" si="179"/>
        <v>0.13074013658536587</v>
      </c>
      <c r="J938" s="23">
        <f t="shared" si="183"/>
        <v>1.9799807999999999</v>
      </c>
    </row>
    <row r="939" spans="1:10" s="26" customFormat="1">
      <c r="A939" s="25"/>
      <c r="B939" s="34">
        <v>7501025414054</v>
      </c>
      <c r="C939" s="35" t="s">
        <v>260</v>
      </c>
      <c r="D939" s="33">
        <f t="shared" si="185"/>
        <v>19.799807999999999</v>
      </c>
      <c r="E939" s="45">
        <v>24.8</v>
      </c>
      <c r="F939" s="5">
        <f t="shared" si="181"/>
        <v>0.20162064516129041</v>
      </c>
      <c r="G939" s="33">
        <f t="shared" si="184"/>
        <v>17.819827199999999</v>
      </c>
      <c r="H939" s="38">
        <v>20.5</v>
      </c>
      <c r="I939" s="4">
        <f t="shared" si="179"/>
        <v>0.13074013658536587</v>
      </c>
      <c r="J939" s="23">
        <f t="shared" si="183"/>
        <v>1.9799807999999999</v>
      </c>
    </row>
    <row r="940" spans="1:10" s="26" customFormat="1">
      <c r="A940" s="25"/>
      <c r="B940" s="34">
        <v>7501025414108</v>
      </c>
      <c r="C940" s="35" t="s">
        <v>261</v>
      </c>
      <c r="D940" s="33">
        <f t="shared" si="185"/>
        <v>19.799807999999999</v>
      </c>
      <c r="E940" s="45">
        <v>24.8</v>
      </c>
      <c r="F940" s="5">
        <f t="shared" si="181"/>
        <v>0.20162064516129041</v>
      </c>
      <c r="G940" s="33">
        <f t="shared" si="184"/>
        <v>17.819827199999999</v>
      </c>
      <c r="H940" s="38">
        <v>20.5</v>
      </c>
      <c r="I940" s="4">
        <f t="shared" si="179"/>
        <v>0.13074013658536587</v>
      </c>
      <c r="J940" s="23">
        <f t="shared" si="183"/>
        <v>1.9799807999999999</v>
      </c>
    </row>
    <row r="941" spans="1:10" s="26" customFormat="1">
      <c r="A941" s="25"/>
      <c r="B941" s="34">
        <v>7501025414153</v>
      </c>
      <c r="C941" s="35" t="s">
        <v>262</v>
      </c>
      <c r="D941" s="33">
        <f t="shared" si="185"/>
        <v>19.799807999999999</v>
      </c>
      <c r="E941" s="45">
        <v>24.8</v>
      </c>
      <c r="F941" s="5">
        <f t="shared" si="181"/>
        <v>0.20162064516129041</v>
      </c>
      <c r="G941" s="33">
        <f t="shared" si="184"/>
        <v>17.819827199999999</v>
      </c>
      <c r="H941" s="38">
        <v>20.5</v>
      </c>
      <c r="I941" s="4">
        <f t="shared" si="179"/>
        <v>0.13074013658536587</v>
      </c>
      <c r="J941" s="23">
        <f t="shared" si="183"/>
        <v>1.9799807999999999</v>
      </c>
    </row>
    <row r="942" spans="1:10" s="26" customFormat="1">
      <c r="A942" s="25"/>
      <c r="B942" s="34">
        <v>7501025414207</v>
      </c>
      <c r="C942" s="35" t="s">
        <v>263</v>
      </c>
      <c r="D942" s="33">
        <f t="shared" si="185"/>
        <v>19.799807999999999</v>
      </c>
      <c r="E942" s="45">
        <v>24.8</v>
      </c>
      <c r="F942" s="5">
        <f t="shared" si="181"/>
        <v>0.20162064516129041</v>
      </c>
      <c r="G942" s="33">
        <f t="shared" si="184"/>
        <v>17.819827199999999</v>
      </c>
      <c r="H942" s="38">
        <v>20.5</v>
      </c>
      <c r="I942" s="4">
        <f t="shared" si="179"/>
        <v>0.13074013658536587</v>
      </c>
      <c r="J942" s="23">
        <f t="shared" si="183"/>
        <v>1.9799807999999999</v>
      </c>
    </row>
    <row r="943" spans="1:10" s="26" customFormat="1">
      <c r="A943" s="25"/>
      <c r="B943" s="34">
        <v>7501025414351</v>
      </c>
      <c r="C943" s="35" t="s">
        <v>264</v>
      </c>
      <c r="D943" s="33">
        <f t="shared" si="185"/>
        <v>19.799807999999999</v>
      </c>
      <c r="E943" s="45">
        <v>24.8</v>
      </c>
      <c r="F943" s="5">
        <f t="shared" si="181"/>
        <v>0.20162064516129041</v>
      </c>
      <c r="G943" s="33">
        <f t="shared" si="184"/>
        <v>17.819827199999999</v>
      </c>
      <c r="H943" s="38">
        <v>20.5</v>
      </c>
      <c r="I943" s="4">
        <f t="shared" si="179"/>
        <v>0.13074013658536587</v>
      </c>
      <c r="J943" s="23">
        <f t="shared" si="183"/>
        <v>1.9799807999999999</v>
      </c>
    </row>
    <row r="944" spans="1:10" s="26" customFormat="1">
      <c r="A944" s="25"/>
      <c r="B944" s="34">
        <v>7501025444365</v>
      </c>
      <c r="C944" s="35" t="s">
        <v>56</v>
      </c>
      <c r="D944" s="33">
        <f t="shared" si="185"/>
        <v>19.799807999999999</v>
      </c>
      <c r="E944" s="45">
        <v>24.8</v>
      </c>
      <c r="F944" s="5">
        <f t="shared" si="181"/>
        <v>0.20162064516129041</v>
      </c>
      <c r="G944" s="33">
        <f t="shared" si="184"/>
        <v>17.819827199999999</v>
      </c>
      <c r="H944" s="38">
        <v>20.5</v>
      </c>
      <c r="I944" s="4">
        <f t="shared" si="179"/>
        <v>0.13074013658536587</v>
      </c>
      <c r="J944" s="23">
        <f t="shared" si="183"/>
        <v>1.9799807999999999</v>
      </c>
    </row>
    <row r="945" spans="1:10" s="26" customFormat="1">
      <c r="A945" s="25"/>
      <c r="B945" s="34">
        <v>7501025414450</v>
      </c>
      <c r="C945" s="35" t="s">
        <v>265</v>
      </c>
      <c r="D945" s="33">
        <f t="shared" si="185"/>
        <v>19.799807999999999</v>
      </c>
      <c r="E945" s="45">
        <v>24.8</v>
      </c>
      <c r="F945" s="5">
        <f t="shared" si="181"/>
        <v>0.20162064516129041</v>
      </c>
      <c r="G945" s="33">
        <f t="shared" si="184"/>
        <v>17.819827199999999</v>
      </c>
      <c r="H945" s="38">
        <v>20.5</v>
      </c>
      <c r="I945" s="4">
        <f t="shared" si="179"/>
        <v>0.13074013658536587</v>
      </c>
      <c r="J945" s="23">
        <f t="shared" si="183"/>
        <v>1.9799807999999999</v>
      </c>
    </row>
    <row r="946" spans="1:10" s="26" customFormat="1">
      <c r="A946" s="25"/>
      <c r="B946" s="34">
        <v>7501025408084</v>
      </c>
      <c r="C946" s="35" t="s">
        <v>299</v>
      </c>
      <c r="D946" s="33">
        <f t="shared" si="185"/>
        <v>19.799807999999999</v>
      </c>
      <c r="E946" s="45">
        <v>24.8</v>
      </c>
      <c r="F946" s="5">
        <f t="shared" si="181"/>
        <v>0.20162064516129041</v>
      </c>
      <c r="G946" s="33">
        <f t="shared" si="184"/>
        <v>17.819827199999999</v>
      </c>
      <c r="H946" s="38">
        <v>20.5</v>
      </c>
      <c r="I946" s="4">
        <f t="shared" si="179"/>
        <v>0.13074013658536587</v>
      </c>
      <c r="J946" s="23">
        <f t="shared" si="183"/>
        <v>1.9799807999999999</v>
      </c>
    </row>
    <row r="947" spans="1:10" s="26" customFormat="1">
      <c r="A947" s="25"/>
      <c r="B947" s="34"/>
      <c r="C947" s="35"/>
      <c r="D947" s="33"/>
      <c r="E947" s="45"/>
      <c r="F947" s="5" t="e">
        <f t="shared" si="181"/>
        <v>#DIV/0!</v>
      </c>
      <c r="G947" s="33"/>
      <c r="H947" s="38"/>
      <c r="I947" s="4" t="e">
        <f t="shared" si="179"/>
        <v>#DIV/0!</v>
      </c>
      <c r="J947" s="23">
        <f t="shared" si="183"/>
        <v>0</v>
      </c>
    </row>
    <row r="948" spans="1:10" s="26" customFormat="1">
      <c r="A948" s="25"/>
      <c r="B948" s="34">
        <v>7509546067506</v>
      </c>
      <c r="C948" s="35" t="s">
        <v>358</v>
      </c>
      <c r="D948" s="30">
        <v>27.7</v>
      </c>
      <c r="E948" s="45">
        <v>34.700000000000003</v>
      </c>
      <c r="F948" s="5">
        <f t="shared" si="181"/>
        <v>0.20172910662824217</v>
      </c>
      <c r="G948" s="30">
        <f>16.1385*1.16</f>
        <v>18.720659999999999</v>
      </c>
      <c r="H948" s="39">
        <v>21.5</v>
      </c>
      <c r="I948" s="4">
        <f t="shared" si="179"/>
        <v>0.12927162790697677</v>
      </c>
      <c r="J948" s="23"/>
    </row>
    <row r="949" spans="1:10" s="26" customFormat="1">
      <c r="A949" s="43"/>
      <c r="B949" s="34">
        <v>7509546067513</v>
      </c>
      <c r="C949" s="35" t="s">
        <v>395</v>
      </c>
      <c r="D949" s="30">
        <v>27.7</v>
      </c>
      <c r="E949" s="45">
        <v>34.700000000000003</v>
      </c>
      <c r="F949" s="5">
        <f t="shared" si="181"/>
        <v>0.20172910662824217</v>
      </c>
      <c r="G949" s="30">
        <f t="shared" ref="G949:G951" si="186">16.1385*1.16</f>
        <v>18.720659999999999</v>
      </c>
      <c r="H949" s="39">
        <v>21.5</v>
      </c>
      <c r="I949" s="4">
        <f t="shared" si="179"/>
        <v>0.12927162790697677</v>
      </c>
      <c r="J949" s="23"/>
    </row>
    <row r="950" spans="1:10" s="26" customFormat="1">
      <c r="A950" s="7"/>
      <c r="B950" s="29">
        <v>7509546067520</v>
      </c>
      <c r="C950" s="28" t="s">
        <v>396</v>
      </c>
      <c r="D950" s="30">
        <v>27.7</v>
      </c>
      <c r="E950" s="45">
        <v>34.700000000000003</v>
      </c>
      <c r="F950" s="5">
        <f t="shared" si="181"/>
        <v>0.20172910662824217</v>
      </c>
      <c r="G950" s="30">
        <f t="shared" si="186"/>
        <v>18.720659999999999</v>
      </c>
      <c r="H950" s="39">
        <v>21.5</v>
      </c>
      <c r="I950" s="4">
        <f t="shared" si="179"/>
        <v>0.12927162790697677</v>
      </c>
      <c r="J950" s="23"/>
    </row>
    <row r="951" spans="1:10" s="26" customFormat="1">
      <c r="A951" s="7"/>
      <c r="B951" s="29">
        <v>7509546067544</v>
      </c>
      <c r="C951" s="28" t="s">
        <v>361</v>
      </c>
      <c r="D951" s="30">
        <v>27.7</v>
      </c>
      <c r="E951" s="45">
        <v>34.700000000000003</v>
      </c>
      <c r="F951" s="5">
        <f t="shared" si="181"/>
        <v>0.20172910662824217</v>
      </c>
      <c r="G951" s="30">
        <f t="shared" si="186"/>
        <v>18.720659999999999</v>
      </c>
      <c r="H951" s="39">
        <v>21.5</v>
      </c>
      <c r="I951" s="4">
        <f t="shared" si="179"/>
        <v>0.12927162790697677</v>
      </c>
      <c r="J951" s="23"/>
    </row>
    <row r="952" spans="1:10" s="26" customFormat="1">
      <c r="A952" s="7" t="s">
        <v>17</v>
      </c>
      <c r="B952" s="34"/>
      <c r="C952" s="35"/>
      <c r="D952" s="33"/>
      <c r="E952" s="45"/>
      <c r="F952" s="5" t="e">
        <f t="shared" si="181"/>
        <v>#DIV/0!</v>
      </c>
      <c r="G952" s="33"/>
      <c r="H952" s="39">
        <f t="shared" ref="H952" si="187">+G952/0.87</f>
        <v>0</v>
      </c>
      <c r="I952" s="4" t="e">
        <f t="shared" si="179"/>
        <v>#DIV/0!</v>
      </c>
      <c r="J952" s="23"/>
    </row>
    <row r="953" spans="1:10" s="26" customFormat="1">
      <c r="A953" s="7" t="s">
        <v>169</v>
      </c>
      <c r="B953" s="34"/>
      <c r="C953" s="35"/>
      <c r="D953" s="33"/>
      <c r="E953" s="45"/>
      <c r="F953" s="5" t="e">
        <f t="shared" si="181"/>
        <v>#DIV/0!</v>
      </c>
      <c r="G953" s="33"/>
      <c r="H953" s="38"/>
      <c r="I953" s="4" t="e">
        <f t="shared" si="179"/>
        <v>#DIV/0!</v>
      </c>
      <c r="J953" s="23"/>
    </row>
    <row r="954" spans="1:10" s="26" customFormat="1">
      <c r="A954" s="7" t="s">
        <v>18</v>
      </c>
      <c r="B954" s="34">
        <v>7506475104722</v>
      </c>
      <c r="C954" s="35" t="s">
        <v>397</v>
      </c>
      <c r="D954" s="33">
        <v>20.67</v>
      </c>
      <c r="E954" s="45">
        <v>25.6</v>
      </c>
      <c r="F954" s="5">
        <f t="shared" si="181"/>
        <v>0.19257812499999993</v>
      </c>
      <c r="G954" s="33">
        <f>+D954*0.9</f>
        <v>18.603000000000002</v>
      </c>
      <c r="H954" s="38">
        <v>20.9</v>
      </c>
      <c r="I954" s="4">
        <f t="shared" si="179"/>
        <v>0.1099043062200955</v>
      </c>
      <c r="J954" s="23">
        <f>+D954-G954</f>
        <v>2.0670000000000002</v>
      </c>
    </row>
    <row r="955" spans="1:10" s="26" customFormat="1">
      <c r="A955" s="7" t="s">
        <v>19</v>
      </c>
      <c r="B955" s="34"/>
      <c r="C955" s="35"/>
      <c r="D955" s="33"/>
      <c r="E955" s="45"/>
      <c r="F955" s="5" t="e">
        <f t="shared" si="181"/>
        <v>#DIV/0!</v>
      </c>
      <c r="G955" s="33"/>
      <c r="H955" s="38"/>
      <c r="I955" s="4" t="e">
        <f t="shared" si="179"/>
        <v>#DIV/0!</v>
      </c>
      <c r="J955" s="23"/>
    </row>
    <row r="956" spans="1:10" s="26" customFormat="1">
      <c r="A956" s="7" t="s">
        <v>20</v>
      </c>
      <c r="B956" s="34">
        <v>7501017004003</v>
      </c>
      <c r="C956" s="35" t="s">
        <v>139</v>
      </c>
      <c r="D956" s="33">
        <v>14.6517</v>
      </c>
      <c r="E956" s="45">
        <v>18.3</v>
      </c>
      <c r="F956" s="5">
        <f t="shared" si="181"/>
        <v>0.19936065573770501</v>
      </c>
      <c r="G956" s="33">
        <f>+D956*0.9</f>
        <v>13.186529999999999</v>
      </c>
      <c r="H956" s="38">
        <v>14.9</v>
      </c>
      <c r="I956" s="4">
        <f t="shared" si="179"/>
        <v>0.1149979865771813</v>
      </c>
      <c r="J956" s="23">
        <f>+D956-G956</f>
        <v>1.4651700000000005</v>
      </c>
    </row>
    <row r="957" spans="1:10" s="26" customFormat="1">
      <c r="A957" s="7"/>
      <c r="B957" s="29">
        <v>7501017004027</v>
      </c>
      <c r="C957" s="28" t="s">
        <v>138</v>
      </c>
      <c r="D957" s="30">
        <v>18.125399999999999</v>
      </c>
      <c r="E957" s="45">
        <v>22.7</v>
      </c>
      <c r="F957" s="5">
        <f t="shared" si="181"/>
        <v>0.20152422907488987</v>
      </c>
      <c r="G957" s="33">
        <f>+D957*0.9</f>
        <v>16.312860000000001</v>
      </c>
      <c r="H957" s="39">
        <v>18.5</v>
      </c>
      <c r="I957" s="4">
        <f t="shared" si="179"/>
        <v>0.11822378378378373</v>
      </c>
      <c r="J957" s="23">
        <f>+D957-G957</f>
        <v>1.8125399999999985</v>
      </c>
    </row>
    <row r="958" spans="1:10" s="26" customFormat="1">
      <c r="A958" s="7" t="s">
        <v>21</v>
      </c>
      <c r="B958" s="29" t="s">
        <v>398</v>
      </c>
      <c r="C958" s="28" t="s">
        <v>399</v>
      </c>
      <c r="D958" s="30">
        <v>22.344999999999999</v>
      </c>
      <c r="E958" s="45">
        <v>27.9</v>
      </c>
      <c r="F958" s="5">
        <f t="shared" si="181"/>
        <v>0.19910394265232978</v>
      </c>
      <c r="G958" s="30">
        <f>+D958*0.9</f>
        <v>20.110499999999998</v>
      </c>
      <c r="H958" s="39">
        <v>23.9</v>
      </c>
      <c r="I958" s="4">
        <f t="shared" si="179"/>
        <v>0.15855648535564859</v>
      </c>
      <c r="J958" s="23">
        <f t="shared" ref="J958:J963" si="188">+D958-G958</f>
        <v>2.2345000000000006</v>
      </c>
    </row>
    <row r="959" spans="1:10" s="26" customFormat="1">
      <c r="A959" s="25"/>
      <c r="B959" s="34" t="s">
        <v>400</v>
      </c>
      <c r="C959" s="35" t="s">
        <v>401</v>
      </c>
      <c r="D959" s="33">
        <v>17.02</v>
      </c>
      <c r="E959" s="45">
        <v>21.3</v>
      </c>
      <c r="F959" s="5">
        <f t="shared" si="181"/>
        <v>0.20093896713615023</v>
      </c>
      <c r="G959" s="30">
        <f t="shared" ref="G959:G962" si="189">+D959*0.9</f>
        <v>15.318</v>
      </c>
      <c r="H959" s="39">
        <v>17.899999999999999</v>
      </c>
      <c r="I959" s="4">
        <f t="shared" si="179"/>
        <v>0.1442458100558659</v>
      </c>
      <c r="J959" s="23">
        <f t="shared" si="188"/>
        <v>1.702</v>
      </c>
    </row>
    <row r="960" spans="1:10" s="26" customFormat="1">
      <c r="A960" s="25"/>
      <c r="B960" s="34" t="s">
        <v>402</v>
      </c>
      <c r="C960" s="35" t="s">
        <v>403</v>
      </c>
      <c r="D960" s="33">
        <v>62.639999999999993</v>
      </c>
      <c r="E960" s="45">
        <v>78.3</v>
      </c>
      <c r="F960" s="5">
        <f t="shared" si="181"/>
        <v>0.20000000000000007</v>
      </c>
      <c r="G960" s="30">
        <f t="shared" si="189"/>
        <v>56.375999999999998</v>
      </c>
      <c r="H960" s="39">
        <v>66.5</v>
      </c>
      <c r="I960" s="4">
        <f t="shared" si="179"/>
        <v>0.1522406015037594</v>
      </c>
      <c r="J960" s="23">
        <f t="shared" si="188"/>
        <v>6.2639999999999958</v>
      </c>
    </row>
    <row r="961" spans="1:10" s="26" customFormat="1">
      <c r="A961" s="25"/>
      <c r="B961" s="34" t="s">
        <v>404</v>
      </c>
      <c r="C961" s="35" t="s">
        <v>405</v>
      </c>
      <c r="D961" s="33">
        <v>32.449999999999996</v>
      </c>
      <c r="E961" s="45">
        <v>40.6</v>
      </c>
      <c r="F961" s="5">
        <f t="shared" si="181"/>
        <v>0.20073891625615781</v>
      </c>
      <c r="G961" s="30">
        <f t="shared" si="189"/>
        <v>29.204999999999998</v>
      </c>
      <c r="H961" s="39">
        <v>34.5</v>
      </c>
      <c r="I961" s="4">
        <f t="shared" si="179"/>
        <v>0.15347826086956529</v>
      </c>
      <c r="J961" s="23">
        <f t="shared" si="188"/>
        <v>3.2449999999999974</v>
      </c>
    </row>
    <row r="962" spans="1:10" s="26" customFormat="1">
      <c r="A962" s="25"/>
      <c r="B962" s="34" t="s">
        <v>311</v>
      </c>
      <c r="C962" s="35" t="s">
        <v>312</v>
      </c>
      <c r="D962" s="33">
        <v>9.44</v>
      </c>
      <c r="E962" s="45">
        <v>11.9</v>
      </c>
      <c r="F962" s="5">
        <f t="shared" si="181"/>
        <v>0.20672268907563029</v>
      </c>
      <c r="G962" s="30">
        <f t="shared" si="189"/>
        <v>8.4960000000000004</v>
      </c>
      <c r="H962" s="39">
        <v>9.9</v>
      </c>
      <c r="I962" s="4">
        <f t="shared" si="179"/>
        <v>0.14181818181818184</v>
      </c>
      <c r="J962" s="23">
        <f t="shared" si="188"/>
        <v>0.94399999999999906</v>
      </c>
    </row>
    <row r="963" spans="1:10" s="26" customFormat="1">
      <c r="A963" s="25"/>
      <c r="B963" s="34" t="s">
        <v>406</v>
      </c>
      <c r="C963" s="35" t="s">
        <v>407</v>
      </c>
      <c r="D963" s="33">
        <v>9.48</v>
      </c>
      <c r="E963" s="45">
        <v>11.9</v>
      </c>
      <c r="F963" s="5">
        <f t="shared" si="181"/>
        <v>0.20336134453781507</v>
      </c>
      <c r="G963" s="33">
        <f>+D963*0.8</f>
        <v>7.5840000000000005</v>
      </c>
      <c r="H963" s="39">
        <v>8.9</v>
      </c>
      <c r="I963" s="4">
        <f t="shared" si="179"/>
        <v>0.14786516853932585</v>
      </c>
      <c r="J963" s="23">
        <f t="shared" si="188"/>
        <v>1.8959999999999999</v>
      </c>
    </row>
    <row r="964" spans="1:10" s="26" customFormat="1">
      <c r="A964" s="25"/>
      <c r="B964" s="34"/>
      <c r="C964" s="35"/>
      <c r="D964" s="33"/>
      <c r="E964" s="45"/>
      <c r="F964" s="5" t="e">
        <f t="shared" si="181"/>
        <v>#DIV/0!</v>
      </c>
      <c r="G964" s="33"/>
      <c r="H964" s="38"/>
      <c r="I964" s="4" t="e">
        <f t="shared" si="179"/>
        <v>#DIV/0!</v>
      </c>
      <c r="J964" s="23"/>
    </row>
    <row r="965" spans="1:10" s="26" customFormat="1">
      <c r="A965" s="7" t="s">
        <v>39</v>
      </c>
      <c r="B965" s="29">
        <v>7501045404400</v>
      </c>
      <c r="C965" s="28" t="s">
        <v>213</v>
      </c>
      <c r="D965" s="30">
        <v>11.22</v>
      </c>
      <c r="E965" s="45">
        <v>13.2</v>
      </c>
      <c r="F965" s="5">
        <f t="shared" si="181"/>
        <v>0.14999999999999991</v>
      </c>
      <c r="G965" s="30">
        <f>+D965*0.95</f>
        <v>10.659000000000001</v>
      </c>
      <c r="H965" s="39">
        <v>12.5</v>
      </c>
      <c r="I965" s="4">
        <f t="shared" si="179"/>
        <v>0.14727999999999997</v>
      </c>
      <c r="J965" s="23"/>
    </row>
    <row r="966" spans="1:10" s="26" customFormat="1">
      <c r="A966" s="25"/>
      <c r="B966" s="34">
        <v>7501045404417</v>
      </c>
      <c r="C966" s="35" t="s">
        <v>214</v>
      </c>
      <c r="D966" s="30">
        <v>11.22</v>
      </c>
      <c r="E966" s="45">
        <v>13.2</v>
      </c>
      <c r="F966" s="5">
        <f t="shared" si="181"/>
        <v>0.14999999999999991</v>
      </c>
      <c r="G966" s="30">
        <f>+D966*0.95</f>
        <v>10.659000000000001</v>
      </c>
      <c r="H966" s="38">
        <v>12.5</v>
      </c>
      <c r="I966" s="4">
        <f t="shared" si="179"/>
        <v>0.14727999999999997</v>
      </c>
      <c r="J966" s="23"/>
    </row>
    <row r="967" spans="1:10" s="26" customFormat="1">
      <c r="A967" s="7" t="s">
        <v>22</v>
      </c>
      <c r="B967" s="34">
        <v>7509546052977</v>
      </c>
      <c r="C967" s="35" t="s">
        <v>284</v>
      </c>
      <c r="D967" s="33">
        <v>40.119999999999997</v>
      </c>
      <c r="E967" s="45">
        <v>47.2</v>
      </c>
      <c r="F967" s="5">
        <f t="shared" si="181"/>
        <v>0.15000000000000013</v>
      </c>
      <c r="G967" s="33">
        <f>22.7294856*1.16</f>
        <v>26.366203295999998</v>
      </c>
      <c r="H967" s="38">
        <v>29.9</v>
      </c>
      <c r="I967" s="4">
        <f t="shared" si="179"/>
        <v>0.11818718073578593</v>
      </c>
      <c r="J967" s="23"/>
    </row>
    <row r="968" spans="1:10" s="26" customFormat="1">
      <c r="A968" s="25"/>
      <c r="B968" s="34">
        <v>7509546076171</v>
      </c>
      <c r="C968" s="35" t="s">
        <v>408</v>
      </c>
      <c r="D968" s="33">
        <v>35.299999999999997</v>
      </c>
      <c r="E968" s="45">
        <v>42.8</v>
      </c>
      <c r="F968" s="5">
        <f t="shared" si="181"/>
        <v>0.17523364485981308</v>
      </c>
      <c r="G968" s="33">
        <f t="shared" ref="G968:G971" si="190">22.2848*1.16</f>
        <v>25.850368</v>
      </c>
      <c r="H968" s="38">
        <v>29.9</v>
      </c>
      <c r="I968" s="4">
        <f t="shared" si="179"/>
        <v>0.13543919732441467</v>
      </c>
      <c r="J968" s="23"/>
    </row>
    <row r="969" spans="1:10" s="26" customFormat="1">
      <c r="A969" s="25"/>
      <c r="B969" s="34">
        <v>7509546076195</v>
      </c>
      <c r="C969" s="35" t="s">
        <v>409</v>
      </c>
      <c r="D969" s="33">
        <v>35.299999999999997</v>
      </c>
      <c r="E969" s="45">
        <v>42.8</v>
      </c>
      <c r="F969" s="5">
        <f t="shared" si="181"/>
        <v>0.17523364485981308</v>
      </c>
      <c r="G969" s="33">
        <f t="shared" si="190"/>
        <v>25.850368</v>
      </c>
      <c r="H969" s="38">
        <v>29.9</v>
      </c>
      <c r="I969" s="4">
        <f t="shared" si="179"/>
        <v>0.13543919732441467</v>
      </c>
      <c r="J969" s="23"/>
    </row>
    <row r="970" spans="1:10" s="26" customFormat="1">
      <c r="A970" s="25"/>
      <c r="B970" s="34">
        <v>7509546076201</v>
      </c>
      <c r="C970" s="35" t="s">
        <v>410</v>
      </c>
      <c r="D970" s="33">
        <v>35.299999999999997</v>
      </c>
      <c r="E970" s="45">
        <v>42.8</v>
      </c>
      <c r="F970" s="5">
        <f t="shared" si="181"/>
        <v>0.17523364485981308</v>
      </c>
      <c r="G970" s="33">
        <f t="shared" si="190"/>
        <v>25.850368</v>
      </c>
      <c r="H970" s="38">
        <v>29.9</v>
      </c>
      <c r="I970" s="4">
        <f t="shared" si="179"/>
        <v>0.13543919732441467</v>
      </c>
      <c r="J970" s="23"/>
    </row>
    <row r="971" spans="1:10" s="26" customFormat="1">
      <c r="A971" s="25"/>
      <c r="B971" s="34">
        <v>7509546076218</v>
      </c>
      <c r="C971" s="35" t="s">
        <v>411</v>
      </c>
      <c r="D971" s="33">
        <v>35.299999999999997</v>
      </c>
      <c r="E971" s="45">
        <v>42.8</v>
      </c>
      <c r="F971" s="5">
        <f t="shared" si="181"/>
        <v>0.17523364485981308</v>
      </c>
      <c r="G971" s="33">
        <f t="shared" si="190"/>
        <v>25.850368</v>
      </c>
      <c r="H971" s="38">
        <v>29.9</v>
      </c>
      <c r="I971" s="4">
        <f t="shared" si="179"/>
        <v>0.13543919732441467</v>
      </c>
      <c r="J971" s="23"/>
    </row>
    <row r="972" spans="1:10" s="26" customFormat="1">
      <c r="A972" s="7" t="s">
        <v>23</v>
      </c>
      <c r="B972" s="29"/>
      <c r="C972" s="28"/>
      <c r="D972" s="33"/>
      <c r="E972" s="45"/>
      <c r="F972" s="5" t="e">
        <f t="shared" si="181"/>
        <v>#DIV/0!</v>
      </c>
      <c r="G972" s="33"/>
      <c r="H972" s="38"/>
      <c r="I972" s="4" t="e">
        <f t="shared" si="179"/>
        <v>#DIV/0!</v>
      </c>
      <c r="J972" s="23">
        <f t="shared" ref="J972:J975" si="191">+D972-G972</f>
        <v>0</v>
      </c>
    </row>
    <row r="973" spans="1:10" s="26" customFormat="1">
      <c r="A973" s="7" t="s">
        <v>24</v>
      </c>
      <c r="B973" s="34">
        <v>7501008044698</v>
      </c>
      <c r="C973" s="35" t="s">
        <v>315</v>
      </c>
      <c r="D973" s="33">
        <f>37.555*1.08</f>
        <v>40.559400000000004</v>
      </c>
      <c r="E973" s="45">
        <v>49.5</v>
      </c>
      <c r="F973" s="5">
        <f t="shared" si="181"/>
        <v>0.18061818181818179</v>
      </c>
      <c r="G973" s="33">
        <v>36.498600000000003</v>
      </c>
      <c r="H973" s="38">
        <v>41.5</v>
      </c>
      <c r="I973" s="4">
        <f t="shared" si="179"/>
        <v>0.12051566265060232</v>
      </c>
      <c r="J973" s="23">
        <f t="shared" si="191"/>
        <v>4.0608000000000004</v>
      </c>
    </row>
    <row r="974" spans="1:10" s="26" customFormat="1">
      <c r="A974" s="17"/>
      <c r="B974" s="14">
        <v>7501008044278</v>
      </c>
      <c r="C974" s="15" t="s">
        <v>245</v>
      </c>
      <c r="D974" s="13">
        <f>53.59*1.08</f>
        <v>57.877200000000009</v>
      </c>
      <c r="E974" s="65">
        <v>69.900000000000006</v>
      </c>
      <c r="F974" s="5">
        <f t="shared" si="181"/>
        <v>0.17199999999999993</v>
      </c>
      <c r="G974" s="13">
        <v>52.71</v>
      </c>
      <c r="H974" s="20">
        <v>59.9</v>
      </c>
      <c r="I974" s="4">
        <f t="shared" si="179"/>
        <v>0.12003338898163607</v>
      </c>
      <c r="J974" s="23">
        <f t="shared" si="191"/>
        <v>5.1672000000000082</v>
      </c>
    </row>
    <row r="975" spans="1:10" s="26" customFormat="1">
      <c r="A975" s="17"/>
      <c r="B975" s="14">
        <v>7501008045091</v>
      </c>
      <c r="C975" s="15" t="s">
        <v>316</v>
      </c>
      <c r="D975" s="13">
        <f>53.59*1.08</f>
        <v>57.877200000000009</v>
      </c>
      <c r="E975" s="65">
        <v>69.900000000000006</v>
      </c>
      <c r="F975" s="5">
        <f t="shared" si="181"/>
        <v>0.17199999999999993</v>
      </c>
      <c r="G975" s="13">
        <v>52.71</v>
      </c>
      <c r="H975" s="20">
        <v>59.9</v>
      </c>
      <c r="I975" s="4">
        <f t="shared" si="179"/>
        <v>0.12003338898163607</v>
      </c>
      <c r="J975" s="23">
        <f t="shared" si="191"/>
        <v>5.1672000000000082</v>
      </c>
    </row>
    <row r="976" spans="1:10" s="26" customFormat="1">
      <c r="A976" s="7" t="s">
        <v>25</v>
      </c>
      <c r="B976" s="29"/>
      <c r="C976" s="28"/>
      <c r="D976" s="30"/>
      <c r="E976" s="45"/>
      <c r="F976" s="5" t="e">
        <f t="shared" si="181"/>
        <v>#DIV/0!</v>
      </c>
      <c r="G976" s="33"/>
      <c r="H976" s="38"/>
      <c r="I976" s="4" t="e">
        <f t="shared" si="179"/>
        <v>#DIV/0!</v>
      </c>
      <c r="J976" s="23"/>
    </row>
    <row r="977" spans="1:10" s="26" customFormat="1">
      <c r="A977" s="7" t="s">
        <v>26</v>
      </c>
      <c r="B977" s="29"/>
      <c r="C977" s="28"/>
      <c r="D977" s="30"/>
      <c r="E977" s="45"/>
      <c r="F977" s="5" t="e">
        <f t="shared" si="181"/>
        <v>#DIV/0!</v>
      </c>
      <c r="G977" s="30"/>
      <c r="H977" s="39"/>
      <c r="I977" s="4" t="e">
        <f t="shared" si="179"/>
        <v>#DIV/0!</v>
      </c>
      <c r="J977" s="23"/>
    </row>
    <row r="978" spans="1:10" s="26" customFormat="1">
      <c r="A978" s="7" t="s">
        <v>27</v>
      </c>
      <c r="B978" s="63"/>
      <c r="C978" s="28"/>
      <c r="D978" s="30"/>
      <c r="E978" s="45"/>
      <c r="F978" s="5" t="e">
        <f t="shared" si="181"/>
        <v>#DIV/0!</v>
      </c>
      <c r="G978" s="30"/>
      <c r="H978" s="39"/>
      <c r="I978" s="4" t="e">
        <f t="shared" si="179"/>
        <v>#DIV/0!</v>
      </c>
      <c r="J978" s="23">
        <f t="shared" ref="J978:J979" si="192">+D978-G978</f>
        <v>0</v>
      </c>
    </row>
    <row r="979" spans="1:10" s="26" customFormat="1">
      <c r="A979" s="7" t="s">
        <v>28</v>
      </c>
      <c r="B979" s="28"/>
      <c r="C979" s="28"/>
      <c r="D979" s="30"/>
      <c r="E979" s="45"/>
      <c r="F979" s="5" t="e">
        <f t="shared" si="181"/>
        <v>#DIV/0!</v>
      </c>
      <c r="G979" s="30"/>
      <c r="H979" s="39"/>
      <c r="I979" s="4" t="e">
        <f t="shared" si="179"/>
        <v>#DIV/0!</v>
      </c>
      <c r="J979" s="23">
        <f t="shared" si="192"/>
        <v>0</v>
      </c>
    </row>
    <row r="980" spans="1:10" s="26" customFormat="1">
      <c r="A980" s="7" t="s">
        <v>29</v>
      </c>
      <c r="B980" s="29">
        <v>7501032925956</v>
      </c>
      <c r="C980" s="28" t="s">
        <v>413</v>
      </c>
      <c r="D980" s="30">
        <v>55.36</v>
      </c>
      <c r="E980" s="45">
        <v>69.2</v>
      </c>
      <c r="F980" s="5">
        <f t="shared" si="181"/>
        <v>0.20000000000000007</v>
      </c>
      <c r="G980" s="30">
        <v>49.82</v>
      </c>
      <c r="H980" s="39">
        <v>59.9</v>
      </c>
      <c r="I980" s="4">
        <f t="shared" si="179"/>
        <v>0.16828046744574288</v>
      </c>
      <c r="J980" s="23"/>
    </row>
    <row r="981" spans="1:10" s="26" customFormat="1">
      <c r="A981" s="17"/>
      <c r="B981" s="14">
        <v>7501032900168</v>
      </c>
      <c r="C981" s="15" t="s">
        <v>414</v>
      </c>
      <c r="D981" s="13">
        <f>12.57*1.16</f>
        <v>14.581199999999999</v>
      </c>
      <c r="E981" s="65">
        <v>17.899999999999999</v>
      </c>
      <c r="F981" s="5">
        <f t="shared" si="181"/>
        <v>0.18540782122905031</v>
      </c>
      <c r="G981" s="13">
        <v>13.85</v>
      </c>
      <c r="H981" s="20">
        <v>16.5</v>
      </c>
      <c r="I981" s="4">
        <f t="shared" si="179"/>
        <v>0.16060606060606064</v>
      </c>
      <c r="J981" s="68"/>
    </row>
    <row r="982" spans="1:10" s="26" customFormat="1">
      <c r="A982" s="17"/>
      <c r="B982" s="14">
        <v>7501032900175</v>
      </c>
      <c r="C982" s="15" t="s">
        <v>415</v>
      </c>
      <c r="D982" s="13">
        <f>12.57*1.16</f>
        <v>14.581199999999999</v>
      </c>
      <c r="E982" s="65">
        <v>17.899999999999999</v>
      </c>
      <c r="F982" s="5">
        <f t="shared" si="181"/>
        <v>0.18540782122905031</v>
      </c>
      <c r="G982" s="13">
        <v>13.85</v>
      </c>
      <c r="H982" s="20">
        <v>16.5</v>
      </c>
      <c r="I982" s="4">
        <f t="shared" si="179"/>
        <v>0.16060606060606064</v>
      </c>
      <c r="J982" s="68"/>
    </row>
    <row r="983" spans="1:10" s="26" customFormat="1">
      <c r="A983" s="7" t="s">
        <v>30</v>
      </c>
      <c r="B983" s="29"/>
      <c r="C983" s="28"/>
      <c r="D983" s="30"/>
      <c r="E983" s="45"/>
      <c r="F983" s="5" t="e">
        <f t="shared" si="181"/>
        <v>#DIV/0!</v>
      </c>
      <c r="G983" s="30"/>
      <c r="H983" s="39"/>
      <c r="I983" s="4" t="e">
        <f t="shared" si="179"/>
        <v>#DIV/0!</v>
      </c>
      <c r="J983" s="23">
        <f t="shared" ref="J983:J988" si="193">+D983-G983</f>
        <v>0</v>
      </c>
    </row>
    <row r="984" spans="1:10" s="26" customFormat="1">
      <c r="A984" s="7" t="s">
        <v>38</v>
      </c>
      <c r="B984" s="29">
        <v>7501025403034</v>
      </c>
      <c r="C984" s="28" t="s">
        <v>55</v>
      </c>
      <c r="D984" s="30">
        <f>20.0527*1.16</f>
        <v>23.261132</v>
      </c>
      <c r="E984" s="45">
        <v>28.9</v>
      </c>
      <c r="F984" s="5">
        <f t="shared" si="181"/>
        <v>0.19511653979238752</v>
      </c>
      <c r="G984" s="30">
        <v>19.71</v>
      </c>
      <c r="H984" s="39">
        <v>21.9</v>
      </c>
      <c r="I984" s="4">
        <f t="shared" si="179"/>
        <v>9.9999999999999867E-2</v>
      </c>
      <c r="J984" s="23">
        <f t="shared" si="193"/>
        <v>3.5511319999999991</v>
      </c>
    </row>
    <row r="985" spans="1:10" s="26" customFormat="1">
      <c r="A985" s="7"/>
      <c r="B985" s="29">
        <v>7501025411756</v>
      </c>
      <c r="C985" s="28" t="s">
        <v>199</v>
      </c>
      <c r="D985" s="30">
        <f>16.65*1.16</f>
        <v>19.313999999999997</v>
      </c>
      <c r="E985" s="45">
        <v>24.2</v>
      </c>
      <c r="F985" s="5">
        <f t="shared" si="181"/>
        <v>0.20190082644628116</v>
      </c>
      <c r="G985" s="30">
        <v>18.3</v>
      </c>
      <c r="H985" s="39">
        <v>20.9</v>
      </c>
      <c r="I985" s="4">
        <f t="shared" si="179"/>
        <v>0.12440191387559796</v>
      </c>
      <c r="J985" s="23">
        <f t="shared" si="193"/>
        <v>1.0139999999999958</v>
      </c>
    </row>
    <row r="986" spans="1:10" s="26" customFormat="1">
      <c r="A986" s="7"/>
      <c r="B986" s="29">
        <v>7501025411763</v>
      </c>
      <c r="C986" s="28" t="s">
        <v>200</v>
      </c>
      <c r="D986" s="30">
        <f t="shared" ref="D986:D988" si="194">16.65*1.16</f>
        <v>19.313999999999997</v>
      </c>
      <c r="E986" s="45">
        <v>24.2</v>
      </c>
      <c r="F986" s="5">
        <f t="shared" si="181"/>
        <v>0.20190082644628116</v>
      </c>
      <c r="G986" s="30">
        <v>18.3</v>
      </c>
      <c r="H986" s="39">
        <v>20.9</v>
      </c>
      <c r="I986" s="4">
        <f t="shared" si="179"/>
        <v>0.12440191387559796</v>
      </c>
      <c r="J986" s="23">
        <f t="shared" si="193"/>
        <v>1.0139999999999958</v>
      </c>
    </row>
    <row r="987" spans="1:10" s="26" customFormat="1">
      <c r="A987" s="7"/>
      <c r="B987" s="29">
        <v>7501025431945</v>
      </c>
      <c r="C987" s="28" t="s">
        <v>201</v>
      </c>
      <c r="D987" s="30">
        <f t="shared" si="194"/>
        <v>19.313999999999997</v>
      </c>
      <c r="E987" s="45">
        <v>24.2</v>
      </c>
      <c r="F987" s="5">
        <f t="shared" si="181"/>
        <v>0.20190082644628116</v>
      </c>
      <c r="G987" s="30">
        <v>18.3</v>
      </c>
      <c r="H987" s="39">
        <v>20.9</v>
      </c>
      <c r="I987" s="4">
        <f t="shared" si="179"/>
        <v>0.12440191387559796</v>
      </c>
      <c r="J987" s="23">
        <f t="shared" si="193"/>
        <v>1.0139999999999958</v>
      </c>
    </row>
    <row r="988" spans="1:10" s="26" customFormat="1">
      <c r="A988" s="7"/>
      <c r="B988" s="29">
        <v>7501025431952</v>
      </c>
      <c r="C988" s="28" t="s">
        <v>202</v>
      </c>
      <c r="D988" s="30">
        <f t="shared" si="194"/>
        <v>19.313999999999997</v>
      </c>
      <c r="E988" s="45">
        <v>24.2</v>
      </c>
      <c r="F988" s="5">
        <f t="shared" si="181"/>
        <v>0.20190082644628116</v>
      </c>
      <c r="G988" s="30">
        <v>18.3</v>
      </c>
      <c r="H988" s="39">
        <v>20.9</v>
      </c>
      <c r="I988" s="4">
        <f t="shared" si="179"/>
        <v>0.12440191387559796</v>
      </c>
      <c r="J988" s="23">
        <f t="shared" si="193"/>
        <v>1.0139999999999958</v>
      </c>
    </row>
    <row r="989" spans="1:10" s="26" customFormat="1">
      <c r="A989" s="43"/>
      <c r="B989" s="14"/>
      <c r="C989" s="15"/>
      <c r="D989" s="13"/>
      <c r="E989" s="65"/>
      <c r="F989" s="5" t="e">
        <f t="shared" si="181"/>
        <v>#DIV/0!</v>
      </c>
      <c r="G989" s="13"/>
      <c r="H989" s="20"/>
      <c r="I989" s="4" t="e">
        <f t="shared" si="179"/>
        <v>#DIV/0!</v>
      </c>
      <c r="J989" s="68"/>
    </row>
    <row r="990" spans="1:10" s="26" customFormat="1">
      <c r="A990" s="43"/>
      <c r="B990" s="34">
        <v>7501035910034</v>
      </c>
      <c r="C990" s="35" t="s">
        <v>65</v>
      </c>
      <c r="D990" s="33">
        <f>22.3423*1.16</f>
        <v>25.917068</v>
      </c>
      <c r="E990" s="33">
        <v>31.6</v>
      </c>
      <c r="F990" s="5">
        <f t="shared" si="181"/>
        <v>0.17983962025316458</v>
      </c>
      <c r="G990" s="33">
        <f>17.21*1.16</f>
        <v>19.9636</v>
      </c>
      <c r="H990" s="38">
        <v>22.9</v>
      </c>
      <c r="I990" s="4">
        <f t="shared" si="179"/>
        <v>0.12822707423580781</v>
      </c>
      <c r="J990" s="68"/>
    </row>
    <row r="991" spans="1:10" s="26" customFormat="1">
      <c r="A991" s="43"/>
      <c r="B991" s="34" t="s">
        <v>66</v>
      </c>
      <c r="C991" s="35" t="s">
        <v>67</v>
      </c>
      <c r="D991" s="33">
        <f t="shared" ref="D991:D995" si="195">22.3423*1.16</f>
        <v>25.917068</v>
      </c>
      <c r="E991" s="33">
        <v>31.6</v>
      </c>
      <c r="F991" s="5">
        <f t="shared" si="181"/>
        <v>0.17983962025316458</v>
      </c>
      <c r="G991" s="33">
        <f t="shared" ref="G991:G995" si="196">17.21*1.16</f>
        <v>19.9636</v>
      </c>
      <c r="H991" s="38">
        <v>22.9</v>
      </c>
      <c r="I991" s="4">
        <f t="shared" si="179"/>
        <v>0.12822707423580781</v>
      </c>
      <c r="J991" s="68"/>
    </row>
    <row r="992" spans="1:10" s="26" customFormat="1">
      <c r="A992" s="43"/>
      <c r="B992" s="34" t="s">
        <v>68</v>
      </c>
      <c r="C992" s="35" t="s">
        <v>69</v>
      </c>
      <c r="D992" s="33">
        <f t="shared" si="195"/>
        <v>25.917068</v>
      </c>
      <c r="E992" s="33">
        <v>31.6</v>
      </c>
      <c r="F992" s="5">
        <f t="shared" si="181"/>
        <v>0.17983962025316458</v>
      </c>
      <c r="G992" s="33">
        <f t="shared" si="196"/>
        <v>19.9636</v>
      </c>
      <c r="H992" s="38">
        <v>22.9</v>
      </c>
      <c r="I992" s="4">
        <f t="shared" si="179"/>
        <v>0.12822707423580781</v>
      </c>
      <c r="J992" s="68"/>
    </row>
    <row r="993" spans="1:10" s="26" customFormat="1">
      <c r="A993" s="43"/>
      <c r="B993" s="34" t="s">
        <v>70</v>
      </c>
      <c r="C993" s="35" t="s">
        <v>71</v>
      </c>
      <c r="D993" s="33">
        <f t="shared" si="195"/>
        <v>25.917068</v>
      </c>
      <c r="E993" s="33">
        <v>31.6</v>
      </c>
      <c r="F993" s="5">
        <f t="shared" si="181"/>
        <v>0.17983962025316458</v>
      </c>
      <c r="G993" s="33">
        <f t="shared" si="196"/>
        <v>19.9636</v>
      </c>
      <c r="H993" s="38">
        <v>22.9</v>
      </c>
      <c r="I993" s="4">
        <f t="shared" si="179"/>
        <v>0.12822707423580781</v>
      </c>
      <c r="J993" s="68"/>
    </row>
    <row r="994" spans="1:10" s="26" customFormat="1">
      <c r="A994" s="43"/>
      <c r="B994" s="34" t="s">
        <v>72</v>
      </c>
      <c r="C994" s="35" t="s">
        <v>73</v>
      </c>
      <c r="D994" s="33">
        <f t="shared" si="195"/>
        <v>25.917068</v>
      </c>
      <c r="E994" s="33">
        <v>31.6</v>
      </c>
      <c r="F994" s="5">
        <f t="shared" si="181"/>
        <v>0.17983962025316458</v>
      </c>
      <c r="G994" s="33">
        <f t="shared" si="196"/>
        <v>19.9636</v>
      </c>
      <c r="H994" s="38">
        <v>22.9</v>
      </c>
      <c r="I994" s="4">
        <f t="shared" si="179"/>
        <v>0.12822707423580781</v>
      </c>
      <c r="J994" s="68"/>
    </row>
    <row r="995" spans="1:10" s="26" customFormat="1">
      <c r="A995" s="43"/>
      <c r="B995" s="34" t="s">
        <v>79</v>
      </c>
      <c r="C995" s="35" t="s">
        <v>80</v>
      </c>
      <c r="D995" s="33">
        <f t="shared" si="195"/>
        <v>25.917068</v>
      </c>
      <c r="E995" s="33">
        <v>31.6</v>
      </c>
      <c r="F995" s="5">
        <f t="shared" si="181"/>
        <v>0.17983962025316458</v>
      </c>
      <c r="G995" s="33">
        <f t="shared" si="196"/>
        <v>19.9636</v>
      </c>
      <c r="H995" s="38">
        <v>22.9</v>
      </c>
      <c r="I995" s="4">
        <f t="shared" si="179"/>
        <v>0.12822707423580781</v>
      </c>
      <c r="J995" s="68"/>
    </row>
    <row r="996" spans="1:10" s="26" customFormat="1">
      <c r="A996" s="43"/>
      <c r="B996" s="14"/>
      <c r="C996" s="15"/>
      <c r="D996" s="13"/>
      <c r="E996" s="65"/>
      <c r="F996" s="5" t="e">
        <f t="shared" si="181"/>
        <v>#DIV/0!</v>
      </c>
      <c r="G996" s="13"/>
      <c r="H996" s="20"/>
      <c r="I996" s="4" t="e">
        <f t="shared" si="179"/>
        <v>#DIV/0!</v>
      </c>
      <c r="J996" s="68"/>
    </row>
    <row r="997" spans="1:10" s="26" customFormat="1">
      <c r="A997" s="7" t="s">
        <v>31</v>
      </c>
      <c r="B997" s="29">
        <v>7502247339385</v>
      </c>
      <c r="C997" s="28" t="s">
        <v>60</v>
      </c>
      <c r="D997" s="30">
        <v>126.6</v>
      </c>
      <c r="E997" s="45">
        <v>148.9</v>
      </c>
      <c r="F997" s="5">
        <f t="shared" si="181"/>
        <v>0.14976494291470788</v>
      </c>
      <c r="G997" s="30">
        <v>115.10679999999999</v>
      </c>
      <c r="H997" s="39">
        <v>130.9</v>
      </c>
      <c r="I997" s="4">
        <f t="shared" si="179"/>
        <v>0.12065087853323153</v>
      </c>
      <c r="J997" s="23"/>
    </row>
    <row r="998" spans="1:10" s="26" customFormat="1">
      <c r="A998" s="25"/>
      <c r="B998" s="34">
        <v>7502247334595</v>
      </c>
      <c r="C998" s="35" t="s">
        <v>61</v>
      </c>
      <c r="D998" s="33">
        <v>126.6</v>
      </c>
      <c r="E998" s="45">
        <v>148.9</v>
      </c>
      <c r="F998" s="5">
        <f t="shared" si="181"/>
        <v>0.14976494291470788</v>
      </c>
      <c r="G998" s="30">
        <v>115.10679999999999</v>
      </c>
      <c r="H998" s="39">
        <v>130.9</v>
      </c>
      <c r="I998" s="4">
        <f t="shared" si="179"/>
        <v>0.12065087853323153</v>
      </c>
      <c r="J998" s="23"/>
    </row>
    <row r="999" spans="1:10" s="26" customFormat="1">
      <c r="A999" s="25"/>
      <c r="B999" s="34">
        <v>7502247334601</v>
      </c>
      <c r="C999" s="35" t="s">
        <v>62</v>
      </c>
      <c r="D999" s="33">
        <v>126.6</v>
      </c>
      <c r="E999" s="45">
        <v>148.9</v>
      </c>
      <c r="F999" s="5">
        <f t="shared" si="181"/>
        <v>0.14976494291470788</v>
      </c>
      <c r="G999" s="30">
        <v>115.10679999999999</v>
      </c>
      <c r="H999" s="39">
        <v>130.9</v>
      </c>
      <c r="I999" s="4">
        <f t="shared" si="179"/>
        <v>0.12065087853323153</v>
      </c>
      <c r="J999" s="23"/>
    </row>
    <row r="1000" spans="1:10" s="26" customFormat="1">
      <c r="A1000" s="25"/>
      <c r="B1000" s="34">
        <v>7502247334618</v>
      </c>
      <c r="C1000" s="35" t="s">
        <v>63</v>
      </c>
      <c r="D1000" s="30">
        <v>126.6</v>
      </c>
      <c r="E1000" s="45">
        <v>148.9</v>
      </c>
      <c r="F1000" s="5">
        <f t="shared" si="181"/>
        <v>0.14976494291470788</v>
      </c>
      <c r="G1000" s="30">
        <v>115.10679999999999</v>
      </c>
      <c r="H1000" s="39">
        <v>130.9</v>
      </c>
      <c r="I1000" s="4">
        <f t="shared" si="179"/>
        <v>0.12065087853323153</v>
      </c>
      <c r="J1000" s="23"/>
    </row>
    <row r="1001" spans="1:10" s="26" customFormat="1">
      <c r="A1001" s="17"/>
      <c r="B1001" s="14"/>
      <c r="C1001" s="15"/>
      <c r="D1001" s="13"/>
      <c r="E1001" s="65"/>
      <c r="F1001" s="66"/>
      <c r="G1001" s="13"/>
      <c r="H1001" s="20"/>
      <c r="I1001" s="67"/>
      <c r="J1001" s="68"/>
    </row>
    <row r="1002" spans="1:10" s="26" customFormat="1">
      <c r="A1002" s="7" t="s">
        <v>167</v>
      </c>
      <c r="B1002" s="29" t="s">
        <v>40</v>
      </c>
      <c r="C1002" s="28" t="s">
        <v>57</v>
      </c>
      <c r="D1002" s="30">
        <v>23.12</v>
      </c>
      <c r="E1002" s="45">
        <v>27.2</v>
      </c>
      <c r="F1002" s="5">
        <f t="shared" ref="F1002:F1017" si="197">+((D1002/E1002)-1)*-1</f>
        <v>0.14999999999999991</v>
      </c>
      <c r="G1002" s="30">
        <v>21.38</v>
      </c>
      <c r="H1002" s="39">
        <v>24.5</v>
      </c>
      <c r="I1002" s="4">
        <f t="shared" ref="I1002:I1017" si="198">+((G1002/H1002)-1)*-1</f>
        <v>0.12734693877551029</v>
      </c>
      <c r="J1002" s="23"/>
    </row>
    <row r="1003" spans="1:10" s="26" customFormat="1">
      <c r="A1003" s="25"/>
      <c r="B1003" s="34" t="s">
        <v>41</v>
      </c>
      <c r="C1003" s="35" t="s">
        <v>58</v>
      </c>
      <c r="D1003" s="33">
        <v>23.35</v>
      </c>
      <c r="E1003" s="45">
        <v>27.2</v>
      </c>
      <c r="F1003" s="5">
        <f t="shared" si="197"/>
        <v>0.14154411764705876</v>
      </c>
      <c r="G1003" s="33">
        <f>18.64*1.16</f>
        <v>21.622399999999999</v>
      </c>
      <c r="H1003" s="38">
        <v>24.5</v>
      </c>
      <c r="I1003" s="4">
        <f t="shared" si="198"/>
        <v>0.11745306122448984</v>
      </c>
      <c r="J1003" s="23"/>
    </row>
    <row r="1004" spans="1:10" s="26" customFormat="1">
      <c r="A1004" s="25"/>
      <c r="B1004" s="34">
        <v>7502247335677</v>
      </c>
      <c r="C1004" s="35" t="s">
        <v>59</v>
      </c>
      <c r="D1004" s="33">
        <v>18.45</v>
      </c>
      <c r="E1004" s="45">
        <v>21.7</v>
      </c>
      <c r="F1004" s="5">
        <f t="shared" si="197"/>
        <v>0.14976958525345618</v>
      </c>
      <c r="G1004" s="33">
        <f>13*1.16</f>
        <v>15.079999999999998</v>
      </c>
      <c r="H1004" s="38">
        <v>16.899999999999999</v>
      </c>
      <c r="I1004" s="4">
        <f t="shared" si="198"/>
        <v>0.10769230769230775</v>
      </c>
      <c r="J1004" s="23"/>
    </row>
    <row r="1005" spans="1:10" s="26" customFormat="1">
      <c r="A1005" s="25"/>
      <c r="B1005" s="34">
        <v>7502247338845</v>
      </c>
      <c r="C1005" s="35" t="s">
        <v>212</v>
      </c>
      <c r="D1005" s="33">
        <v>8</v>
      </c>
      <c r="E1005" s="45">
        <v>9.4</v>
      </c>
      <c r="F1005" s="5">
        <f t="shared" si="197"/>
        <v>0.14893617021276595</v>
      </c>
      <c r="G1005" s="33">
        <v>6.84</v>
      </c>
      <c r="H1005" s="38">
        <v>7.9</v>
      </c>
      <c r="I1005" s="4">
        <f t="shared" si="198"/>
        <v>0.13417721518987347</v>
      </c>
      <c r="J1005" s="23"/>
    </row>
    <row r="1006" spans="1:10" s="26" customFormat="1">
      <c r="A1006" s="25"/>
      <c r="B1006" s="34">
        <v>7501943458499</v>
      </c>
      <c r="C1006" s="35" t="s">
        <v>204</v>
      </c>
      <c r="D1006" s="33">
        <v>6.45</v>
      </c>
      <c r="E1006" s="45">
        <v>7.6</v>
      </c>
      <c r="F1006" s="5">
        <f t="shared" si="197"/>
        <v>0.15131578947368418</v>
      </c>
      <c r="G1006" s="33">
        <f>4.8215*1.16</f>
        <v>5.5929399999999996</v>
      </c>
      <c r="H1006" s="38">
        <v>6.5</v>
      </c>
      <c r="I1006" s="4">
        <f t="shared" si="198"/>
        <v>0.13954769230769237</v>
      </c>
      <c r="J1006" s="23"/>
    </row>
    <row r="1007" spans="1:10" s="26" customFormat="1">
      <c r="A1007" s="25"/>
      <c r="B1007" s="34">
        <v>7506425605781</v>
      </c>
      <c r="C1007" s="35" t="s">
        <v>350</v>
      </c>
      <c r="D1007" s="33">
        <v>14.940799999999999</v>
      </c>
      <c r="E1007" s="45">
        <v>19.899999999999999</v>
      </c>
      <c r="F1007" s="5">
        <f t="shared" si="197"/>
        <v>0.24920603015075371</v>
      </c>
      <c r="G1007" s="33">
        <f>12.88*1.16</f>
        <v>14.940799999999999</v>
      </c>
      <c r="H1007" s="38">
        <v>16.899999999999999</v>
      </c>
      <c r="I1007" s="4">
        <f t="shared" si="198"/>
        <v>0.11592899408284019</v>
      </c>
      <c r="J1007" s="23"/>
    </row>
    <row r="1008" spans="1:10" s="26" customFormat="1">
      <c r="A1008" s="25"/>
      <c r="B1008" s="34">
        <v>7501007716206</v>
      </c>
      <c r="C1008" s="35" t="s">
        <v>168</v>
      </c>
      <c r="D1008" s="33">
        <f>25.82*1.16</f>
        <v>29.951199999999996</v>
      </c>
      <c r="E1008" s="45">
        <v>37.6</v>
      </c>
      <c r="F1008" s="5">
        <f t="shared" si="197"/>
        <v>0.20342553191489376</v>
      </c>
      <c r="G1008" s="33">
        <v>26.95</v>
      </c>
      <c r="H1008" s="38">
        <v>31.9</v>
      </c>
      <c r="I1008" s="4">
        <f t="shared" si="198"/>
        <v>0.15517241379310343</v>
      </c>
      <c r="J1008" s="23"/>
    </row>
    <row r="1009" spans="1:10" s="26" customFormat="1">
      <c r="A1009" s="7" t="s">
        <v>32</v>
      </c>
      <c r="B1009" s="34">
        <v>7501125419010</v>
      </c>
      <c r="C1009" s="35" t="s">
        <v>171</v>
      </c>
      <c r="D1009" s="33">
        <v>10.33</v>
      </c>
      <c r="E1009" s="45">
        <v>12.9</v>
      </c>
      <c r="F1009" s="5">
        <f t="shared" si="197"/>
        <v>0.19922480620155036</v>
      </c>
      <c r="G1009" s="33">
        <f>+D1009-0.5</f>
        <v>9.83</v>
      </c>
      <c r="H1009" s="38">
        <v>11.5</v>
      </c>
      <c r="I1009" s="4">
        <f t="shared" si="198"/>
        <v>0.14521739130434785</v>
      </c>
      <c r="J1009" s="23">
        <f>+D1009-G1009</f>
        <v>0.5</v>
      </c>
    </row>
    <row r="1010" spans="1:10" s="26" customFormat="1">
      <c r="A1010" s="25"/>
      <c r="B1010" s="34">
        <v>7501125419027</v>
      </c>
      <c r="C1010" s="35" t="s">
        <v>172</v>
      </c>
      <c r="D1010" s="33">
        <v>10.33</v>
      </c>
      <c r="E1010" s="45">
        <v>12.9</v>
      </c>
      <c r="F1010" s="5">
        <f t="shared" si="197"/>
        <v>0.19922480620155036</v>
      </c>
      <c r="G1010" s="33">
        <f t="shared" ref="G1010:G1011" si="199">+D1010-0.5</f>
        <v>9.83</v>
      </c>
      <c r="H1010" s="38">
        <v>11.5</v>
      </c>
      <c r="I1010" s="4">
        <f t="shared" si="198"/>
        <v>0.14521739130434785</v>
      </c>
      <c r="J1010" s="23">
        <f>+D1010-G1010</f>
        <v>0.5</v>
      </c>
    </row>
    <row r="1011" spans="1:10" s="26" customFormat="1">
      <c r="A1011" s="25"/>
      <c r="B1011" s="34">
        <v>7501125419034</v>
      </c>
      <c r="C1011" s="35" t="s">
        <v>173</v>
      </c>
      <c r="D1011" s="33">
        <v>10.33</v>
      </c>
      <c r="E1011" s="45">
        <v>12.9</v>
      </c>
      <c r="F1011" s="5">
        <f t="shared" si="197"/>
        <v>0.19922480620155036</v>
      </c>
      <c r="G1011" s="33">
        <f t="shared" si="199"/>
        <v>9.83</v>
      </c>
      <c r="H1011" s="38">
        <v>11.5</v>
      </c>
      <c r="I1011" s="4">
        <f t="shared" si="198"/>
        <v>0.14521739130434785</v>
      </c>
      <c r="J1011" s="23">
        <f>+D1011-G1011</f>
        <v>0.5</v>
      </c>
    </row>
    <row r="1012" spans="1:10" s="26" customFormat="1">
      <c r="A1012" s="7" t="s">
        <v>33</v>
      </c>
      <c r="B1012" s="29"/>
      <c r="C1012" s="28" t="s">
        <v>382</v>
      </c>
      <c r="D1012" s="30">
        <v>6.2</v>
      </c>
      <c r="E1012" s="45">
        <v>7.6</v>
      </c>
      <c r="F1012" s="5">
        <f t="shared" si="197"/>
        <v>0.18421052631578938</v>
      </c>
      <c r="G1012" s="30">
        <v>5.8297999999999996</v>
      </c>
      <c r="H1012" s="39">
        <v>6.5</v>
      </c>
      <c r="I1012" s="4">
        <f t="shared" si="198"/>
        <v>0.10310769230769234</v>
      </c>
      <c r="J1012" s="23">
        <f t="shared" ref="J1012:J1013" si="200">+D1012-G1012</f>
        <v>0.37020000000000053</v>
      </c>
    </row>
    <row r="1013" spans="1:10" s="26" customFormat="1">
      <c r="A1013" s="7" t="s">
        <v>34</v>
      </c>
      <c r="B1013" s="29">
        <v>7501003150233</v>
      </c>
      <c r="C1013" s="28" t="s">
        <v>90</v>
      </c>
      <c r="D1013" s="30">
        <v>32.1</v>
      </c>
      <c r="E1013" s="45">
        <v>40.200000000000003</v>
      </c>
      <c r="F1013" s="5">
        <f t="shared" si="197"/>
        <v>0.20149253731343286</v>
      </c>
      <c r="G1013" s="30">
        <f>+D1013*0.9</f>
        <v>28.89</v>
      </c>
      <c r="H1013" s="39">
        <v>32.9</v>
      </c>
      <c r="I1013" s="4">
        <f t="shared" si="198"/>
        <v>0.12188449848024308</v>
      </c>
      <c r="J1013" s="23">
        <f t="shared" si="200"/>
        <v>3.2100000000000009</v>
      </c>
    </row>
    <row r="1014" spans="1:10" s="26" customFormat="1">
      <c r="A1014" s="7" t="s">
        <v>35</v>
      </c>
      <c r="B1014" s="29">
        <v>75053901</v>
      </c>
      <c r="C1014" s="28" t="s">
        <v>308</v>
      </c>
      <c r="D1014" s="30">
        <v>12.3713</v>
      </c>
      <c r="E1014" s="45">
        <v>15.5</v>
      </c>
      <c r="F1014" s="5">
        <f t="shared" si="197"/>
        <v>0.20185161290322584</v>
      </c>
      <c r="G1014" s="30">
        <v>11.3</v>
      </c>
      <c r="H1014" s="39">
        <v>12.9</v>
      </c>
      <c r="I1014" s="4">
        <f t="shared" si="198"/>
        <v>0.12403100775193798</v>
      </c>
      <c r="J1014" s="23"/>
    </row>
    <row r="1015" spans="1:10" s="26" customFormat="1">
      <c r="A1015" s="25" t="s">
        <v>304</v>
      </c>
      <c r="B1015" s="34">
        <v>7501079702817</v>
      </c>
      <c r="C1015" s="35" t="s">
        <v>351</v>
      </c>
      <c r="D1015" s="33">
        <v>5.7</v>
      </c>
      <c r="E1015" s="45">
        <v>7.2</v>
      </c>
      <c r="F1015" s="5">
        <f t="shared" si="197"/>
        <v>0.20833333333333337</v>
      </c>
      <c r="G1015" s="33">
        <f>+D1015*0.9</f>
        <v>5.13</v>
      </c>
      <c r="H1015" s="38">
        <v>5.9</v>
      </c>
      <c r="I1015" s="4">
        <f t="shared" si="198"/>
        <v>0.13050847457627124</v>
      </c>
      <c r="J1015" s="23">
        <f t="shared" ref="J1015:J1017" si="201">+D1015-G1015</f>
        <v>0.57000000000000028</v>
      </c>
    </row>
    <row r="1016" spans="1:10" s="26" customFormat="1">
      <c r="A1016" s="7" t="s">
        <v>36</v>
      </c>
      <c r="B1016" s="29"/>
      <c r="C1016" s="28"/>
      <c r="D1016" s="30"/>
      <c r="E1016" s="45"/>
      <c r="F1016" s="5" t="e">
        <f t="shared" si="197"/>
        <v>#DIV/0!</v>
      </c>
      <c r="G1016" s="30"/>
      <c r="H1016" s="39"/>
      <c r="I1016" s="4" t="e">
        <f t="shared" si="198"/>
        <v>#DIV/0!</v>
      </c>
      <c r="J1016" s="23">
        <f t="shared" si="201"/>
        <v>0</v>
      </c>
    </row>
    <row r="1017" spans="1:10" s="26" customFormat="1">
      <c r="A1017" s="17" t="s">
        <v>37</v>
      </c>
      <c r="B1017" s="14"/>
      <c r="C1017" s="15"/>
      <c r="D1017" s="13"/>
      <c r="E1017" s="13"/>
      <c r="F1017" s="5" t="e">
        <f t="shared" si="197"/>
        <v>#DIV/0!</v>
      </c>
      <c r="G1017" s="30"/>
      <c r="H1017" s="39"/>
      <c r="I1017" s="4" t="e">
        <f t="shared" si="198"/>
        <v>#DIV/0!</v>
      </c>
      <c r="J1017" s="23">
        <f t="shared" si="201"/>
        <v>0</v>
      </c>
    </row>
    <row r="1024" spans="1:10" s="71" customFormat="1" ht="15.75">
      <c r="A1024" s="77" t="s">
        <v>332</v>
      </c>
      <c r="B1024" s="77"/>
      <c r="C1024" s="77"/>
    </row>
    <row r="1025" spans="1:10" s="71" customFormat="1" ht="23.25" customHeight="1">
      <c r="A1025" s="78" t="s">
        <v>416</v>
      </c>
      <c r="B1025" s="78"/>
      <c r="C1025" s="78"/>
      <c r="D1025" s="79" t="s">
        <v>0</v>
      </c>
      <c r="E1025" s="80"/>
      <c r="F1025" s="81"/>
      <c r="G1025" s="79" t="s">
        <v>1</v>
      </c>
      <c r="H1025" s="80"/>
      <c r="I1025" s="81"/>
    </row>
    <row r="1026" spans="1:10" s="71" customFormat="1" ht="22.5">
      <c r="A1026" s="41" t="s">
        <v>11</v>
      </c>
      <c r="B1026" s="41" t="s">
        <v>2</v>
      </c>
      <c r="C1026" s="41" t="s">
        <v>3</v>
      </c>
      <c r="D1026" s="27" t="s">
        <v>4</v>
      </c>
      <c r="E1026" s="27" t="s">
        <v>5</v>
      </c>
      <c r="F1026" s="3" t="s">
        <v>6</v>
      </c>
      <c r="G1026" s="27" t="s">
        <v>7</v>
      </c>
      <c r="H1026" s="37" t="s">
        <v>8</v>
      </c>
      <c r="I1026" s="3" t="s">
        <v>9</v>
      </c>
      <c r="J1026" s="6" t="s">
        <v>10</v>
      </c>
    </row>
    <row r="1027" spans="1:10" s="71" customFormat="1">
      <c r="A1027" s="25"/>
      <c r="B1027" s="50">
        <v>7501017004003</v>
      </c>
      <c r="C1027" s="54" t="s">
        <v>139</v>
      </c>
      <c r="D1027" s="45"/>
      <c r="E1027" s="45"/>
      <c r="F1027" s="5" t="e">
        <f t="shared" ref="F1027:F1090" si="202">+((D1027/E1027)-1)*-1</f>
        <v>#DIV/0!</v>
      </c>
      <c r="G1027" s="45"/>
      <c r="H1027" s="38"/>
      <c r="I1027" s="4" t="e">
        <f t="shared" ref="I1027:I1090" si="203">+((G1027/H1027)-1)*-1</f>
        <v>#DIV/0!</v>
      </c>
      <c r="J1027" s="23">
        <f>+D1027-G1027</f>
        <v>0</v>
      </c>
    </row>
    <row r="1028" spans="1:10" s="71" customFormat="1">
      <c r="A1028" s="25"/>
      <c r="B1028" s="50">
        <v>7501017004027</v>
      </c>
      <c r="C1028" s="54" t="s">
        <v>138</v>
      </c>
      <c r="D1028" s="45"/>
      <c r="E1028" s="45"/>
      <c r="F1028" s="5" t="e">
        <f t="shared" si="202"/>
        <v>#DIV/0!</v>
      </c>
      <c r="G1028" s="45"/>
      <c r="H1028" s="38"/>
      <c r="I1028" s="4" t="e">
        <f t="shared" si="203"/>
        <v>#DIV/0!</v>
      </c>
      <c r="J1028" s="23">
        <f t="shared" ref="J1028:J1035" si="204">+D1028-G1028</f>
        <v>0</v>
      </c>
    </row>
    <row r="1029" spans="1:10" s="71" customFormat="1">
      <c r="A1029" s="25"/>
      <c r="B1029" s="50">
        <v>7501017050536</v>
      </c>
      <c r="C1029" s="54" t="s">
        <v>302</v>
      </c>
      <c r="D1029" s="45"/>
      <c r="E1029" s="45"/>
      <c r="F1029" s="5" t="e">
        <f t="shared" si="202"/>
        <v>#DIV/0!</v>
      </c>
      <c r="G1029" s="45"/>
      <c r="H1029" s="38"/>
      <c r="I1029" s="4" t="e">
        <f t="shared" si="203"/>
        <v>#DIV/0!</v>
      </c>
      <c r="J1029" s="23">
        <f t="shared" si="204"/>
        <v>0</v>
      </c>
    </row>
    <row r="1030" spans="1:10" s="71" customFormat="1">
      <c r="A1030" s="25"/>
      <c r="B1030" s="50">
        <v>7501017051298</v>
      </c>
      <c r="C1030" s="54" t="s">
        <v>420</v>
      </c>
      <c r="D1030" s="45"/>
      <c r="E1030" s="45"/>
      <c r="F1030" s="5" t="e">
        <f t="shared" si="202"/>
        <v>#DIV/0!</v>
      </c>
      <c r="G1030" s="45"/>
      <c r="H1030" s="38"/>
      <c r="I1030" s="4" t="e">
        <f t="shared" si="203"/>
        <v>#DIV/0!</v>
      </c>
      <c r="J1030" s="23">
        <f t="shared" si="204"/>
        <v>0</v>
      </c>
    </row>
    <row r="1031" spans="1:10" s="71" customFormat="1">
      <c r="A1031" s="25"/>
      <c r="B1031" s="50">
        <v>7501006536942</v>
      </c>
      <c r="C1031" s="54" t="s">
        <v>44</v>
      </c>
      <c r="D1031" s="45"/>
      <c r="E1031" s="45"/>
      <c r="F1031" s="5" t="e">
        <f t="shared" si="202"/>
        <v>#DIV/0!</v>
      </c>
      <c r="G1031" s="45"/>
      <c r="H1031" s="38"/>
      <c r="I1031" s="4" t="e">
        <f t="shared" si="203"/>
        <v>#DIV/0!</v>
      </c>
      <c r="J1031" s="23">
        <f t="shared" si="204"/>
        <v>0</v>
      </c>
    </row>
    <row r="1032" spans="1:10" s="71" customFormat="1">
      <c r="A1032" s="25"/>
      <c r="B1032" s="50">
        <v>7501006535303</v>
      </c>
      <c r="C1032" s="54" t="s">
        <v>236</v>
      </c>
      <c r="D1032" s="45"/>
      <c r="E1032" s="45"/>
      <c r="F1032" s="5" t="e">
        <f t="shared" si="202"/>
        <v>#DIV/0!</v>
      </c>
      <c r="G1032" s="45"/>
      <c r="H1032" s="38"/>
      <c r="I1032" s="4" t="e">
        <f t="shared" si="203"/>
        <v>#DIV/0!</v>
      </c>
      <c r="J1032" s="23">
        <f t="shared" si="204"/>
        <v>0</v>
      </c>
    </row>
    <row r="1033" spans="1:10" s="71" customFormat="1">
      <c r="A1033" s="25"/>
      <c r="B1033" s="50" t="s">
        <v>88</v>
      </c>
      <c r="C1033" s="54" t="s">
        <v>89</v>
      </c>
      <c r="D1033" s="45"/>
      <c r="E1033" s="45"/>
      <c r="F1033" s="5" t="e">
        <f t="shared" si="202"/>
        <v>#DIV/0!</v>
      </c>
      <c r="G1033" s="45"/>
      <c r="H1033" s="38"/>
      <c r="I1033" s="4" t="e">
        <f t="shared" si="203"/>
        <v>#DIV/0!</v>
      </c>
      <c r="J1033" s="23">
        <f t="shared" si="204"/>
        <v>0</v>
      </c>
    </row>
    <row r="1034" spans="1:10" s="71" customFormat="1">
      <c r="A1034" s="25"/>
      <c r="B1034" s="50">
        <v>7501071307782</v>
      </c>
      <c r="C1034" s="54" t="s">
        <v>320</v>
      </c>
      <c r="D1034" s="45"/>
      <c r="E1034" s="45"/>
      <c r="F1034" s="5" t="e">
        <f t="shared" si="202"/>
        <v>#DIV/0!</v>
      </c>
      <c r="G1034" s="45"/>
      <c r="H1034" s="38"/>
      <c r="I1034" s="4" t="e">
        <f t="shared" si="203"/>
        <v>#DIV/0!</v>
      </c>
      <c r="J1034" s="23">
        <f t="shared" si="204"/>
        <v>0</v>
      </c>
    </row>
    <row r="1035" spans="1:10" s="71" customFormat="1">
      <c r="A1035" s="25"/>
      <c r="B1035" s="50">
        <v>7501071307775</v>
      </c>
      <c r="C1035" s="54" t="s">
        <v>319</v>
      </c>
      <c r="D1035" s="45"/>
      <c r="E1035" s="45"/>
      <c r="F1035" s="5" t="e">
        <f t="shared" si="202"/>
        <v>#DIV/0!</v>
      </c>
      <c r="G1035" s="45"/>
      <c r="H1035" s="38"/>
      <c r="I1035" s="4" t="e">
        <f t="shared" si="203"/>
        <v>#DIV/0!</v>
      </c>
      <c r="J1035" s="23">
        <f t="shared" si="204"/>
        <v>0</v>
      </c>
    </row>
    <row r="1036" spans="1:10" s="71" customFormat="1">
      <c r="A1036" s="25"/>
      <c r="B1036" s="50">
        <v>7501071307799</v>
      </c>
      <c r="C1036" s="54" t="s">
        <v>321</v>
      </c>
      <c r="D1036" s="45"/>
      <c r="E1036" s="45"/>
      <c r="F1036" s="5" t="e">
        <f t="shared" si="202"/>
        <v>#DIV/0!</v>
      </c>
      <c r="G1036" s="45"/>
      <c r="H1036" s="38"/>
      <c r="I1036" s="4" t="e">
        <f t="shared" si="203"/>
        <v>#DIV/0!</v>
      </c>
      <c r="J1036" s="23">
        <f>+D1036-G1036</f>
        <v>0</v>
      </c>
    </row>
    <row r="1037" spans="1:10" s="71" customFormat="1">
      <c r="A1037" s="25"/>
      <c r="B1037" s="73" t="s">
        <v>324</v>
      </c>
      <c r="C1037" s="54" t="s">
        <v>325</v>
      </c>
      <c r="D1037" s="45"/>
      <c r="E1037" s="45"/>
      <c r="F1037" s="5" t="e">
        <f t="shared" si="202"/>
        <v>#DIV/0!</v>
      </c>
      <c r="G1037" s="45"/>
      <c r="H1037" s="38"/>
      <c r="I1037" s="4" t="e">
        <f t="shared" si="203"/>
        <v>#DIV/0!</v>
      </c>
      <c r="J1037" s="23">
        <f>+D1037-G1037</f>
        <v>0</v>
      </c>
    </row>
    <row r="1038" spans="1:10" s="71" customFormat="1">
      <c r="A1038" s="25"/>
      <c r="B1038" s="50">
        <v>608875001193</v>
      </c>
      <c r="C1038" s="54" t="s">
        <v>421</v>
      </c>
      <c r="D1038" s="45"/>
      <c r="E1038" s="45"/>
      <c r="F1038" s="5" t="e">
        <f t="shared" si="202"/>
        <v>#DIV/0!</v>
      </c>
      <c r="G1038" s="45"/>
      <c r="H1038" s="38"/>
      <c r="I1038" s="4" t="e">
        <f t="shared" si="203"/>
        <v>#DIV/0!</v>
      </c>
      <c r="J1038" s="23">
        <f>+D1038-G1038</f>
        <v>0</v>
      </c>
    </row>
    <row r="1039" spans="1:10" s="71" customFormat="1">
      <c r="A1039" s="25"/>
      <c r="B1039" s="50">
        <v>608875001216</v>
      </c>
      <c r="C1039" s="69" t="s">
        <v>327</v>
      </c>
      <c r="D1039" s="65"/>
      <c r="E1039" s="65"/>
      <c r="F1039" s="5" t="e">
        <f t="shared" si="202"/>
        <v>#DIV/0!</v>
      </c>
      <c r="G1039" s="65"/>
      <c r="H1039" s="38"/>
      <c r="I1039" s="4" t="e">
        <f t="shared" si="203"/>
        <v>#DIV/0!</v>
      </c>
      <c r="J1039" s="23">
        <f t="shared" ref="J1039:J1042" si="205">+D1039-G1039</f>
        <v>0</v>
      </c>
    </row>
    <row r="1040" spans="1:10" s="71" customFormat="1">
      <c r="A1040" s="25"/>
      <c r="B1040" s="50">
        <v>608875002565</v>
      </c>
      <c r="C1040" s="69" t="s">
        <v>326</v>
      </c>
      <c r="D1040" s="65"/>
      <c r="E1040" s="65"/>
      <c r="F1040" s="5" t="e">
        <f t="shared" si="202"/>
        <v>#DIV/0!</v>
      </c>
      <c r="G1040" s="65"/>
      <c r="H1040" s="38"/>
      <c r="I1040" s="4" t="e">
        <f t="shared" si="203"/>
        <v>#DIV/0!</v>
      </c>
      <c r="J1040" s="23">
        <f t="shared" si="205"/>
        <v>0</v>
      </c>
    </row>
    <row r="1041" spans="1:10" s="71" customFormat="1">
      <c r="A1041" s="25"/>
      <c r="B1041" s="50">
        <v>7501058620101</v>
      </c>
      <c r="C1041" s="69" t="s">
        <v>146</v>
      </c>
      <c r="D1041" s="65"/>
      <c r="E1041" s="65"/>
      <c r="F1041" s="5" t="e">
        <f t="shared" si="202"/>
        <v>#DIV/0!</v>
      </c>
      <c r="G1041" s="65"/>
      <c r="H1041" s="38"/>
      <c r="I1041" s="4" t="e">
        <f t="shared" si="203"/>
        <v>#DIV/0!</v>
      </c>
      <c r="J1041" s="23">
        <f t="shared" si="205"/>
        <v>0</v>
      </c>
    </row>
    <row r="1042" spans="1:10" s="71" customFormat="1">
      <c r="A1042" s="25"/>
      <c r="B1042" s="50" t="s">
        <v>422</v>
      </c>
      <c r="C1042" s="69" t="s">
        <v>423</v>
      </c>
      <c r="D1042" s="65"/>
      <c r="E1042" s="65"/>
      <c r="F1042" s="5" t="e">
        <f t="shared" si="202"/>
        <v>#DIV/0!</v>
      </c>
      <c r="G1042" s="65"/>
      <c r="H1042" s="38"/>
      <c r="I1042" s="4" t="e">
        <f t="shared" si="203"/>
        <v>#DIV/0!</v>
      </c>
      <c r="J1042" s="23">
        <f t="shared" si="205"/>
        <v>0</v>
      </c>
    </row>
    <row r="1043" spans="1:10" s="71" customFormat="1">
      <c r="A1043" s="25"/>
      <c r="B1043" s="50">
        <v>7501058617705</v>
      </c>
      <c r="C1043" s="69" t="s">
        <v>254</v>
      </c>
      <c r="D1043" s="65"/>
      <c r="E1043" s="65"/>
      <c r="F1043" s="5" t="e">
        <f t="shared" si="202"/>
        <v>#DIV/0!</v>
      </c>
      <c r="G1043" s="65"/>
      <c r="H1043" s="38"/>
      <c r="I1043" s="4" t="e">
        <f t="shared" si="203"/>
        <v>#DIV/0!</v>
      </c>
      <c r="J1043" s="23"/>
    </row>
    <row r="1044" spans="1:10" s="71" customFormat="1">
      <c r="A1044" s="25"/>
      <c r="B1044" s="50">
        <v>7501468711116</v>
      </c>
      <c r="C1044" s="69" t="s">
        <v>87</v>
      </c>
      <c r="D1044" s="65"/>
      <c r="E1044" s="65"/>
      <c r="F1044" s="5" t="e">
        <f t="shared" si="202"/>
        <v>#DIV/0!</v>
      </c>
      <c r="G1044" s="65"/>
      <c r="H1044" s="38"/>
      <c r="I1044" s="4" t="e">
        <f t="shared" si="203"/>
        <v>#DIV/0!</v>
      </c>
      <c r="J1044" s="23"/>
    </row>
    <row r="1045" spans="1:10" s="71" customFormat="1">
      <c r="A1045" s="25"/>
      <c r="B1045" s="50">
        <v>7501468700240</v>
      </c>
      <c r="C1045" s="69" t="s">
        <v>424</v>
      </c>
      <c r="D1045" s="65"/>
      <c r="E1045" s="65"/>
      <c r="F1045" s="5" t="e">
        <f t="shared" si="202"/>
        <v>#DIV/0!</v>
      </c>
      <c r="G1045" s="65"/>
      <c r="H1045" s="38"/>
      <c r="I1045" s="4" t="e">
        <f t="shared" si="203"/>
        <v>#DIV/0!</v>
      </c>
      <c r="J1045" s="23"/>
    </row>
    <row r="1046" spans="1:10" s="71" customFormat="1">
      <c r="A1046" s="25"/>
      <c r="B1046" s="50">
        <v>7501468777778</v>
      </c>
      <c r="C1046" s="69" t="s">
        <v>86</v>
      </c>
      <c r="D1046" s="65"/>
      <c r="E1046" s="65"/>
      <c r="F1046" s="5" t="e">
        <f t="shared" si="202"/>
        <v>#DIV/0!</v>
      </c>
      <c r="G1046" s="65"/>
      <c r="H1046" s="38"/>
      <c r="I1046" s="4" t="e">
        <f t="shared" si="203"/>
        <v>#DIV/0!</v>
      </c>
      <c r="J1046" s="23"/>
    </row>
    <row r="1047" spans="1:10" s="71" customFormat="1">
      <c r="A1047" s="17" t="s">
        <v>12</v>
      </c>
      <c r="B1047" s="34"/>
      <c r="C1047" s="35"/>
      <c r="D1047" s="33"/>
      <c r="E1047" s="45"/>
      <c r="F1047" s="5" t="e">
        <f t="shared" si="202"/>
        <v>#DIV/0!</v>
      </c>
      <c r="G1047" s="33"/>
      <c r="H1047" s="39"/>
      <c r="I1047" s="4" t="e">
        <f t="shared" si="203"/>
        <v>#DIV/0!</v>
      </c>
      <c r="J1047" s="23"/>
    </row>
    <row r="1048" spans="1:10" s="71" customFormat="1">
      <c r="A1048" s="17" t="s">
        <v>13</v>
      </c>
      <c r="B1048" s="34"/>
      <c r="C1048" s="35"/>
      <c r="D1048" s="33"/>
      <c r="E1048" s="45"/>
      <c r="F1048" s="5" t="e">
        <f t="shared" si="202"/>
        <v>#DIV/0!</v>
      </c>
      <c r="G1048" s="33"/>
      <c r="H1048" s="39"/>
      <c r="I1048" s="4" t="e">
        <f t="shared" si="203"/>
        <v>#DIV/0!</v>
      </c>
      <c r="J1048" s="23">
        <f t="shared" ref="J1048:J1055" si="206">+D1048-G1048</f>
        <v>0</v>
      </c>
    </row>
    <row r="1049" spans="1:10" s="71" customFormat="1">
      <c r="A1049" s="17" t="s">
        <v>14</v>
      </c>
      <c r="B1049" s="34"/>
      <c r="C1049" s="35"/>
      <c r="D1049" s="33"/>
      <c r="E1049" s="45"/>
      <c r="F1049" s="5" t="e">
        <f t="shared" si="202"/>
        <v>#DIV/0!</v>
      </c>
      <c r="G1049" s="33"/>
      <c r="H1049" s="39"/>
      <c r="I1049" s="4" t="e">
        <f t="shared" si="203"/>
        <v>#DIV/0!</v>
      </c>
      <c r="J1049" s="23">
        <f t="shared" si="206"/>
        <v>0</v>
      </c>
    </row>
    <row r="1050" spans="1:10" s="71" customFormat="1">
      <c r="A1050" s="7" t="s">
        <v>15</v>
      </c>
      <c r="B1050" s="29"/>
      <c r="C1050" s="47"/>
      <c r="D1050" s="48"/>
      <c r="E1050" s="45"/>
      <c r="F1050" s="5" t="e">
        <f t="shared" si="202"/>
        <v>#DIV/0!</v>
      </c>
      <c r="G1050" s="48"/>
      <c r="H1050" s="49"/>
      <c r="I1050" s="4" t="e">
        <f t="shared" si="203"/>
        <v>#DIV/0!</v>
      </c>
      <c r="J1050" s="23">
        <f t="shared" si="206"/>
        <v>0</v>
      </c>
    </row>
    <row r="1051" spans="1:10" s="71" customFormat="1">
      <c r="A1051" s="7" t="s">
        <v>16</v>
      </c>
      <c r="B1051" s="34">
        <v>75000615</v>
      </c>
      <c r="C1051" s="35" t="s">
        <v>52</v>
      </c>
      <c r="D1051" s="33">
        <f>11.93*1.16</f>
        <v>13.838799999999999</v>
      </c>
      <c r="E1051" s="45">
        <v>17.3</v>
      </c>
      <c r="F1051" s="5">
        <f t="shared" si="202"/>
        <v>0.20006936416184984</v>
      </c>
      <c r="G1051" s="33">
        <v>10.71</v>
      </c>
      <c r="H1051" s="38">
        <v>11.9</v>
      </c>
      <c r="I1051" s="4">
        <f t="shared" si="203"/>
        <v>9.9999999999999978E-2</v>
      </c>
      <c r="J1051" s="23">
        <f t="shared" si="206"/>
        <v>3.1287999999999982</v>
      </c>
    </row>
    <row r="1052" spans="1:10" s="71" customFormat="1">
      <c r="A1052" s="25"/>
      <c r="B1052" s="34">
        <v>7501025444969</v>
      </c>
      <c r="C1052" s="35" t="s">
        <v>255</v>
      </c>
      <c r="D1052" s="33">
        <v>12.320244000000001</v>
      </c>
      <c r="E1052" s="45">
        <v>16.2</v>
      </c>
      <c r="F1052" s="5">
        <f t="shared" si="202"/>
        <v>0.23949111111111099</v>
      </c>
      <c r="G1052" s="33">
        <v>11.32</v>
      </c>
      <c r="H1052" s="38">
        <v>12.9</v>
      </c>
      <c r="I1052" s="4">
        <f t="shared" si="203"/>
        <v>0.1224806201550388</v>
      </c>
      <c r="J1052" s="23">
        <f t="shared" si="206"/>
        <v>1.0002440000000004</v>
      </c>
    </row>
    <row r="1053" spans="1:10" s="71" customFormat="1">
      <c r="A1053" s="25"/>
      <c r="B1053" s="34">
        <v>7500435193498</v>
      </c>
      <c r="C1053" s="35" t="s">
        <v>275</v>
      </c>
      <c r="D1053" s="33">
        <f>14.7*1.16</f>
        <v>17.052</v>
      </c>
      <c r="E1053" s="45">
        <v>20.8</v>
      </c>
      <c r="F1053" s="5">
        <f t="shared" si="202"/>
        <v>0.18019230769230776</v>
      </c>
      <c r="G1053" s="33">
        <v>15.75</v>
      </c>
      <c r="H1053" s="38">
        <v>17.899999999999999</v>
      </c>
      <c r="I1053" s="4">
        <f t="shared" si="203"/>
        <v>0.12011173184357538</v>
      </c>
      <c r="J1053" s="23">
        <f t="shared" si="206"/>
        <v>1.3019999999999996</v>
      </c>
    </row>
    <row r="1054" spans="1:10" s="71" customFormat="1">
      <c r="A1054" s="25"/>
      <c r="B1054" s="34">
        <v>7500435193481</v>
      </c>
      <c r="C1054" s="35" t="s">
        <v>276</v>
      </c>
      <c r="D1054" s="33">
        <f>14.7*1.16</f>
        <v>17.052</v>
      </c>
      <c r="E1054" s="45">
        <v>20.8</v>
      </c>
      <c r="F1054" s="5">
        <f t="shared" si="202"/>
        <v>0.18019230769230776</v>
      </c>
      <c r="G1054" s="33">
        <v>15.75</v>
      </c>
      <c r="H1054" s="38">
        <v>17.899999999999999</v>
      </c>
      <c r="I1054" s="4">
        <f t="shared" si="203"/>
        <v>0.12011173184357538</v>
      </c>
      <c r="J1054" s="23">
        <f t="shared" si="206"/>
        <v>1.3019999999999996</v>
      </c>
    </row>
    <row r="1055" spans="1:10" s="71" customFormat="1">
      <c r="A1055" s="25"/>
      <c r="B1055" s="34">
        <v>7500435184434</v>
      </c>
      <c r="C1055" s="35" t="s">
        <v>277</v>
      </c>
      <c r="D1055" s="33">
        <f>14.7*1.16</f>
        <v>17.052</v>
      </c>
      <c r="E1055" s="45">
        <v>20.8</v>
      </c>
      <c r="F1055" s="5">
        <f t="shared" si="202"/>
        <v>0.18019230769230776</v>
      </c>
      <c r="G1055" s="33">
        <v>15.75</v>
      </c>
      <c r="H1055" s="38">
        <v>17.899999999999999</v>
      </c>
      <c r="I1055" s="4">
        <f t="shared" si="203"/>
        <v>0.12011173184357538</v>
      </c>
      <c r="J1055" s="23">
        <f t="shared" si="206"/>
        <v>1.3019999999999996</v>
      </c>
    </row>
    <row r="1056" spans="1:10" s="71" customFormat="1">
      <c r="A1056" s="7" t="s">
        <v>17</v>
      </c>
      <c r="B1056" s="70"/>
      <c r="C1056" s="35"/>
      <c r="D1056" s="33"/>
      <c r="E1056" s="65"/>
      <c r="F1056" s="5" t="e">
        <f t="shared" si="202"/>
        <v>#DIV/0!</v>
      </c>
      <c r="G1056" s="33"/>
      <c r="H1056" s="38"/>
      <c r="I1056" s="4" t="e">
        <f t="shared" si="203"/>
        <v>#DIV/0!</v>
      </c>
      <c r="J1056" s="23"/>
    </row>
    <row r="1057" spans="1:10" s="71" customFormat="1">
      <c r="A1057" s="7" t="s">
        <v>169</v>
      </c>
      <c r="B1057" s="34"/>
      <c r="C1057" s="35"/>
      <c r="D1057" s="33"/>
      <c r="E1057" s="45"/>
      <c r="F1057" s="5" t="e">
        <f t="shared" si="202"/>
        <v>#DIV/0!</v>
      </c>
      <c r="G1057" s="33"/>
      <c r="H1057" s="38"/>
      <c r="I1057" s="4" t="e">
        <f t="shared" si="203"/>
        <v>#DIV/0!</v>
      </c>
      <c r="J1057" s="23"/>
    </row>
    <row r="1058" spans="1:10" s="71" customFormat="1">
      <c r="A1058" s="7" t="s">
        <v>18</v>
      </c>
      <c r="B1058" s="34">
        <v>7501001600426</v>
      </c>
      <c r="C1058" s="35" t="s">
        <v>278</v>
      </c>
      <c r="D1058" s="33">
        <v>13.92</v>
      </c>
      <c r="E1058" s="45">
        <v>17.399999999999999</v>
      </c>
      <c r="F1058" s="5">
        <f t="shared" si="202"/>
        <v>0.19999999999999996</v>
      </c>
      <c r="G1058" s="33">
        <v>12.76</v>
      </c>
      <c r="H1058" s="38">
        <v>14.5</v>
      </c>
      <c r="I1058" s="4">
        <f t="shared" si="203"/>
        <v>0.12</v>
      </c>
      <c r="J1058" s="23">
        <f>+D1058-G1058</f>
        <v>1.1600000000000001</v>
      </c>
    </row>
    <row r="1059" spans="1:10" s="71" customFormat="1">
      <c r="A1059" s="7"/>
      <c r="B1059" s="34">
        <v>7501058619228</v>
      </c>
      <c r="C1059" s="35" t="s">
        <v>386</v>
      </c>
      <c r="D1059" s="33">
        <v>26.98</v>
      </c>
      <c r="E1059" s="45">
        <v>33.700000000000003</v>
      </c>
      <c r="F1059" s="5">
        <f t="shared" si="202"/>
        <v>0.199406528189911</v>
      </c>
      <c r="G1059" s="33">
        <v>24.552</v>
      </c>
      <c r="H1059" s="38">
        <v>27.9</v>
      </c>
      <c r="I1059" s="4">
        <f t="shared" si="203"/>
        <v>0.12</v>
      </c>
      <c r="J1059" s="23">
        <f>+D1059-G1059</f>
        <v>2.4280000000000008</v>
      </c>
    </row>
    <row r="1060" spans="1:10" s="71" customFormat="1">
      <c r="A1060" s="7" t="s">
        <v>19</v>
      </c>
      <c r="B1060" s="34">
        <v>722776020029</v>
      </c>
      <c r="C1060" s="35" t="s">
        <v>313</v>
      </c>
      <c r="D1060" s="33">
        <v>55.97</v>
      </c>
      <c r="E1060" s="65">
        <v>69.400000000000006</v>
      </c>
      <c r="F1060" s="5">
        <f t="shared" si="202"/>
        <v>0.19351585014409234</v>
      </c>
      <c r="G1060" s="33">
        <v>53.4</v>
      </c>
      <c r="H1060" s="38">
        <v>61.9</v>
      </c>
      <c r="I1060" s="4">
        <f t="shared" si="203"/>
        <v>0.13731825525040386</v>
      </c>
      <c r="J1060" s="23"/>
    </row>
    <row r="1061" spans="1:10" s="71" customFormat="1">
      <c r="A1061" s="7" t="s">
        <v>20</v>
      </c>
      <c r="B1061" s="34">
        <v>7501017005024</v>
      </c>
      <c r="C1061" s="35" t="s">
        <v>339</v>
      </c>
      <c r="D1061" s="33">
        <v>11.015000000000001</v>
      </c>
      <c r="E1061" s="45">
        <v>13.3</v>
      </c>
      <c r="F1061" s="5">
        <f t="shared" si="202"/>
        <v>0.17180451127819552</v>
      </c>
      <c r="G1061" s="33">
        <f>+D1061*0.95</f>
        <v>10.46425</v>
      </c>
      <c r="H1061" s="38">
        <v>11.9</v>
      </c>
      <c r="I1061" s="4">
        <f t="shared" si="203"/>
        <v>0.12065126050420172</v>
      </c>
      <c r="J1061" s="23">
        <f>+D1061-G1061</f>
        <v>0.55075000000000074</v>
      </c>
    </row>
    <row r="1062" spans="1:10" s="71" customFormat="1">
      <c r="A1062" s="7"/>
      <c r="B1062" s="29">
        <v>7501017005000</v>
      </c>
      <c r="C1062" s="28" t="s">
        <v>340</v>
      </c>
      <c r="D1062" s="30">
        <v>9.2426999999999992</v>
      </c>
      <c r="E1062" s="45">
        <v>11.2</v>
      </c>
      <c r="F1062" s="5">
        <f t="shared" si="202"/>
        <v>0.17475892857142861</v>
      </c>
      <c r="G1062" s="33">
        <f>+D1062*0.95</f>
        <v>8.7805649999999993</v>
      </c>
      <c r="H1062" s="39">
        <v>9.9</v>
      </c>
      <c r="I1062" s="4">
        <f t="shared" si="203"/>
        <v>0.11307424242424258</v>
      </c>
      <c r="J1062" s="23">
        <f>+D1062-G1062</f>
        <v>0.46213499999999996</v>
      </c>
    </row>
    <row r="1063" spans="1:10" s="71" customFormat="1">
      <c r="A1063" s="7" t="s">
        <v>21</v>
      </c>
      <c r="B1063" s="29">
        <v>7501005181365</v>
      </c>
      <c r="C1063" s="28" t="s">
        <v>267</v>
      </c>
      <c r="D1063" s="30">
        <v>17.134899999999998</v>
      </c>
      <c r="E1063" s="45">
        <v>20.9</v>
      </c>
      <c r="F1063" s="5">
        <f t="shared" si="202"/>
        <v>0.18014832535885172</v>
      </c>
      <c r="G1063" s="30">
        <v>15.21</v>
      </c>
      <c r="H1063" s="39">
        <v>16.899999999999999</v>
      </c>
      <c r="I1063" s="4">
        <f t="shared" si="203"/>
        <v>9.9999999999999867E-2</v>
      </c>
      <c r="J1063" s="23">
        <f t="shared" ref="J1063:J1064" si="207">+D1063-G1063</f>
        <v>1.9248999999999974</v>
      </c>
    </row>
    <row r="1064" spans="1:10" s="71" customFormat="1">
      <c r="A1064" s="25"/>
      <c r="B1064" s="34"/>
      <c r="C1064" s="35"/>
      <c r="D1064" s="33"/>
      <c r="E1064" s="45"/>
      <c r="F1064" s="5" t="e">
        <f t="shared" si="202"/>
        <v>#DIV/0!</v>
      </c>
      <c r="G1064" s="30"/>
      <c r="H1064" s="39"/>
      <c r="I1064" s="4" t="e">
        <f t="shared" si="203"/>
        <v>#DIV/0!</v>
      </c>
      <c r="J1064" s="23">
        <f t="shared" si="207"/>
        <v>0</v>
      </c>
    </row>
    <row r="1065" spans="1:10" s="71" customFormat="1">
      <c r="A1065" s="7" t="s">
        <v>39</v>
      </c>
      <c r="B1065" s="29">
        <v>7501041419071</v>
      </c>
      <c r="C1065" s="28" t="s">
        <v>251</v>
      </c>
      <c r="D1065" s="30">
        <v>13.55</v>
      </c>
      <c r="E1065" s="45">
        <v>15.9</v>
      </c>
      <c r="F1065" s="5">
        <f t="shared" si="202"/>
        <v>0.14779874213836475</v>
      </c>
      <c r="G1065" s="30">
        <v>12.05</v>
      </c>
      <c r="H1065" s="39">
        <v>13.9</v>
      </c>
      <c r="I1065" s="4">
        <f t="shared" si="203"/>
        <v>0.13309352517985606</v>
      </c>
      <c r="J1065" s="23"/>
    </row>
    <row r="1066" spans="1:10" s="71" customFormat="1">
      <c r="A1066" s="25"/>
      <c r="B1066" s="34">
        <v>7501041419088</v>
      </c>
      <c r="C1066" s="35" t="s">
        <v>250</v>
      </c>
      <c r="D1066" s="30">
        <v>13.55</v>
      </c>
      <c r="E1066" s="45">
        <v>15.9</v>
      </c>
      <c r="F1066" s="5">
        <f t="shared" si="202"/>
        <v>0.14779874213836475</v>
      </c>
      <c r="G1066" s="30">
        <v>12.05</v>
      </c>
      <c r="H1066" s="38">
        <v>13.9</v>
      </c>
      <c r="I1066" s="4">
        <f t="shared" si="203"/>
        <v>0.13309352517985606</v>
      </c>
      <c r="J1066" s="23"/>
    </row>
    <row r="1067" spans="1:10" s="71" customFormat="1">
      <c r="A1067" s="7" t="s">
        <v>22</v>
      </c>
      <c r="B1067" s="34">
        <v>7501025423810</v>
      </c>
      <c r="C1067" s="35" t="s">
        <v>192</v>
      </c>
      <c r="D1067" s="33">
        <v>11.739199999999999</v>
      </c>
      <c r="E1067" s="45">
        <v>14.7</v>
      </c>
      <c r="F1067" s="5">
        <f t="shared" si="202"/>
        <v>0.20141496598639463</v>
      </c>
      <c r="G1067" s="33">
        <v>9.9783199999999983</v>
      </c>
      <c r="H1067" s="38">
        <v>11.5</v>
      </c>
      <c r="I1067" s="4">
        <f t="shared" si="203"/>
        <v>0.1323200000000001</v>
      </c>
      <c r="J1067" s="23">
        <f t="shared" ref="J1067:J1069" si="208">+D1067-G1067</f>
        <v>1.7608800000000002</v>
      </c>
    </row>
    <row r="1068" spans="1:10" s="71" customFormat="1">
      <c r="A1068" s="25"/>
      <c r="B1068" s="34">
        <v>7501025423834</v>
      </c>
      <c r="C1068" s="35" t="s">
        <v>193</v>
      </c>
      <c r="D1068" s="33">
        <v>11.739199999999999</v>
      </c>
      <c r="E1068" s="45">
        <v>14.7</v>
      </c>
      <c r="F1068" s="5">
        <f t="shared" si="202"/>
        <v>0.20141496598639463</v>
      </c>
      <c r="G1068" s="33">
        <v>9.9783199999999983</v>
      </c>
      <c r="H1068" s="38">
        <v>11.5</v>
      </c>
      <c r="I1068" s="4">
        <f t="shared" si="203"/>
        <v>0.1323200000000001</v>
      </c>
      <c r="J1068" s="23">
        <f t="shared" si="208"/>
        <v>1.7608800000000002</v>
      </c>
    </row>
    <row r="1069" spans="1:10" s="71" customFormat="1">
      <c r="A1069" s="25"/>
      <c r="B1069" s="34">
        <v>7501025423865</v>
      </c>
      <c r="C1069" s="35" t="s">
        <v>194</v>
      </c>
      <c r="D1069" s="33">
        <v>11.739199999999999</v>
      </c>
      <c r="E1069" s="45">
        <v>14.7</v>
      </c>
      <c r="F1069" s="5">
        <f t="shared" si="202"/>
        <v>0.20141496598639463</v>
      </c>
      <c r="G1069" s="33">
        <v>9.9783199999999983</v>
      </c>
      <c r="H1069" s="38">
        <v>11.5</v>
      </c>
      <c r="I1069" s="4">
        <f t="shared" si="203"/>
        <v>0.1323200000000001</v>
      </c>
      <c r="J1069" s="23">
        <f t="shared" si="208"/>
        <v>1.7608800000000002</v>
      </c>
    </row>
    <row r="1070" spans="1:10" s="71" customFormat="1">
      <c r="A1070" s="25"/>
      <c r="B1070" s="34">
        <v>7500435155069</v>
      </c>
      <c r="C1070" s="35" t="s">
        <v>300</v>
      </c>
      <c r="D1070" s="33">
        <f>19.01*1.16</f>
        <v>22.051600000000001</v>
      </c>
      <c r="E1070" s="45">
        <v>27.6</v>
      </c>
      <c r="F1070" s="5">
        <f t="shared" si="202"/>
        <v>0.20102898550724635</v>
      </c>
      <c r="G1070" s="33">
        <f>+D1070*0.8</f>
        <v>17.641280000000002</v>
      </c>
      <c r="H1070" s="38">
        <v>19.899999999999999</v>
      </c>
      <c r="I1070" s="4">
        <f t="shared" si="203"/>
        <v>0.11350351758793953</v>
      </c>
      <c r="J1070" s="23">
        <f>+D1070-G1070</f>
        <v>4.4103199999999987</v>
      </c>
    </row>
    <row r="1071" spans="1:10" s="71" customFormat="1">
      <c r="A1071" s="7" t="s">
        <v>23</v>
      </c>
      <c r="B1071" s="29"/>
      <c r="C1071" s="28"/>
      <c r="D1071" s="33"/>
      <c r="E1071" s="45"/>
      <c r="F1071" s="5" t="e">
        <f t="shared" si="202"/>
        <v>#DIV/0!</v>
      </c>
      <c r="G1071" s="33"/>
      <c r="H1071" s="38"/>
      <c r="I1071" s="4" t="e">
        <f t="shared" si="203"/>
        <v>#DIV/0!</v>
      </c>
      <c r="J1071" s="23">
        <f t="shared" ref="J1071:J1074" si="209">+D1071-G1071</f>
        <v>0</v>
      </c>
    </row>
    <row r="1072" spans="1:10" s="71" customFormat="1">
      <c r="A1072" s="7" t="s">
        <v>24</v>
      </c>
      <c r="B1072" s="34">
        <v>7501008101049</v>
      </c>
      <c r="C1072" s="35" t="s">
        <v>145</v>
      </c>
      <c r="D1072" s="33">
        <v>15.681600000000001</v>
      </c>
      <c r="E1072" s="45">
        <v>18.899999999999999</v>
      </c>
      <c r="F1072" s="5">
        <f t="shared" si="202"/>
        <v>0.17028571428571415</v>
      </c>
      <c r="G1072" s="33">
        <v>14.583888000000002</v>
      </c>
      <c r="H1072" s="38">
        <v>16.899999999999999</v>
      </c>
      <c r="I1072" s="4">
        <f t="shared" si="203"/>
        <v>0.13704804733727793</v>
      </c>
      <c r="J1072" s="23">
        <f t="shared" si="209"/>
        <v>1.0977119999999996</v>
      </c>
    </row>
    <row r="1073" spans="1:10" s="71" customFormat="1">
      <c r="A1073" s="17"/>
      <c r="B1073" s="14">
        <v>7501008042984</v>
      </c>
      <c r="C1073" s="15" t="s">
        <v>92</v>
      </c>
      <c r="D1073" s="13">
        <v>22.035672000000002</v>
      </c>
      <c r="E1073" s="65">
        <v>27.9</v>
      </c>
      <c r="F1073" s="5">
        <f t="shared" si="202"/>
        <v>0.21019096774193535</v>
      </c>
      <c r="G1073" s="13">
        <v>20.493174960000001</v>
      </c>
      <c r="H1073" s="20">
        <v>23.5</v>
      </c>
      <c r="I1073" s="4">
        <f t="shared" si="203"/>
        <v>0.12795000170212767</v>
      </c>
      <c r="J1073" s="23">
        <f t="shared" si="209"/>
        <v>1.5424970400000007</v>
      </c>
    </row>
    <row r="1074" spans="1:10" s="71" customFormat="1">
      <c r="A1074" s="17"/>
      <c r="B1074" s="14">
        <v>7501008018125</v>
      </c>
      <c r="C1074" s="15" t="s">
        <v>93</v>
      </c>
      <c r="D1074" s="13">
        <v>30.369600000000002</v>
      </c>
      <c r="E1074" s="65">
        <v>37.5</v>
      </c>
      <c r="F1074" s="5">
        <f t="shared" si="202"/>
        <v>0.19014399999999998</v>
      </c>
      <c r="G1074" s="13">
        <v>28.243728000000004</v>
      </c>
      <c r="H1074" s="20">
        <v>31.9</v>
      </c>
      <c r="I1074" s="4">
        <f t="shared" si="203"/>
        <v>0.11461667711598733</v>
      </c>
      <c r="J1074" s="23">
        <f t="shared" si="209"/>
        <v>2.1258719999999975</v>
      </c>
    </row>
    <row r="1075" spans="1:10" s="71" customFormat="1">
      <c r="A1075" s="7" t="s">
        <v>25</v>
      </c>
      <c r="B1075" s="29">
        <v>7500478018192</v>
      </c>
      <c r="C1075" s="28" t="s">
        <v>352</v>
      </c>
      <c r="D1075" s="30">
        <v>39.83</v>
      </c>
      <c r="E1075" s="45">
        <v>46.9</v>
      </c>
      <c r="F1075" s="5">
        <f t="shared" si="202"/>
        <v>0.15074626865671648</v>
      </c>
      <c r="G1075" s="33">
        <v>35.85</v>
      </c>
      <c r="H1075" s="38">
        <v>41.9</v>
      </c>
      <c r="I1075" s="4">
        <f t="shared" si="203"/>
        <v>0.14439140811455842</v>
      </c>
      <c r="J1075" s="23"/>
    </row>
    <row r="1076" spans="1:10" s="71" customFormat="1">
      <c r="A1076" s="25"/>
      <c r="B1076" s="34">
        <v>7501000625062</v>
      </c>
      <c r="C1076" s="35" t="s">
        <v>239</v>
      </c>
      <c r="D1076" s="33">
        <v>47.52</v>
      </c>
      <c r="E1076" s="65">
        <v>55.9</v>
      </c>
      <c r="F1076" s="5">
        <f t="shared" si="202"/>
        <v>0.14991055456171731</v>
      </c>
      <c r="G1076" s="33">
        <v>42.77</v>
      </c>
      <c r="H1076" s="38">
        <v>49.9</v>
      </c>
      <c r="I1076" s="4">
        <f t="shared" si="203"/>
        <v>0.14288577154308613</v>
      </c>
      <c r="J1076" s="23"/>
    </row>
    <row r="1077" spans="1:10" s="71" customFormat="1">
      <c r="A1077" s="7" t="s">
        <v>26</v>
      </c>
      <c r="B1077" s="29">
        <v>7501204010008</v>
      </c>
      <c r="C1077" s="28" t="s">
        <v>419</v>
      </c>
      <c r="D1077" s="30">
        <v>19.78</v>
      </c>
      <c r="E1077" s="45">
        <v>22.5</v>
      </c>
      <c r="F1077" s="5">
        <f t="shared" si="202"/>
        <v>0.12088888888888882</v>
      </c>
      <c r="G1077" s="30">
        <v>18.649999999999999</v>
      </c>
      <c r="H1077" s="39">
        <v>20.9</v>
      </c>
      <c r="I1077" s="4">
        <f t="shared" si="203"/>
        <v>0.10765550239234456</v>
      </c>
      <c r="J1077" s="23"/>
    </row>
    <row r="1078" spans="1:10" s="71" customFormat="1">
      <c r="A1078" s="7" t="s">
        <v>27</v>
      </c>
      <c r="B1078" s="63"/>
      <c r="C1078" s="28"/>
      <c r="D1078" s="30"/>
      <c r="E1078" s="45"/>
      <c r="F1078" s="5" t="e">
        <f t="shared" si="202"/>
        <v>#DIV/0!</v>
      </c>
      <c r="G1078" s="30"/>
      <c r="H1078" s="39"/>
      <c r="I1078" s="4" t="e">
        <f t="shared" si="203"/>
        <v>#DIV/0!</v>
      </c>
      <c r="J1078" s="23">
        <f t="shared" ref="J1078:J1079" si="210">+D1078-G1078</f>
        <v>0</v>
      </c>
    </row>
    <row r="1079" spans="1:10" s="71" customFormat="1">
      <c r="A1079" s="7" t="s">
        <v>28</v>
      </c>
      <c r="B1079" s="28"/>
      <c r="C1079" s="28"/>
      <c r="D1079" s="30"/>
      <c r="E1079" s="45"/>
      <c r="F1079" s="5" t="e">
        <f t="shared" si="202"/>
        <v>#DIV/0!</v>
      </c>
      <c r="G1079" s="30"/>
      <c r="H1079" s="39"/>
      <c r="I1079" s="4" t="e">
        <f t="shared" si="203"/>
        <v>#DIV/0!</v>
      </c>
      <c r="J1079" s="23">
        <f t="shared" si="210"/>
        <v>0</v>
      </c>
    </row>
    <row r="1080" spans="1:10" s="71" customFormat="1">
      <c r="A1080" s="7" t="s">
        <v>29</v>
      </c>
      <c r="B1080" s="29"/>
      <c r="C1080" s="28"/>
      <c r="D1080" s="30"/>
      <c r="E1080" s="45"/>
      <c r="F1080" s="5" t="e">
        <f t="shared" si="202"/>
        <v>#DIV/0!</v>
      </c>
      <c r="G1080" s="30"/>
      <c r="H1080" s="39"/>
      <c r="I1080" s="4" t="e">
        <f t="shared" si="203"/>
        <v>#DIV/0!</v>
      </c>
      <c r="J1080" s="23"/>
    </row>
    <row r="1081" spans="1:10" s="71" customFormat="1">
      <c r="A1081" s="17"/>
      <c r="B1081" s="14">
        <v>7501032920425</v>
      </c>
      <c r="C1081" s="15" t="s">
        <v>418</v>
      </c>
      <c r="D1081" s="13">
        <f>37.6437*1.16</f>
        <v>43.666691999999998</v>
      </c>
      <c r="E1081" s="65">
        <v>55.6</v>
      </c>
      <c r="F1081" s="5">
        <f t="shared" si="202"/>
        <v>0.21462784172661875</v>
      </c>
      <c r="G1081" s="13">
        <v>41.4</v>
      </c>
      <c r="H1081" s="20">
        <v>49.9</v>
      </c>
      <c r="I1081" s="4">
        <f t="shared" si="203"/>
        <v>0.17034068136272551</v>
      </c>
      <c r="J1081" s="68"/>
    </row>
    <row r="1082" spans="1:10" s="71" customFormat="1">
      <c r="A1082" s="7" t="s">
        <v>30</v>
      </c>
      <c r="B1082" s="29"/>
      <c r="C1082" s="28"/>
      <c r="D1082" s="30"/>
      <c r="E1082" s="45"/>
      <c r="F1082" s="5" t="e">
        <f t="shared" si="202"/>
        <v>#DIV/0!</v>
      </c>
      <c r="G1082" s="30"/>
      <c r="H1082" s="39"/>
      <c r="I1082" s="4" t="e">
        <f t="shared" si="203"/>
        <v>#DIV/0!</v>
      </c>
      <c r="J1082" s="23">
        <f t="shared" ref="J1082:J1086" si="211">+D1082-G1082</f>
        <v>0</v>
      </c>
    </row>
    <row r="1083" spans="1:10" s="71" customFormat="1">
      <c r="A1083" s="7" t="s">
        <v>38</v>
      </c>
      <c r="B1083" s="29">
        <v>7501025403034</v>
      </c>
      <c r="C1083" s="28" t="s">
        <v>55</v>
      </c>
      <c r="D1083" s="30">
        <f>20.0527*1.16</f>
        <v>23.261132</v>
      </c>
      <c r="E1083" s="45">
        <v>28.9</v>
      </c>
      <c r="F1083" s="5">
        <f t="shared" si="202"/>
        <v>0.19511653979238752</v>
      </c>
      <c r="G1083" s="30">
        <v>19.71</v>
      </c>
      <c r="H1083" s="39">
        <v>21.9</v>
      </c>
      <c r="I1083" s="4">
        <f t="shared" si="203"/>
        <v>9.9999999999999867E-2</v>
      </c>
      <c r="J1083" s="23">
        <f t="shared" si="211"/>
        <v>3.5511319999999991</v>
      </c>
    </row>
    <row r="1084" spans="1:10" s="71" customFormat="1">
      <c r="A1084" s="7"/>
      <c r="B1084" s="29">
        <v>7501025400088</v>
      </c>
      <c r="C1084" s="28" t="s">
        <v>131</v>
      </c>
      <c r="D1084" s="30">
        <v>18.258980000000001</v>
      </c>
      <c r="E1084" s="45">
        <v>23.9</v>
      </c>
      <c r="F1084" s="5">
        <f t="shared" si="202"/>
        <v>0.23602594142259403</v>
      </c>
      <c r="G1084" s="30">
        <v>16.63</v>
      </c>
      <c r="H1084" s="39">
        <v>18.899999999999999</v>
      </c>
      <c r="I1084" s="4">
        <f t="shared" si="203"/>
        <v>0.12010582010582005</v>
      </c>
      <c r="J1084" s="23">
        <f t="shared" si="211"/>
        <v>1.6289800000000021</v>
      </c>
    </row>
    <row r="1085" spans="1:10" s="71" customFormat="1">
      <c r="A1085" s="7"/>
      <c r="B1085" s="29">
        <v>7501025400118</v>
      </c>
      <c r="C1085" s="28" t="s">
        <v>132</v>
      </c>
      <c r="D1085" s="30">
        <v>18.258980000000001</v>
      </c>
      <c r="E1085" s="45">
        <v>23.9</v>
      </c>
      <c r="F1085" s="5">
        <f t="shared" si="202"/>
        <v>0.23602594142259403</v>
      </c>
      <c r="G1085" s="30">
        <v>16.63</v>
      </c>
      <c r="H1085" s="39">
        <v>18.899999999999999</v>
      </c>
      <c r="I1085" s="4">
        <f t="shared" si="203"/>
        <v>0.12010582010582005</v>
      </c>
      <c r="J1085" s="23">
        <f t="shared" si="211"/>
        <v>1.6289800000000021</v>
      </c>
    </row>
    <row r="1086" spans="1:10" s="71" customFormat="1">
      <c r="A1086" s="7"/>
      <c r="B1086" s="29">
        <v>7501025400156</v>
      </c>
      <c r="C1086" s="28" t="s">
        <v>133</v>
      </c>
      <c r="D1086" s="30">
        <v>18.258980000000001</v>
      </c>
      <c r="E1086" s="45">
        <v>23.9</v>
      </c>
      <c r="F1086" s="5">
        <f t="shared" si="202"/>
        <v>0.23602594142259403</v>
      </c>
      <c r="G1086" s="30">
        <v>16.63</v>
      </c>
      <c r="H1086" s="39">
        <v>18.899999999999999</v>
      </c>
      <c r="I1086" s="4">
        <f t="shared" si="203"/>
        <v>0.12010582010582005</v>
      </c>
      <c r="J1086" s="23">
        <f t="shared" si="211"/>
        <v>1.6289800000000021</v>
      </c>
    </row>
    <row r="1087" spans="1:10" s="71" customFormat="1">
      <c r="A1087" s="7"/>
      <c r="B1087" s="29">
        <v>7501025400187</v>
      </c>
      <c r="C1087" s="28" t="s">
        <v>134</v>
      </c>
      <c r="D1087" s="30">
        <v>18.258980000000001</v>
      </c>
      <c r="E1087" s="45">
        <v>23.9</v>
      </c>
      <c r="F1087" s="5">
        <f t="shared" si="202"/>
        <v>0.23602594142259403</v>
      </c>
      <c r="G1087" s="30">
        <v>16.63</v>
      </c>
      <c r="H1087" s="39">
        <v>18.899999999999999</v>
      </c>
      <c r="I1087" s="4">
        <f t="shared" si="203"/>
        <v>0.12010582010582005</v>
      </c>
      <c r="J1087" s="23"/>
    </row>
    <row r="1088" spans="1:10" s="71" customFormat="1">
      <c r="A1088" s="43"/>
      <c r="B1088" s="34"/>
      <c r="C1088" s="35"/>
      <c r="D1088" s="33"/>
      <c r="E1088" s="33"/>
      <c r="F1088" s="5" t="e">
        <f t="shared" si="202"/>
        <v>#DIV/0!</v>
      </c>
      <c r="G1088" s="33"/>
      <c r="H1088" s="38"/>
      <c r="I1088" s="4" t="e">
        <f t="shared" si="203"/>
        <v>#DIV/0!</v>
      </c>
      <c r="J1088" s="68"/>
    </row>
    <row r="1089" spans="1:10" s="71" customFormat="1">
      <c r="A1089" s="43"/>
      <c r="B1089" s="34">
        <v>7501025402051</v>
      </c>
      <c r="C1089" s="35" t="s">
        <v>347</v>
      </c>
      <c r="D1089" s="33">
        <v>28.443199999999997</v>
      </c>
      <c r="E1089" s="33">
        <v>35.6</v>
      </c>
      <c r="F1089" s="5">
        <f t="shared" si="202"/>
        <v>0.20103370786516861</v>
      </c>
      <c r="G1089" s="33">
        <v>25.431999999999999</v>
      </c>
      <c r="H1089" s="38">
        <v>28.9</v>
      </c>
      <c r="I1089" s="4">
        <f t="shared" si="203"/>
        <v>0.12</v>
      </c>
      <c r="J1089" s="68"/>
    </row>
    <row r="1090" spans="1:10" s="71" customFormat="1">
      <c r="A1090" s="43"/>
      <c r="B1090" s="34">
        <v>7501025402235</v>
      </c>
      <c r="C1090" s="35" t="s">
        <v>348</v>
      </c>
      <c r="D1090" s="33">
        <v>28.443199999999997</v>
      </c>
      <c r="E1090" s="33">
        <v>35.6</v>
      </c>
      <c r="F1090" s="5">
        <f t="shared" si="202"/>
        <v>0.20103370786516861</v>
      </c>
      <c r="G1090" s="33">
        <v>25.431999999999999</v>
      </c>
      <c r="H1090" s="38">
        <v>28.9</v>
      </c>
      <c r="I1090" s="4">
        <f t="shared" si="203"/>
        <v>0.12</v>
      </c>
      <c r="J1090" s="68"/>
    </row>
    <row r="1091" spans="1:10" s="71" customFormat="1">
      <c r="A1091" s="43"/>
      <c r="B1091" s="34">
        <v>7501025402242</v>
      </c>
      <c r="C1091" s="35" t="s">
        <v>349</v>
      </c>
      <c r="D1091" s="33">
        <v>28.443199999999997</v>
      </c>
      <c r="E1091" s="33">
        <v>35.6</v>
      </c>
      <c r="F1091" s="5">
        <f t="shared" ref="F1091:F1107" si="212">+((D1091/E1091)-1)*-1</f>
        <v>0.20103370786516861</v>
      </c>
      <c r="G1091" s="33">
        <v>25.431999999999999</v>
      </c>
      <c r="H1091" s="38">
        <v>28.9</v>
      </c>
      <c r="I1091" s="4">
        <f t="shared" ref="I1091:I1107" si="213">+((G1091/H1091)-1)*-1</f>
        <v>0.12</v>
      </c>
      <c r="J1091" s="68"/>
    </row>
    <row r="1092" spans="1:10" s="71" customFormat="1">
      <c r="A1092" s="43"/>
      <c r="B1092" s="14"/>
      <c r="C1092" s="15"/>
      <c r="D1092" s="13"/>
      <c r="E1092" s="65"/>
      <c r="F1092" s="5" t="e">
        <f t="shared" si="212"/>
        <v>#DIV/0!</v>
      </c>
      <c r="G1092" s="13"/>
      <c r="H1092" s="20"/>
      <c r="I1092" s="4" t="e">
        <f t="shared" si="213"/>
        <v>#DIV/0!</v>
      </c>
      <c r="J1092" s="68"/>
    </row>
    <row r="1093" spans="1:10" s="71" customFormat="1">
      <c r="A1093" s="7" t="s">
        <v>31</v>
      </c>
      <c r="B1093" s="29" t="s">
        <v>205</v>
      </c>
      <c r="C1093" s="28" t="s">
        <v>206</v>
      </c>
      <c r="D1093" s="30">
        <f>66.2255310771*1.16</f>
        <v>76.821616049436003</v>
      </c>
      <c r="E1093" s="45">
        <v>90.4</v>
      </c>
      <c r="F1093" s="5">
        <f t="shared" si="212"/>
        <v>0.15020336228499997</v>
      </c>
      <c r="G1093" s="30">
        <v>69.14</v>
      </c>
      <c r="H1093" s="39">
        <v>78.900000000000006</v>
      </c>
      <c r="I1093" s="4">
        <f t="shared" si="213"/>
        <v>0.12370088719898609</v>
      </c>
      <c r="J1093" s="23"/>
    </row>
    <row r="1094" spans="1:10" s="71" customFormat="1">
      <c r="A1094" s="7"/>
      <c r="B1094" s="29" t="s">
        <v>207</v>
      </c>
      <c r="C1094" s="28" t="s">
        <v>208</v>
      </c>
      <c r="D1094" s="30">
        <v>93.837012448608007</v>
      </c>
      <c r="E1094" s="45">
        <v>110.4</v>
      </c>
      <c r="F1094" s="5">
        <f t="shared" si="212"/>
        <v>0.15002706115391307</v>
      </c>
      <c r="G1094" s="30">
        <v>84.45</v>
      </c>
      <c r="H1094" s="39">
        <v>95.9</v>
      </c>
      <c r="I1094" s="4">
        <f t="shared" si="213"/>
        <v>0.1193952033368092</v>
      </c>
      <c r="J1094" s="23"/>
    </row>
    <row r="1095" spans="1:10" s="71" customFormat="1">
      <c r="A1095" s="25"/>
      <c r="B1095" s="34">
        <v>7502247330054</v>
      </c>
      <c r="C1095" s="35" t="s">
        <v>209</v>
      </c>
      <c r="D1095" s="33">
        <v>109.94050800000002</v>
      </c>
      <c r="E1095" s="45">
        <v>129.4</v>
      </c>
      <c r="F1095" s="5">
        <f t="shared" si="212"/>
        <v>0.1503824729520864</v>
      </c>
      <c r="G1095" s="30">
        <v>98.95</v>
      </c>
      <c r="H1095" s="39">
        <v>112.5</v>
      </c>
      <c r="I1095" s="4">
        <f t="shared" si="213"/>
        <v>0.12044444444444447</v>
      </c>
      <c r="J1095" s="23"/>
    </row>
    <row r="1096" spans="1:10" s="71" customFormat="1">
      <c r="A1096" s="25"/>
      <c r="B1096" s="34" t="s">
        <v>210</v>
      </c>
      <c r="C1096" s="35" t="s">
        <v>211</v>
      </c>
      <c r="D1096" s="30">
        <v>111.314910937344</v>
      </c>
      <c r="E1096" s="45">
        <v>130.9</v>
      </c>
      <c r="F1096" s="5">
        <f t="shared" si="212"/>
        <v>0.14961870941677624</v>
      </c>
      <c r="G1096" s="30">
        <v>100.18</v>
      </c>
      <c r="H1096" s="39">
        <v>113.9</v>
      </c>
      <c r="I1096" s="4">
        <f t="shared" si="213"/>
        <v>0.12045654082528534</v>
      </c>
      <c r="J1096" s="23"/>
    </row>
    <row r="1097" spans="1:10" s="71" customFormat="1">
      <c r="A1097" s="7" t="s">
        <v>167</v>
      </c>
      <c r="B1097" s="29"/>
      <c r="C1097" s="28"/>
      <c r="D1097" s="30"/>
      <c r="E1097" s="45"/>
      <c r="F1097" s="5" t="e">
        <f t="shared" si="212"/>
        <v>#DIV/0!</v>
      </c>
      <c r="G1097" s="30"/>
      <c r="H1097" s="39"/>
      <c r="I1097" s="4" t="e">
        <f t="shared" si="213"/>
        <v>#DIV/0!</v>
      </c>
      <c r="J1097" s="23"/>
    </row>
    <row r="1098" spans="1:10" s="71" customFormat="1">
      <c r="A1098" s="7" t="s">
        <v>32</v>
      </c>
      <c r="B1098" s="34" t="s">
        <v>88</v>
      </c>
      <c r="C1098" s="35" t="s">
        <v>89</v>
      </c>
      <c r="D1098" s="33">
        <v>18.784099999999999</v>
      </c>
      <c r="E1098" s="45">
        <v>23.5</v>
      </c>
      <c r="F1098" s="5">
        <f t="shared" si="212"/>
        <v>0.20067659574468089</v>
      </c>
      <c r="G1098" s="33">
        <v>17.010000000000002</v>
      </c>
      <c r="H1098" s="38">
        <v>18.899999999999999</v>
      </c>
      <c r="I1098" s="4">
        <f t="shared" si="213"/>
        <v>9.9999999999999867E-2</v>
      </c>
      <c r="J1098" s="23"/>
    </row>
    <row r="1099" spans="1:10" s="71" customFormat="1">
      <c r="A1099" s="7"/>
      <c r="B1099" s="29">
        <v>7501071307775</v>
      </c>
      <c r="C1099" s="28" t="s">
        <v>319</v>
      </c>
      <c r="D1099" s="30">
        <v>14.0967</v>
      </c>
      <c r="E1099" s="45">
        <v>16.600000000000001</v>
      </c>
      <c r="F1099" s="5">
        <f t="shared" si="212"/>
        <v>0.15080120481927717</v>
      </c>
      <c r="G1099" s="30">
        <v>12.68703</v>
      </c>
      <c r="H1099" s="39">
        <v>14.9</v>
      </c>
      <c r="I1099" s="4">
        <f t="shared" si="213"/>
        <v>0.14852147651006709</v>
      </c>
      <c r="J1099" s="23"/>
    </row>
    <row r="1100" spans="1:10" s="71" customFormat="1">
      <c r="A1100" s="7"/>
      <c r="B1100" s="29">
        <v>7501071307782</v>
      </c>
      <c r="C1100" s="28" t="s">
        <v>320</v>
      </c>
      <c r="D1100" s="30">
        <v>14.126300000000001</v>
      </c>
      <c r="E1100" s="45">
        <v>16.600000000000001</v>
      </c>
      <c r="F1100" s="5">
        <f t="shared" si="212"/>
        <v>0.14901807228915664</v>
      </c>
      <c r="G1100" s="30">
        <v>12.71367</v>
      </c>
      <c r="H1100" s="39">
        <v>14.9</v>
      </c>
      <c r="I1100" s="4">
        <f t="shared" si="213"/>
        <v>0.14673355704697988</v>
      </c>
      <c r="J1100" s="23"/>
    </row>
    <row r="1101" spans="1:10" s="71" customFormat="1">
      <c r="A1101" s="25"/>
      <c r="B1101" s="34">
        <v>7501071307799</v>
      </c>
      <c r="C1101" s="35" t="s">
        <v>321</v>
      </c>
      <c r="D1101" s="33">
        <v>14.12</v>
      </c>
      <c r="E1101" s="65">
        <v>16.600000000000001</v>
      </c>
      <c r="F1101" s="5">
        <f t="shared" si="212"/>
        <v>0.14939759036144595</v>
      </c>
      <c r="G1101" s="33">
        <v>12.708</v>
      </c>
      <c r="H1101" s="38">
        <v>14.9</v>
      </c>
      <c r="I1101" s="4">
        <f t="shared" si="213"/>
        <v>0.14711409395973152</v>
      </c>
      <c r="J1101" s="23"/>
    </row>
    <row r="1102" spans="1:10" s="71" customFormat="1">
      <c r="A1102" s="7" t="s">
        <v>33</v>
      </c>
      <c r="B1102" s="29"/>
      <c r="C1102" s="28" t="s">
        <v>417</v>
      </c>
      <c r="D1102" s="30">
        <v>5.4166449999999999</v>
      </c>
      <c r="E1102" s="45">
        <v>6.9</v>
      </c>
      <c r="F1102" s="5">
        <f t="shared" si="212"/>
        <v>0.21497898550724648</v>
      </c>
      <c r="G1102" s="30">
        <f>+D1102*0.9</f>
        <v>4.8749805000000004</v>
      </c>
      <c r="H1102" s="39">
        <v>5.9</v>
      </c>
      <c r="I1102" s="4">
        <f t="shared" si="213"/>
        <v>0.17373211864406779</v>
      </c>
      <c r="J1102" s="23">
        <f t="shared" ref="J1102:J1103" si="214">+D1102-G1102</f>
        <v>0.54166449999999955</v>
      </c>
    </row>
    <row r="1103" spans="1:10" s="71" customFormat="1">
      <c r="A1103" s="7" t="s">
        <v>34</v>
      </c>
      <c r="B1103" s="29">
        <v>7501003150219</v>
      </c>
      <c r="C1103" s="28" t="s">
        <v>84</v>
      </c>
      <c r="D1103" s="30">
        <v>18.399999999999999</v>
      </c>
      <c r="E1103" s="45">
        <v>22.5</v>
      </c>
      <c r="F1103" s="5">
        <f t="shared" si="212"/>
        <v>0.18222222222222229</v>
      </c>
      <c r="G1103" s="30">
        <v>17.45</v>
      </c>
      <c r="H1103" s="39">
        <v>19.899999999999999</v>
      </c>
      <c r="I1103" s="4">
        <f t="shared" si="213"/>
        <v>0.12311557788944716</v>
      </c>
      <c r="J1103" s="23">
        <f t="shared" si="214"/>
        <v>0.94999999999999929</v>
      </c>
    </row>
    <row r="1104" spans="1:10" s="71" customFormat="1">
      <c r="A1104" s="7" t="s">
        <v>35</v>
      </c>
      <c r="B1104" s="29">
        <v>7501006585209</v>
      </c>
      <c r="C1104" s="28" t="s">
        <v>307</v>
      </c>
      <c r="D1104" s="30">
        <v>23.7075</v>
      </c>
      <c r="E1104" s="45">
        <v>29.6</v>
      </c>
      <c r="F1104" s="5">
        <f t="shared" si="212"/>
        <v>0.19907094594594599</v>
      </c>
      <c r="G1104" s="30">
        <v>22.5</v>
      </c>
      <c r="H1104" s="39">
        <v>25.5</v>
      </c>
      <c r="I1104" s="4">
        <f t="shared" si="213"/>
        <v>0.11764705882352944</v>
      </c>
      <c r="J1104" s="23"/>
    </row>
    <row r="1105" spans="1:10" s="71" customFormat="1">
      <c r="A1105" s="25" t="s">
        <v>304</v>
      </c>
      <c r="B1105" s="34">
        <v>7501006591897</v>
      </c>
      <c r="C1105" s="35" t="s">
        <v>305</v>
      </c>
      <c r="D1105" s="33">
        <v>6.13</v>
      </c>
      <c r="E1105" s="45">
        <v>7.2</v>
      </c>
      <c r="F1105" s="5">
        <f t="shared" si="212"/>
        <v>0.14861111111111114</v>
      </c>
      <c r="G1105" s="33">
        <v>5.05</v>
      </c>
      <c r="H1105" s="38">
        <v>5.9</v>
      </c>
      <c r="I1105" s="4">
        <f t="shared" si="213"/>
        <v>0.14406779661016955</v>
      </c>
      <c r="J1105" s="23"/>
    </row>
    <row r="1106" spans="1:10" s="71" customFormat="1">
      <c r="A1106" s="7" t="s">
        <v>36</v>
      </c>
      <c r="B1106" s="29">
        <v>7501006536942</v>
      </c>
      <c r="C1106" s="28" t="s">
        <v>44</v>
      </c>
      <c r="D1106" s="30">
        <v>8.0867000000000004</v>
      </c>
      <c r="E1106" s="45">
        <v>9.9</v>
      </c>
      <c r="F1106" s="5">
        <f t="shared" si="212"/>
        <v>0.18316161616161619</v>
      </c>
      <c r="G1106" s="30">
        <v>7.28</v>
      </c>
      <c r="H1106" s="39">
        <v>8.5</v>
      </c>
      <c r="I1106" s="4">
        <f t="shared" si="213"/>
        <v>0.14352941176470591</v>
      </c>
      <c r="J1106" s="23"/>
    </row>
    <row r="1107" spans="1:10" s="71" customFormat="1">
      <c r="A1107" s="7" t="s">
        <v>37</v>
      </c>
      <c r="B1107" s="29"/>
      <c r="C1107" s="28"/>
      <c r="D1107" s="30"/>
      <c r="E1107" s="45"/>
      <c r="F1107" s="5" t="e">
        <f t="shared" si="212"/>
        <v>#DIV/0!</v>
      </c>
      <c r="G1107" s="30"/>
      <c r="H1107" s="39"/>
      <c r="I1107" s="4" t="e">
        <f t="shared" si="213"/>
        <v>#DIV/0!</v>
      </c>
      <c r="J1107" s="23">
        <f t="shared" ref="J1107" si="215">+D1107-G1107</f>
        <v>0</v>
      </c>
    </row>
  </sheetData>
  <sortState xmlns:xlrd2="http://schemas.microsoft.com/office/spreadsheetml/2017/richdata2" ref="C6:T12">
    <sortCondition ref="C6:C12"/>
  </sortState>
  <mergeCells count="41">
    <mergeCell ref="A764:C764"/>
    <mergeCell ref="A765:C765"/>
    <mergeCell ref="D765:F765"/>
    <mergeCell ref="G765:I765"/>
    <mergeCell ref="A666:C666"/>
    <mergeCell ref="A667:C667"/>
    <mergeCell ref="D667:F667"/>
    <mergeCell ref="G667:I667"/>
    <mergeCell ref="B686:C686"/>
    <mergeCell ref="G578:I578"/>
    <mergeCell ref="A464:C464"/>
    <mergeCell ref="A465:C465"/>
    <mergeCell ref="D465:F465"/>
    <mergeCell ref="G465:I465"/>
    <mergeCell ref="A577:C577"/>
    <mergeCell ref="A578:C578"/>
    <mergeCell ref="D578:F578"/>
    <mergeCell ref="A349:C349"/>
    <mergeCell ref="D349:F349"/>
    <mergeCell ref="G349:I349"/>
    <mergeCell ref="A176:C176"/>
    <mergeCell ref="A177:C177"/>
    <mergeCell ref="D177:F177"/>
    <mergeCell ref="G177:I177"/>
    <mergeCell ref="A1:C1"/>
    <mergeCell ref="A2:C2"/>
    <mergeCell ref="D2:F2"/>
    <mergeCell ref="G2:I2"/>
    <mergeCell ref="A348:C348"/>
    <mergeCell ref="A1024:C1024"/>
    <mergeCell ref="A1025:C1025"/>
    <mergeCell ref="D1025:F1025"/>
    <mergeCell ref="G1025:I1025"/>
    <mergeCell ref="A841:C841"/>
    <mergeCell ref="A920:C920"/>
    <mergeCell ref="A921:C921"/>
    <mergeCell ref="D921:F921"/>
    <mergeCell ref="G921:I921"/>
    <mergeCell ref="A842:C842"/>
    <mergeCell ref="D842:F842"/>
    <mergeCell ref="G842:I842"/>
  </mergeCells>
  <conditionalFormatting sqref="I116 I118:I121 I4:I114">
    <cfRule type="cellIs" dxfId="59" priority="535" operator="lessThan">
      <formula>0</formula>
    </cfRule>
  </conditionalFormatting>
  <conditionalFormatting sqref="I122:I126">
    <cfRule type="cellIs" dxfId="58" priority="234" operator="lessThan">
      <formula>0</formula>
    </cfRule>
  </conditionalFormatting>
  <conditionalFormatting sqref="I329:I340 I276:I319">
    <cfRule type="cellIs" dxfId="57" priority="150" operator="lessThan">
      <formula>0</formula>
    </cfRule>
  </conditionalFormatting>
  <conditionalFormatting sqref="I320:I328">
    <cfRule type="cellIs" dxfId="56" priority="144" operator="lessThan">
      <formula>0</formula>
    </cfRule>
  </conditionalFormatting>
  <conditionalFormatting sqref="I179:I187 I198:I275">
    <cfRule type="cellIs" dxfId="55" priority="111" operator="lessThan">
      <formula>0</formula>
    </cfRule>
  </conditionalFormatting>
  <conditionalFormatting sqref="I188:I191">
    <cfRule type="cellIs" dxfId="54" priority="108" operator="lessThan">
      <formula>0</formula>
    </cfRule>
  </conditionalFormatting>
  <conditionalFormatting sqref="I192:I197">
    <cfRule type="cellIs" dxfId="53" priority="105" operator="lessThan">
      <formula>0</formula>
    </cfRule>
  </conditionalFormatting>
  <conditionalFormatting sqref="I351:I419 I426:I459">
    <cfRule type="cellIs" dxfId="52" priority="94" operator="lessThan">
      <formula>0</formula>
    </cfRule>
  </conditionalFormatting>
  <conditionalFormatting sqref="B449:B459">
    <cfRule type="duplicateValues" dxfId="51" priority="90"/>
  </conditionalFormatting>
  <conditionalFormatting sqref="B449:B459">
    <cfRule type="duplicateValues" dxfId="50" priority="91"/>
  </conditionalFormatting>
  <conditionalFormatting sqref="B449:B459">
    <cfRule type="duplicateValues" dxfId="49" priority="92"/>
  </conditionalFormatting>
  <conditionalFormatting sqref="B110 B116 B118:B126 B112:B114">
    <cfRule type="duplicateValues" dxfId="48" priority="81"/>
  </conditionalFormatting>
  <conditionalFormatting sqref="B110 B112:B114">
    <cfRule type="duplicateValues" dxfId="47" priority="82"/>
  </conditionalFormatting>
  <conditionalFormatting sqref="B110">
    <cfRule type="duplicateValues" dxfId="46" priority="83"/>
  </conditionalFormatting>
  <conditionalFormatting sqref="I467:I527 I531:I566">
    <cfRule type="cellIs" dxfId="45" priority="70" operator="lessThan">
      <formula>0</formula>
    </cfRule>
  </conditionalFormatting>
  <conditionalFormatting sqref="I567:I571">
    <cfRule type="cellIs" dxfId="44" priority="68" operator="lessThan">
      <formula>0</formula>
    </cfRule>
  </conditionalFormatting>
  <conditionalFormatting sqref="I528:I530">
    <cfRule type="cellIs" dxfId="43" priority="65" operator="lessThan">
      <formula>0</formula>
    </cfRule>
  </conditionalFormatting>
  <conditionalFormatting sqref="B555:B571">
    <cfRule type="duplicateValues" dxfId="42" priority="62"/>
  </conditionalFormatting>
  <conditionalFormatting sqref="B555:B571">
    <cfRule type="duplicateValues" dxfId="41" priority="63"/>
  </conditionalFormatting>
  <conditionalFormatting sqref="B555:B571">
    <cfRule type="duplicateValues" dxfId="40" priority="64"/>
  </conditionalFormatting>
  <conditionalFormatting sqref="I659">
    <cfRule type="cellIs" dxfId="39" priority="59" operator="lessThan">
      <formula>0</formula>
    </cfRule>
  </conditionalFormatting>
  <conditionalFormatting sqref="I580:I658">
    <cfRule type="cellIs" dxfId="38" priority="58" operator="lessThan">
      <formula>0</formula>
    </cfRule>
  </conditionalFormatting>
  <conditionalFormatting sqref="I115:I116">
    <cfRule type="cellIs" dxfId="37" priority="56" operator="lessThan">
      <formula>0</formula>
    </cfRule>
  </conditionalFormatting>
  <conditionalFormatting sqref="B115:B116">
    <cfRule type="duplicateValues" dxfId="36" priority="53"/>
  </conditionalFormatting>
  <conditionalFormatting sqref="B115:B116">
    <cfRule type="duplicateValues" dxfId="35" priority="54"/>
  </conditionalFormatting>
  <conditionalFormatting sqref="B115:B116">
    <cfRule type="duplicateValues" dxfId="34" priority="55"/>
  </conditionalFormatting>
  <conditionalFormatting sqref="I117">
    <cfRule type="cellIs" dxfId="33" priority="52" operator="lessThan">
      <formula>0</formula>
    </cfRule>
  </conditionalFormatting>
  <conditionalFormatting sqref="B117">
    <cfRule type="duplicateValues" dxfId="32" priority="49"/>
  </conditionalFormatting>
  <conditionalFormatting sqref="B117">
    <cfRule type="duplicateValues" dxfId="31" priority="50"/>
  </conditionalFormatting>
  <conditionalFormatting sqref="B117">
    <cfRule type="duplicateValues" dxfId="30" priority="51"/>
  </conditionalFormatting>
  <conditionalFormatting sqref="I117">
    <cfRule type="cellIs" dxfId="29" priority="48" operator="lessThan">
      <formula>0</formula>
    </cfRule>
  </conditionalFormatting>
  <conditionalFormatting sqref="B117">
    <cfRule type="duplicateValues" dxfId="28" priority="45"/>
  </conditionalFormatting>
  <conditionalFormatting sqref="B117">
    <cfRule type="duplicateValues" dxfId="27" priority="46"/>
  </conditionalFormatting>
  <conditionalFormatting sqref="B117">
    <cfRule type="duplicateValues" dxfId="26" priority="47"/>
  </conditionalFormatting>
  <conditionalFormatting sqref="I669:I688 I693:I759">
    <cfRule type="cellIs" dxfId="25" priority="40" operator="lessThan">
      <formula>0</formula>
    </cfRule>
  </conditionalFormatting>
  <conditionalFormatting sqref="I689">
    <cfRule type="cellIs" dxfId="24" priority="39" operator="lessThan">
      <formula>0</formula>
    </cfRule>
  </conditionalFormatting>
  <conditionalFormatting sqref="I690">
    <cfRule type="cellIs" dxfId="23" priority="38" operator="lessThan">
      <formula>0</formula>
    </cfRule>
  </conditionalFormatting>
  <conditionalFormatting sqref="I691">
    <cfRule type="cellIs" dxfId="22" priority="37" operator="lessThan">
      <formula>0</formula>
    </cfRule>
  </conditionalFormatting>
  <conditionalFormatting sqref="I692">
    <cfRule type="cellIs" dxfId="21" priority="36" operator="lessThan">
      <formula>0</formula>
    </cfRule>
  </conditionalFormatting>
  <conditionalFormatting sqref="I129:I155">
    <cfRule type="cellIs" dxfId="20" priority="33" operator="lessThan">
      <formula>0</formula>
    </cfRule>
  </conditionalFormatting>
  <conditionalFormatting sqref="B129:B155">
    <cfRule type="duplicateValues" dxfId="19" priority="32"/>
  </conditionalFormatting>
  <conditionalFormatting sqref="I767:I837">
    <cfRule type="cellIs" dxfId="18" priority="31" operator="lessThan">
      <formula>0</formula>
    </cfRule>
  </conditionalFormatting>
  <conditionalFormatting sqref="I844:I914">
    <cfRule type="cellIs" dxfId="17" priority="30" operator="lessThan">
      <formula>0</formula>
    </cfRule>
  </conditionalFormatting>
  <conditionalFormatting sqref="I420:I425">
    <cfRule type="cellIs" dxfId="16" priority="28" operator="lessThan">
      <formula>0</formula>
    </cfRule>
  </conditionalFormatting>
  <conditionalFormatting sqref="I923:I1017">
    <cfRule type="cellIs" dxfId="15" priority="27" operator="lessThan">
      <formula>0</formula>
    </cfRule>
  </conditionalFormatting>
  <conditionalFormatting sqref="B61">
    <cfRule type="duplicateValues" dxfId="14" priority="26"/>
  </conditionalFormatting>
  <conditionalFormatting sqref="I1027:I1083 I1086 I1088:I1093 I1095:I1098 I1101 I1104:I1105">
    <cfRule type="cellIs" dxfId="13" priority="13" operator="lessThan">
      <formula>0</formula>
    </cfRule>
  </conditionalFormatting>
  <conditionalFormatting sqref="B1056">
    <cfRule type="duplicateValues" dxfId="12" priority="12"/>
  </conditionalFormatting>
  <conditionalFormatting sqref="I1084">
    <cfRule type="cellIs" dxfId="11" priority="11" operator="lessThan">
      <formula>0</formula>
    </cfRule>
  </conditionalFormatting>
  <conditionalFormatting sqref="I1085">
    <cfRule type="cellIs" dxfId="10" priority="10" operator="lessThan">
      <formula>0</formula>
    </cfRule>
  </conditionalFormatting>
  <conditionalFormatting sqref="I1087">
    <cfRule type="cellIs" dxfId="9" priority="9" operator="lessThan">
      <formula>0</formula>
    </cfRule>
  </conditionalFormatting>
  <conditionalFormatting sqref="I1094">
    <cfRule type="cellIs" dxfId="8" priority="8" operator="lessThan">
      <formula>0</formula>
    </cfRule>
  </conditionalFormatting>
  <conditionalFormatting sqref="I1099">
    <cfRule type="cellIs" dxfId="7" priority="7" operator="lessThan">
      <formula>0</formula>
    </cfRule>
  </conditionalFormatting>
  <conditionalFormatting sqref="I1100">
    <cfRule type="cellIs" dxfId="6" priority="6" operator="lessThan">
      <formula>0</formula>
    </cfRule>
  </conditionalFormatting>
  <conditionalFormatting sqref="I1102">
    <cfRule type="cellIs" dxfId="5" priority="5" operator="lessThan">
      <formula>0</formula>
    </cfRule>
  </conditionalFormatting>
  <conditionalFormatting sqref="I1103">
    <cfRule type="cellIs" dxfId="4" priority="4" operator="lessThan">
      <formula>0</formula>
    </cfRule>
  </conditionalFormatting>
  <conditionalFormatting sqref="I1106">
    <cfRule type="cellIs" dxfId="3" priority="3" operator="lessThan">
      <formula>0</formula>
    </cfRule>
  </conditionalFormatting>
  <conditionalFormatting sqref="I1107">
    <cfRule type="cellIs" dxfId="2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5152-ADDE-48F4-B7F1-B650E8E5B74F}">
  <dimension ref="A1:B45"/>
  <sheetViews>
    <sheetView tabSelected="1" workbookViewId="0">
      <selection activeCell="E6" sqref="E6"/>
    </sheetView>
  </sheetViews>
  <sheetFormatPr baseColWidth="10" defaultRowHeight="15"/>
  <cols>
    <col min="1" max="1" width="14.28515625" customWidth="1"/>
    <col min="2" max="2" width="12" customWidth="1"/>
  </cols>
  <sheetData>
    <row r="1" spans="1:2">
      <c r="A1" t="s">
        <v>469</v>
      </c>
      <c r="B1" t="s">
        <v>470</v>
      </c>
    </row>
    <row r="2" spans="1:2">
      <c r="A2" s="50">
        <v>7501468722228</v>
      </c>
      <c r="B2" s="85">
        <v>1</v>
      </c>
    </row>
    <row r="3" spans="1:2">
      <c r="A3" s="50">
        <v>7501468777778</v>
      </c>
      <c r="B3" s="85">
        <v>1</v>
      </c>
    </row>
    <row r="4" spans="1:2">
      <c r="A4" s="50">
        <v>7501045404400</v>
      </c>
      <c r="B4" s="85">
        <v>1</v>
      </c>
    </row>
    <row r="5" spans="1:2">
      <c r="A5" s="50">
        <v>7501045404417</v>
      </c>
      <c r="B5" s="85">
        <v>1</v>
      </c>
    </row>
    <row r="6" spans="1:2">
      <c r="A6" s="50">
        <v>7501045402529</v>
      </c>
      <c r="B6" s="85">
        <v>1</v>
      </c>
    </row>
    <row r="7" spans="1:2">
      <c r="A7" s="50">
        <v>7501008044698</v>
      </c>
      <c r="B7" s="85">
        <v>1</v>
      </c>
    </row>
    <row r="8" spans="1:2">
      <c r="A8" s="50">
        <v>7501008044278</v>
      </c>
      <c r="B8" s="85">
        <v>1</v>
      </c>
    </row>
    <row r="9" spans="1:2">
      <c r="A9" s="50">
        <v>7501008045091</v>
      </c>
      <c r="B9" s="85">
        <v>1</v>
      </c>
    </row>
    <row r="10" spans="1:2">
      <c r="A10" s="50">
        <v>7501058611062</v>
      </c>
      <c r="B10" s="85">
        <v>1</v>
      </c>
    </row>
    <row r="11" spans="1:2">
      <c r="A11" s="50">
        <v>7501001600426</v>
      </c>
      <c r="B11" s="85">
        <v>1</v>
      </c>
    </row>
    <row r="12" spans="1:2">
      <c r="A12" s="50">
        <v>7506475104722</v>
      </c>
      <c r="B12" s="85">
        <v>1</v>
      </c>
    </row>
    <row r="13" spans="1:2">
      <c r="A13" s="50">
        <v>75001759</v>
      </c>
      <c r="B13" s="85">
        <v>1</v>
      </c>
    </row>
    <row r="14" spans="1:2">
      <c r="A14" s="50">
        <v>75001797</v>
      </c>
      <c r="B14" s="85">
        <v>1</v>
      </c>
    </row>
    <row r="15" spans="1:2">
      <c r="A15" s="50">
        <v>75001834</v>
      </c>
      <c r="B15" s="85">
        <v>1</v>
      </c>
    </row>
    <row r="16" spans="1:2">
      <c r="A16" s="50">
        <v>75003104</v>
      </c>
      <c r="B16" s="85">
        <v>1</v>
      </c>
    </row>
    <row r="17" spans="1:2">
      <c r="A17" s="50">
        <v>75003159</v>
      </c>
      <c r="B17" s="85">
        <v>1</v>
      </c>
    </row>
    <row r="18" spans="1:2">
      <c r="A18" s="50">
        <v>75003180</v>
      </c>
      <c r="B18" s="85">
        <v>1</v>
      </c>
    </row>
    <row r="19" spans="1:2">
      <c r="A19" s="50">
        <v>7501039400807</v>
      </c>
      <c r="B19" s="85">
        <v>1</v>
      </c>
    </row>
    <row r="20" spans="1:2">
      <c r="A20" s="50">
        <v>7501039400814</v>
      </c>
      <c r="B20" s="85">
        <v>1</v>
      </c>
    </row>
    <row r="21" spans="1:2">
      <c r="A21" s="50">
        <v>7501039400821</v>
      </c>
      <c r="B21" s="85">
        <v>1</v>
      </c>
    </row>
    <row r="22" spans="1:2">
      <c r="A22" s="50">
        <v>7501039400838</v>
      </c>
      <c r="B22" s="85">
        <v>1</v>
      </c>
    </row>
    <row r="23" spans="1:2">
      <c r="A23" s="50">
        <v>7501039400852</v>
      </c>
      <c r="B23" s="85">
        <v>1</v>
      </c>
    </row>
    <row r="24" spans="1:2">
      <c r="A24" s="50">
        <v>7501039400869</v>
      </c>
      <c r="B24" s="85">
        <v>1</v>
      </c>
    </row>
    <row r="25" spans="1:2">
      <c r="A25" s="50">
        <v>75000622</v>
      </c>
      <c r="B25" s="85">
        <v>1</v>
      </c>
    </row>
    <row r="26" spans="1:2">
      <c r="A26" s="50">
        <v>75000639</v>
      </c>
      <c r="B26" s="85">
        <v>1</v>
      </c>
    </row>
    <row r="27" spans="1:2">
      <c r="A27" s="50">
        <v>7501025400088</v>
      </c>
      <c r="B27" s="85">
        <v>1</v>
      </c>
    </row>
    <row r="28" spans="1:2">
      <c r="A28" s="50">
        <v>7501025400118</v>
      </c>
      <c r="B28" s="85">
        <v>1</v>
      </c>
    </row>
    <row r="29" spans="1:2">
      <c r="A29" s="50">
        <v>7501025400156</v>
      </c>
      <c r="B29" s="85">
        <v>1</v>
      </c>
    </row>
    <row r="30" spans="1:2">
      <c r="A30" s="50">
        <v>7501025400187</v>
      </c>
      <c r="B30" s="85">
        <v>1</v>
      </c>
    </row>
    <row r="31" spans="1:2">
      <c r="A31" s="50">
        <v>7501025403881</v>
      </c>
      <c r="B31" s="85">
        <v>1</v>
      </c>
    </row>
    <row r="32" spans="1:2">
      <c r="A32" s="50">
        <v>7501025403898</v>
      </c>
      <c r="B32" s="85">
        <v>1</v>
      </c>
    </row>
    <row r="33" spans="1:2">
      <c r="A33" s="50">
        <v>7501025403904</v>
      </c>
      <c r="B33" s="85">
        <v>1</v>
      </c>
    </row>
    <row r="34" spans="1:2">
      <c r="A34" s="50">
        <v>7501025423827</v>
      </c>
      <c r="B34" s="85">
        <v>1</v>
      </c>
    </row>
    <row r="35" spans="1:2">
      <c r="A35" s="50">
        <v>7501025423841</v>
      </c>
      <c r="B35" s="85">
        <v>1</v>
      </c>
    </row>
    <row r="36" spans="1:2">
      <c r="A36" s="50">
        <v>7501025423872</v>
      </c>
      <c r="B36" s="85">
        <v>1</v>
      </c>
    </row>
    <row r="37" spans="1:2">
      <c r="A37" s="50">
        <v>7501025423896</v>
      </c>
      <c r="B37" s="85">
        <v>1</v>
      </c>
    </row>
    <row r="38" spans="1:2">
      <c r="A38" s="50">
        <v>7501025403041</v>
      </c>
      <c r="B38" s="85">
        <v>1</v>
      </c>
    </row>
    <row r="39" spans="1:2">
      <c r="A39" s="50">
        <v>7501026005381</v>
      </c>
      <c r="B39" s="85">
        <v>1</v>
      </c>
    </row>
    <row r="40" spans="1:2">
      <c r="A40" s="50">
        <v>7501026005374</v>
      </c>
      <c r="B40" s="85">
        <v>1</v>
      </c>
    </row>
    <row r="41" spans="1:2">
      <c r="A41" s="50">
        <v>7501026005671</v>
      </c>
      <c r="B41" s="85">
        <v>1</v>
      </c>
    </row>
    <row r="42" spans="1:2">
      <c r="A42" s="50">
        <v>7501026005688</v>
      </c>
      <c r="B42" s="85">
        <v>1</v>
      </c>
    </row>
    <row r="43" spans="1:2">
      <c r="A43" s="50">
        <v>7500435137287</v>
      </c>
      <c r="B43" s="85">
        <v>1</v>
      </c>
    </row>
    <row r="44" spans="1:2">
      <c r="A44" s="50">
        <v>7502247335677</v>
      </c>
      <c r="B44" s="85">
        <v>1</v>
      </c>
    </row>
    <row r="45" spans="1:2">
      <c r="A45" s="50">
        <v>7502247335226</v>
      </c>
      <c r="B45" s="8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 ABARROTES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</dc:creator>
  <cp:lastModifiedBy>Gerencia 2</cp:lastModifiedBy>
  <cp:lastPrinted>2022-06-23T17:20:55Z</cp:lastPrinted>
  <dcterms:created xsi:type="dcterms:W3CDTF">2018-02-06T18:29:33Z</dcterms:created>
  <dcterms:modified xsi:type="dcterms:W3CDTF">2022-07-27T02:35:29Z</dcterms:modified>
</cp:coreProperties>
</file>