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a\Documents\BachelorarbeitGit\"/>
    </mc:Choice>
  </mc:AlternateContent>
  <bookViews>
    <workbookView xWindow="0" yWindow="0" windowWidth="20490" windowHeight="762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Tabelle1!$E$1:$E$347</definedName>
  </definedNames>
  <calcPr calcId="162913"/>
</workbook>
</file>

<file path=xl/calcChain.xml><?xml version="1.0" encoding="utf-8"?>
<calcChain xmlns="http://schemas.openxmlformats.org/spreadsheetml/2006/main">
  <c r="P311" i="1" l="1"/>
  <c r="R311" i="1" s="1"/>
  <c r="P310" i="1"/>
  <c r="R310" i="1" s="1"/>
  <c r="P309" i="1"/>
  <c r="R309" i="1" s="1"/>
  <c r="P308" i="1"/>
  <c r="Q308" i="1"/>
  <c r="P314" i="1"/>
  <c r="R314" i="1" s="1"/>
  <c r="P313" i="1"/>
  <c r="P305" i="1"/>
  <c r="P306" i="1"/>
  <c r="R306" i="1" s="1"/>
  <c r="P303" i="1"/>
  <c r="R303" i="1" s="1"/>
  <c r="P302" i="1"/>
  <c r="R302" i="1" s="1"/>
  <c r="P301" i="1"/>
  <c r="G305" i="1"/>
  <c r="G301" i="1"/>
  <c r="P277" i="1"/>
  <c r="R277" i="1" s="1"/>
  <c r="P276" i="1"/>
  <c r="R276" i="1" s="1"/>
  <c r="P275" i="1"/>
  <c r="R275" i="1" s="1"/>
  <c r="P274" i="1"/>
  <c r="R274" i="1" s="1"/>
  <c r="P273" i="1"/>
  <c r="R273" i="1" s="1"/>
  <c r="R271" i="1"/>
  <c r="P270" i="1"/>
  <c r="R270" i="1" s="1"/>
  <c r="P269" i="1"/>
  <c r="P267" i="1"/>
  <c r="P266" i="1"/>
  <c r="R266" i="1" s="1"/>
  <c r="P265" i="1"/>
  <c r="P282" i="1"/>
  <c r="R282" i="1" s="1"/>
  <c r="P281" i="1"/>
  <c r="R281" i="1" s="1"/>
  <c r="P280" i="1"/>
  <c r="P287" i="1"/>
  <c r="R287" i="1" s="1"/>
  <c r="P286" i="1"/>
  <c r="R286" i="1" s="1"/>
  <c r="P285" i="1"/>
  <c r="P284" i="1"/>
  <c r="P290" i="1"/>
  <c r="R290" i="1" s="1"/>
  <c r="P289" i="1"/>
  <c r="P298" i="1"/>
  <c r="R298" i="1" s="1"/>
  <c r="P297" i="1"/>
  <c r="R297" i="1" s="1"/>
  <c r="P296" i="1"/>
  <c r="R296" i="1" s="1"/>
  <c r="P295" i="1"/>
  <c r="P294" i="1"/>
  <c r="R294" i="1" s="1"/>
  <c r="P293" i="1"/>
  <c r="R293" i="1" s="1"/>
  <c r="P292" i="1"/>
  <c r="R295" i="1"/>
  <c r="R285" i="1"/>
  <c r="R278" i="1"/>
  <c r="R272" i="1"/>
  <c r="R226" i="1"/>
  <c r="R223" i="1"/>
  <c r="R220" i="1"/>
  <c r="R216" i="1"/>
  <c r="R217" i="1"/>
  <c r="R267" i="1"/>
  <c r="H313" i="1"/>
  <c r="H305" i="1"/>
  <c r="H308" i="1"/>
  <c r="H301" i="1"/>
  <c r="H269" i="1"/>
  <c r="H280" i="1"/>
  <c r="H284" i="1"/>
  <c r="H289" i="1"/>
  <c r="H292" i="1"/>
  <c r="H265" i="1"/>
  <c r="H261" i="1"/>
  <c r="H262" i="1"/>
  <c r="H263" i="1"/>
  <c r="H260" i="1"/>
  <c r="H256" i="1"/>
  <c r="H257" i="1"/>
  <c r="H258" i="1"/>
  <c r="H255" i="1"/>
  <c r="H251" i="1"/>
  <c r="H252" i="1"/>
  <c r="H253" i="1"/>
  <c r="H250" i="1"/>
  <c r="P247" i="1"/>
  <c r="R247" i="1" s="1"/>
  <c r="P246" i="1"/>
  <c r="R246" i="1" s="1"/>
  <c r="P245" i="1"/>
  <c r="R245" i="1" s="1"/>
  <c r="P244" i="1"/>
  <c r="P242" i="1"/>
  <c r="P240" i="1"/>
  <c r="R240" i="1" s="1"/>
  <c r="P239" i="1"/>
  <c r="R239" i="1" s="1"/>
  <c r="P238" i="1"/>
  <c r="R238" i="1" s="1"/>
  <c r="P236" i="1"/>
  <c r="R236" i="1" s="1"/>
  <c r="P235" i="1"/>
  <c r="R235" i="1" s="1"/>
  <c r="P234" i="1"/>
  <c r="H244" i="1"/>
  <c r="H242" i="1"/>
  <c r="H238" i="1"/>
  <c r="H234" i="1"/>
  <c r="H232" i="1"/>
  <c r="H231" i="1"/>
  <c r="H230" i="1"/>
  <c r="H229" i="1"/>
  <c r="H225" i="1"/>
  <c r="H222" i="1"/>
  <c r="H219" i="1"/>
  <c r="H216" i="1"/>
  <c r="H195" i="1"/>
  <c r="H193" i="1"/>
  <c r="H194" i="1"/>
  <c r="H192" i="1"/>
  <c r="H186" i="1"/>
  <c r="H187" i="1"/>
  <c r="H188" i="1"/>
  <c r="H189" i="1"/>
  <c r="H190" i="1"/>
  <c r="H185" i="1"/>
  <c r="H184" i="1"/>
  <c r="R241" i="1" l="1"/>
  <c r="R218" i="1"/>
  <c r="N168" i="1"/>
  <c r="N6" i="1" l="1"/>
  <c r="N43" i="1"/>
  <c r="N162" i="1"/>
  <c r="L156" i="1"/>
  <c r="M97" i="1"/>
  <c r="N107" i="1"/>
  <c r="M107" i="1" s="1"/>
  <c r="N111" i="1"/>
  <c r="N170" i="1"/>
  <c r="N155" i="1"/>
  <c r="N115" i="1"/>
  <c r="N97" i="1"/>
  <c r="N92" i="1"/>
  <c r="N66" i="1"/>
  <c r="N62" i="1"/>
  <c r="N51" i="1"/>
  <c r="N16" i="1"/>
  <c r="N166" i="1"/>
  <c r="N160" i="1"/>
  <c r="N158" i="1"/>
  <c r="N153" i="1"/>
  <c r="N151" i="1"/>
  <c r="N149" i="1"/>
  <c r="N147" i="1"/>
  <c r="N143" i="1"/>
  <c r="N141" i="1"/>
  <c r="N139" i="1"/>
  <c r="N137" i="1"/>
  <c r="N133" i="1"/>
  <c r="N122" i="1"/>
  <c r="N105" i="1"/>
  <c r="N103" i="1"/>
  <c r="N90" i="1"/>
  <c r="N88" i="1"/>
  <c r="N86" i="1"/>
  <c r="N84" i="1"/>
  <c r="N82" i="1"/>
  <c r="N80" i="1"/>
  <c r="N78" i="1"/>
  <c r="N76" i="1"/>
  <c r="N74" i="1"/>
  <c r="N49" i="1"/>
  <c r="N10" i="1"/>
  <c r="N14" i="1"/>
  <c r="N12" i="1"/>
  <c r="N135" i="1"/>
  <c r="N131" i="1"/>
  <c r="N129" i="1"/>
  <c r="L125" i="1"/>
  <c r="L126" i="1" l="1"/>
  <c r="L124" i="1"/>
  <c r="M120" i="1"/>
  <c r="N120" i="1" s="1"/>
  <c r="R280" i="1" l="1"/>
  <c r="R283" i="1" s="1"/>
  <c r="I280" i="1"/>
  <c r="R269" i="1"/>
  <c r="R279" i="1" s="1"/>
  <c r="I269" i="1"/>
  <c r="R186" i="1"/>
  <c r="I186" i="1"/>
  <c r="R187" i="1"/>
  <c r="I187" i="1"/>
  <c r="R185" i="1"/>
  <c r="I185" i="1"/>
  <c r="I313" i="1" l="1"/>
  <c r="I308" i="1"/>
  <c r="I305" i="1"/>
  <c r="I301" i="1"/>
  <c r="I292" i="1"/>
  <c r="I289" i="1"/>
  <c r="I284" i="1"/>
  <c r="I265" i="1"/>
  <c r="I263" i="1"/>
  <c r="I262" i="1"/>
  <c r="I261" i="1"/>
  <c r="I260" i="1"/>
  <c r="I258" i="1"/>
  <c r="I257" i="1"/>
  <c r="I256" i="1"/>
  <c r="I255" i="1"/>
  <c r="I253" i="1"/>
  <c r="I252" i="1"/>
  <c r="I251" i="1"/>
  <c r="I250" i="1"/>
  <c r="I244" i="1"/>
  <c r="I242" i="1"/>
  <c r="I238" i="1"/>
  <c r="I234" i="1"/>
  <c r="I232" i="1"/>
  <c r="R232" i="1" s="1"/>
  <c r="I231" i="1"/>
  <c r="R231" i="1" s="1"/>
  <c r="I230" i="1"/>
  <c r="R230" i="1" s="1"/>
  <c r="I229" i="1"/>
  <c r="R229" i="1" s="1"/>
  <c r="I225" i="1"/>
  <c r="I222" i="1"/>
  <c r="I219" i="1"/>
  <c r="I216" i="1"/>
  <c r="R305" i="1"/>
  <c r="R307" i="1" s="1"/>
  <c r="R313" i="1"/>
  <c r="R315" i="1" s="1"/>
  <c r="R308" i="1"/>
  <c r="R312" i="1" s="1"/>
  <c r="R301" i="1"/>
  <c r="R304" i="1" s="1"/>
  <c r="R292" i="1"/>
  <c r="R299" i="1" s="1"/>
  <c r="R289" i="1"/>
  <c r="R291" i="1" s="1"/>
  <c r="R284" i="1"/>
  <c r="R288" i="1" s="1"/>
  <c r="R265" i="1"/>
  <c r="R268" i="1" s="1"/>
  <c r="R263" i="1"/>
  <c r="R262" i="1"/>
  <c r="R261" i="1"/>
  <c r="R260" i="1"/>
  <c r="R258" i="1"/>
  <c r="R257" i="1"/>
  <c r="R256" i="1"/>
  <c r="R255" i="1"/>
  <c r="R253" i="1"/>
  <c r="R252" i="1"/>
  <c r="R251" i="1"/>
  <c r="R250" i="1"/>
  <c r="R244" i="1"/>
  <c r="R248" i="1" s="1"/>
  <c r="R242" i="1"/>
  <c r="R243" i="1" s="1"/>
  <c r="R234" i="1"/>
  <c r="R237" i="1" s="1"/>
  <c r="R225" i="1"/>
  <c r="R227" i="1" s="1"/>
  <c r="R222" i="1"/>
  <c r="R224" i="1" s="1"/>
  <c r="R219" i="1"/>
  <c r="R221" i="1" s="1"/>
  <c r="R195" i="1"/>
  <c r="R194" i="1"/>
  <c r="R193" i="1"/>
  <c r="R192" i="1"/>
  <c r="R190" i="1"/>
  <c r="R189" i="1"/>
  <c r="R188" i="1"/>
  <c r="R184" i="1"/>
  <c r="I192" i="1"/>
  <c r="I195" i="1"/>
  <c r="I194" i="1"/>
  <c r="I193" i="1"/>
  <c r="I190" i="1"/>
  <c r="I189" i="1"/>
  <c r="I184" i="1"/>
  <c r="I188" i="1"/>
</calcChain>
</file>

<file path=xl/sharedStrings.xml><?xml version="1.0" encoding="utf-8"?>
<sst xmlns="http://schemas.openxmlformats.org/spreadsheetml/2006/main" count="1483" uniqueCount="217">
  <si>
    <t>Zone</t>
  </si>
  <si>
    <t>Gebäudebezeichnung</t>
  </si>
  <si>
    <t>Gebäudetyp</t>
  </si>
  <si>
    <t>Straße</t>
  </si>
  <si>
    <t>Hausnummer</t>
  </si>
  <si>
    <t>Ort</t>
  </si>
  <si>
    <t>Baujahr</t>
  </si>
  <si>
    <t>Geschossanzahl</t>
  </si>
  <si>
    <t>Aula und Mensa</t>
  </si>
  <si>
    <t>Kita St. Sebastian Pfarrhaus</t>
  </si>
  <si>
    <t>-</t>
  </si>
  <si>
    <t>Kita St. Sebastian Pfarrheim</t>
  </si>
  <si>
    <t>Eltern-Service Büro</t>
  </si>
  <si>
    <t>ICT-Cube 1, Informations- und Kommunikationstechnik</t>
  </si>
  <si>
    <t>ICT-Cube 2, Informations- und Kommunikationstechnik</t>
  </si>
  <si>
    <t>Sammelbau Hauptbau</t>
  </si>
  <si>
    <t>Turnhalle</t>
  </si>
  <si>
    <t>1. Erweiterung</t>
  </si>
  <si>
    <t>Hörsaal an der Mensa</t>
  </si>
  <si>
    <t>2. Erweiterung</t>
  </si>
  <si>
    <t>Neubau Informatik E3</t>
  </si>
  <si>
    <t>A</t>
  </si>
  <si>
    <t>Gebäude-nummer</t>
  </si>
  <si>
    <t>Gebäude-unterteilung</t>
  </si>
  <si>
    <t>B</t>
  </si>
  <si>
    <t>Sporthalle Königshügel</t>
  </si>
  <si>
    <t>C</t>
  </si>
  <si>
    <t>Austellungspavillon Textilbeton</t>
  </si>
  <si>
    <t>Sammelbau Bauingenieurwesen</t>
  </si>
  <si>
    <t>Sammelbau Bauingenieurwesen Hörsäle</t>
  </si>
  <si>
    <t>Sammelbau Bauingenieurwesen Halle Massivbau</t>
  </si>
  <si>
    <t>Sammelbau Bauingenieurwesen Halle Straßenbau</t>
  </si>
  <si>
    <t>Sammelbau Bauingenieurwesen Halle Baumaschinen</t>
  </si>
  <si>
    <t>Sammelbau Bauingenieurwesen Halle Grundbau u. Wasserwirtschaft</t>
  </si>
  <si>
    <t>Massivbau II</t>
  </si>
  <si>
    <t>Zentrales Technikgebäude</t>
  </si>
  <si>
    <t>UMIC Bürogebäude (Ultra highspeed Mobile Information and Communication system)</t>
  </si>
  <si>
    <t>Wasserbauhalle</t>
  </si>
  <si>
    <t>Wasserbau und Wasserwirtschaft</t>
  </si>
  <si>
    <t>Fördertechnik u. Schienenfahrzeuge</t>
  </si>
  <si>
    <t>Fördertechnik u. Schienenfahrzeuge Halle</t>
  </si>
  <si>
    <t>Fördertechnik u. Schienenfahrzeuge Verbindungsbau</t>
  </si>
  <si>
    <t>Institut für Industrieofenbau und Wärmetechnik (IOB) Werkstoffchemie</t>
  </si>
  <si>
    <t>IOB Halle ,Werkstoffchemie</t>
  </si>
  <si>
    <t>Metallkunde und Metallphysik</t>
  </si>
  <si>
    <t>Metallkunde und Metallphysik Praktikum</t>
  </si>
  <si>
    <t>Metallkunde und Metallphysik Werkstattgebäude</t>
  </si>
  <si>
    <t>Rechenzentrum</t>
  </si>
  <si>
    <t>Rechenzentrum Erweiterungsbau</t>
  </si>
  <si>
    <t>Van-de-Graaff-Labor, Metallkunde und Metallphysik</t>
  </si>
  <si>
    <t>ComNets (Communication Networks) Gebäude</t>
  </si>
  <si>
    <t>Verfügungsgebäude BLB</t>
  </si>
  <si>
    <t>D</t>
  </si>
  <si>
    <t>E</t>
  </si>
  <si>
    <t>Chemie</t>
  </si>
  <si>
    <t>Kältezentrale / Autoklavenlabor</t>
  </si>
  <si>
    <t>Chemiepraktikum</t>
  </si>
  <si>
    <t>Anorganische Chemie</t>
  </si>
  <si>
    <t>Organische Chemie</t>
  </si>
  <si>
    <t>Organische Chemie Erweiterungsbau</t>
  </si>
  <si>
    <t>Hörsaalgebäude PPS</t>
  </si>
  <si>
    <t>Physikalische Chemie (Neubau)</t>
  </si>
  <si>
    <t>Nachrichtengeräte u. Datenverarbeitung</t>
  </si>
  <si>
    <t>Villa Monheim Fak. für Elektrotechnik</t>
  </si>
  <si>
    <t>Wohnhaus m. Werkstatt</t>
  </si>
  <si>
    <t>Haus Königshügel, Gästehaus</t>
  </si>
  <si>
    <t>Gästehaus, Terassenhaus</t>
  </si>
  <si>
    <t>Kinderkrippe</t>
  </si>
  <si>
    <t>Elektrische Nachrichtentechnik + Hochfrequenztechnik</t>
  </si>
  <si>
    <t>Kita Königshügel</t>
  </si>
  <si>
    <t>Europagästehaus Haus A</t>
  </si>
  <si>
    <t>Europagästehaus Haus B</t>
  </si>
  <si>
    <t>Europagästehaus Haus C</t>
  </si>
  <si>
    <t>Europagästehaus Haus D</t>
  </si>
  <si>
    <t>Europagästehaus Haus E</t>
  </si>
  <si>
    <t>Bürogebäude</t>
  </si>
  <si>
    <t>Schule</t>
  </si>
  <si>
    <t>Wohngebäude</t>
  </si>
  <si>
    <t>Institut 4</t>
  </si>
  <si>
    <t>Institut 8</t>
  </si>
  <si>
    <t>Institut Allgemein</t>
  </si>
  <si>
    <t>Ingenieurwissenschaften, Informatik, Mathematik</t>
  </si>
  <si>
    <t>Chemie, Physik, Biologie, Pharmazie</t>
  </si>
  <si>
    <t>Institute für Lehre und Forschung</t>
  </si>
  <si>
    <t>Wohnhäuser</t>
  </si>
  <si>
    <t>Berufsbildende Schule</t>
  </si>
  <si>
    <t>Seminargebäude</t>
  </si>
  <si>
    <t>Ahornstraße</t>
  </si>
  <si>
    <t>Kopernikusstraße</t>
  </si>
  <si>
    <t>Seffenter Weg</t>
  </si>
  <si>
    <t>Mies-van-der-Rohe-Straße</t>
  </si>
  <si>
    <t>Mies-van-der-Rohe-Straße, Eckertweg</t>
  </si>
  <si>
    <t>Prof.-Pirlet-Straße</t>
  </si>
  <si>
    <t>Melatener Straße</t>
  </si>
  <si>
    <t>Landoltweg</t>
  </si>
  <si>
    <t>Muffeter Weg</t>
  </si>
  <si>
    <t>Aachen</t>
  </si>
  <si>
    <t>Mit aktueller Auswahl in TEASER</t>
  </si>
  <si>
    <t>nicht definierbar</t>
  </si>
  <si>
    <t>51a</t>
  </si>
  <si>
    <t>9, 16</t>
  </si>
  <si>
    <t>Hochschulsportzentrum (HSZ)_Sportwarte</t>
  </si>
  <si>
    <t>Hochschulsportzentrum (HSZ)_ Seminar- und Arbeitsräume</t>
  </si>
  <si>
    <t>Hochschulsportzentrum (HSZ)_GYM</t>
  </si>
  <si>
    <t>3a</t>
  </si>
  <si>
    <t>23-25</t>
  </si>
  <si>
    <t>Technikumshalle, Institut für Industrieofenbau</t>
  </si>
  <si>
    <t>1a</t>
  </si>
  <si>
    <t>Neubau Sporthalle (HSZ)_Halle</t>
  </si>
  <si>
    <t>Neubau Sporthalle (HSZ)_Vorbau</t>
  </si>
  <si>
    <t>Sporthalle Königshügel_Halle</t>
  </si>
  <si>
    <t>Direkt angrenzende Nachbargebäude</t>
  </si>
  <si>
    <t>Grundriss</t>
  </si>
  <si>
    <t>Dach</t>
  </si>
  <si>
    <t>Dachgauben oder andere Dachaufbauten</t>
  </si>
  <si>
    <t>Keller</t>
  </si>
  <si>
    <t>Bauweise</t>
  </si>
  <si>
    <t>Minimalen Anforderungen_Wohngebäude</t>
  </si>
  <si>
    <t>Minimalen Anforderungen_Nichtwohngebäude</t>
  </si>
  <si>
    <t>Grundrissstruktur</t>
  </si>
  <si>
    <t>Maximalen Anforderungen_Wohngebäude</t>
  </si>
  <si>
    <t>Maximalen Anforderungen_Nichtwohngebäude</t>
  </si>
  <si>
    <t>Fassaden-orientierung</t>
  </si>
  <si>
    <t>Verschattung</t>
  </si>
  <si>
    <t>Fensteraufbau</t>
  </si>
  <si>
    <t>Wandaufbau (Innen)</t>
  </si>
  <si>
    <t>Wandaufbau (Außen)</t>
  </si>
  <si>
    <t>Wandaufbau (Mitte)</t>
  </si>
  <si>
    <t>keins (freistehend)</t>
  </si>
  <si>
    <t>einseitig angebaut</t>
  </si>
  <si>
    <t>beidseitig angebaut</t>
  </si>
  <si>
    <t>kompakt</t>
  </si>
  <si>
    <t>langgestreckt / komplex</t>
  </si>
  <si>
    <t>Flachdach</t>
  </si>
  <si>
    <t>unbeheiztes Dachgeschoss</t>
  </si>
  <si>
    <t>teilweise beheiztes Dachgeschoss</t>
  </si>
  <si>
    <t>beheiztes Dachgeschoss</t>
  </si>
  <si>
    <t>Ja</t>
  </si>
  <si>
    <t>Nein</t>
  </si>
  <si>
    <t>nicht unterkellert</t>
  </si>
  <si>
    <t>unbeheizter Keller</t>
  </si>
  <si>
    <t>teilweise unbeheizter Keller</t>
  </si>
  <si>
    <t>beheizter Keller</t>
  </si>
  <si>
    <t>massiv</t>
  </si>
  <si>
    <t>leicht</t>
  </si>
  <si>
    <t>länglich, 1 Flur</t>
  </si>
  <si>
    <t>länglich, 2 Flure</t>
  </si>
  <si>
    <t>Lochfassade</t>
  </si>
  <si>
    <t>Bandfassade</t>
  </si>
  <si>
    <t>Vollverglasung</t>
  </si>
  <si>
    <t>Nord</t>
  </si>
  <si>
    <t>Nord-West</t>
  </si>
  <si>
    <t>Ost</t>
  </si>
  <si>
    <t>Nord-Ost</t>
  </si>
  <si>
    <t>Süd-Ost</t>
  </si>
  <si>
    <t>Süd</t>
  </si>
  <si>
    <t>Süd-West</t>
  </si>
  <si>
    <t>West</t>
  </si>
  <si>
    <t>Geschosshöhe [m]</t>
  </si>
  <si>
    <t>Fassadenfläche [m²]</t>
  </si>
  <si>
    <t>Wandstärke [m]</t>
  </si>
  <si>
    <t>bis 1979 Holzfenster, einfach</t>
  </si>
  <si>
    <t>bis 1979 Holzfenster, zweifach</t>
  </si>
  <si>
    <t>bis 1979 Kunststofffenster, Isolierverglasung</t>
  </si>
  <si>
    <t>bis 1979 Alu- oder Stahfenster, Isolierverglasung</t>
  </si>
  <si>
    <t>1979-1983 Holzfenster, zweifach</t>
  </si>
  <si>
    <t>1979-1983 Kunststofffenster, Isolierverglasung</t>
  </si>
  <si>
    <t>1979-1983 Alu- oder Stahfenster, Isolierverglasung</t>
  </si>
  <si>
    <t>1984-1994 Holzfenster, zweifach</t>
  </si>
  <si>
    <t>1984-1994 Kunststofffenster, Isolierverglasung</t>
  </si>
  <si>
    <t>1984-1994 Alu- oder Stahfenster, Isolierverglasung</t>
  </si>
  <si>
    <t>ab 1995 Holzfenster, zweifach</t>
  </si>
  <si>
    <t>ab 1995 Kunststofffenster, Isolierverglasung</t>
  </si>
  <si>
    <t>ab 1995 Alu- oder Stahfenster, Isolierverglasung</t>
  </si>
  <si>
    <t>ab 1995 Alu- oder Stahfenster, Wärmeschutzverglasung</t>
  </si>
  <si>
    <t>ab 1995 Wärmeschutzverglasung, dreifach</t>
  </si>
  <si>
    <t>Fassadenlänge [m]</t>
  </si>
  <si>
    <t>Fassadenhöhe [m]</t>
  </si>
  <si>
    <t>Postleitzahl</t>
  </si>
  <si>
    <t>Fensterorientierung</t>
  </si>
  <si>
    <t>Einzelne Fensterfläche [m²]</t>
  </si>
  <si>
    <t>Gesamte Fensterfläche [m²]</t>
  </si>
  <si>
    <t>Fensteranzahl</t>
  </si>
  <si>
    <t>Fensterflächenanteil</t>
  </si>
  <si>
    <t>keine Verschattung</t>
  </si>
  <si>
    <t>Markiese außen, weiß</t>
  </si>
  <si>
    <t>Außenjalousie, grau</t>
  </si>
  <si>
    <t>Außenjalousie, weiß</t>
  </si>
  <si>
    <t>Markiese außen, grau</t>
  </si>
  <si>
    <t>Innenjalousie, weiß</t>
  </si>
  <si>
    <t>Innenjalousie, grau</t>
  </si>
  <si>
    <t>Textilrollo innen, weiß</t>
  </si>
  <si>
    <t>Textilrollo innen, grau</t>
  </si>
  <si>
    <t>a</t>
  </si>
  <si>
    <t>Fassadenbezeichnung</t>
  </si>
  <si>
    <t>b</t>
  </si>
  <si>
    <t>c</t>
  </si>
  <si>
    <t>d</t>
  </si>
  <si>
    <t>e</t>
  </si>
  <si>
    <t>f</t>
  </si>
  <si>
    <t>g</t>
  </si>
  <si>
    <t>Gesamt  -Nettofläche [m²]</t>
  </si>
  <si>
    <t>Nettofläche pro Gebäudeteil [m²]</t>
  </si>
  <si>
    <t>Keine Wand, umlaufende Verglasung</t>
  </si>
  <si>
    <t>Fensterfläche = Fassadenfläche</t>
  </si>
  <si>
    <t>Gesamt Nettofläche [m²]</t>
  </si>
  <si>
    <t>Mineralwolle, 12 cm</t>
  </si>
  <si>
    <t>Aluminiumblende, 6 cm</t>
  </si>
  <si>
    <t>Innenputz, 1cm</t>
  </si>
  <si>
    <t>Betonstein, 11,5 cm</t>
  </si>
  <si>
    <t>Kunststofffenster, 2 fach Isolierverglasung</t>
  </si>
  <si>
    <t>Summe</t>
  </si>
  <si>
    <t>Klinker, beige</t>
  </si>
  <si>
    <t>Sammelbau Bauingenieurwesen Halle E - Baumaschinen</t>
  </si>
  <si>
    <t>Klinker, rot-braun</t>
  </si>
  <si>
    <t>Fassadensteinplatte beige</t>
  </si>
  <si>
    <t>Fassadensteinplatte 
(schwarz, Kiesel)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</si>
</sst>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FF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173"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10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2" fontId="0" fillId="0" borderId="0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2" fontId="0" fillId="4" borderId="1" xfId="0" applyNumberFormat="1" applyFill="1" applyBorder="1" applyAlignment="1">
      <alignment vertical="center"/>
    </xf>
    <xf numFmtId="2" fontId="0" fillId="0" borderId="1" xfId="0" applyNumberFormat="1" applyFill="1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0" borderId="10" xfId="0" applyFill="1" applyBorder="1" applyAlignment="1">
      <alignment vertical="center" wrapText="1"/>
    </xf>
    <xf numFmtId="0" fontId="0" fillId="4" borderId="10" xfId="0" applyFill="1" applyBorder="1" applyAlignment="1">
      <alignment vertical="center"/>
    </xf>
    <xf numFmtId="0" fontId="0" fillId="0" borderId="3" xfId="0" applyFill="1" applyBorder="1" applyAlignment="1">
      <alignment horizontal="right" vertical="center"/>
    </xf>
    <xf numFmtId="0" fontId="0" fillId="0" borderId="3" xfId="0" applyFill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8" xfId="0" applyFill="1" applyBorder="1" applyAlignment="1">
      <alignment horizontal="right" vertical="center"/>
    </xf>
    <xf numFmtId="0" fontId="0" fillId="0" borderId="8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2" fontId="0" fillId="4" borderId="8" xfId="0" applyNumberForma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right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2" fillId="2" borderId="1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vertical="center"/>
    </xf>
    <xf numFmtId="2" fontId="1" fillId="4" borderId="1" xfId="0" applyNumberFormat="1" applyFon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3" fillId="0" borderId="20" xfId="0" applyFont="1" applyFill="1" applyBorder="1" applyAlignment="1">
      <alignment vertical="center"/>
    </xf>
    <xf numFmtId="0" fontId="3" fillId="0" borderId="8" xfId="0" applyFont="1" applyFill="1" applyBorder="1" applyAlignment="1">
      <alignment horizontal="left" vertical="center" wrapText="1"/>
    </xf>
    <xf numFmtId="0" fontId="0" fillId="0" borderId="21" xfId="0" applyFill="1" applyBorder="1" applyAlignment="1">
      <alignment vertical="center"/>
    </xf>
    <xf numFmtId="0" fontId="2" fillId="2" borderId="1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2" borderId="1" xfId="0" quotePrefix="1" applyFill="1" applyBorder="1" applyAlignment="1">
      <alignment vertical="center" wrapText="1"/>
    </xf>
    <xf numFmtId="2" fontId="0" fillId="2" borderId="1" xfId="0" applyNumberForma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/>
    </xf>
    <xf numFmtId="2" fontId="0" fillId="0" borderId="8" xfId="0" applyNumberForma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2" fontId="0" fillId="0" borderId="3" xfId="0" applyNumberFormat="1" applyFill="1" applyBorder="1" applyAlignment="1">
      <alignment vertical="center" wrapText="1"/>
    </xf>
    <xf numFmtId="2" fontId="0" fillId="0" borderId="1" xfId="0" applyNumberFormat="1" applyFill="1" applyBorder="1" applyAlignment="1">
      <alignment vertical="center" wrapText="1"/>
    </xf>
    <xf numFmtId="2" fontId="0" fillId="0" borderId="8" xfId="0" applyNumberFormat="1" applyFill="1" applyBorder="1" applyAlignment="1">
      <alignment vertical="center" wrapText="1"/>
    </xf>
    <xf numFmtId="0" fontId="0" fillId="4" borderId="3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2" fillId="0" borderId="22" xfId="0" applyFont="1" applyBorder="1" applyAlignment="1">
      <alignment vertical="center"/>
    </xf>
    <xf numFmtId="0" fontId="0" fillId="0" borderId="22" xfId="0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0" fillId="0" borderId="3" xfId="0" applyBorder="1" applyAlignment="1">
      <alignment vertical="center"/>
    </xf>
    <xf numFmtId="2" fontId="0" fillId="0" borderId="3" xfId="0" applyNumberFormat="1" applyBorder="1" applyAlignment="1">
      <alignment vertical="center"/>
    </xf>
    <xf numFmtId="2" fontId="0" fillId="0" borderId="10" xfId="0" applyNumberFormat="1" applyFill="1" applyBorder="1" applyAlignment="1">
      <alignment vertical="center"/>
    </xf>
    <xf numFmtId="2" fontId="0" fillId="0" borderId="26" xfId="0" applyNumberFormat="1" applyFill="1" applyBorder="1" applyAlignment="1">
      <alignment vertical="center" wrapText="1"/>
    </xf>
    <xf numFmtId="0" fontId="0" fillId="4" borderId="4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2" fontId="0" fillId="4" borderId="3" xfId="0" applyNumberFormat="1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3" fillId="0" borderId="12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2" fontId="0" fillId="2" borderId="1" xfId="0" applyNumberForma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/>
    </xf>
    <xf numFmtId="2" fontId="2" fillId="2" borderId="1" xfId="0" applyNumberFormat="1" applyFont="1" applyFill="1" applyBorder="1" applyAlignment="1">
      <alignment vertical="center"/>
    </xf>
    <xf numFmtId="0" fontId="2" fillId="2" borderId="29" xfId="0" applyFont="1" applyFill="1" applyBorder="1" applyAlignment="1">
      <alignment horizontal="left" vertical="center" wrapText="1"/>
    </xf>
    <xf numFmtId="0" fontId="2" fillId="2" borderId="25" xfId="0" applyFont="1" applyFill="1" applyBorder="1" applyAlignment="1">
      <alignment horizontal="left" vertical="center" wrapText="1"/>
    </xf>
    <xf numFmtId="0" fontId="2" fillId="2" borderId="25" xfId="0" applyFont="1" applyFill="1" applyBorder="1" applyAlignment="1">
      <alignment vertical="center" wrapText="1"/>
    </xf>
    <xf numFmtId="0" fontId="2" fillId="2" borderId="25" xfId="0" applyFont="1" applyFill="1" applyBorder="1" applyAlignment="1">
      <alignment vertical="center"/>
    </xf>
    <xf numFmtId="0" fontId="2" fillId="2" borderId="3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0" fillId="2" borderId="8" xfId="0" applyFill="1" applyBorder="1" applyAlignment="1">
      <alignment horizontal="right" vertical="center"/>
    </xf>
    <xf numFmtId="0" fontId="0" fillId="2" borderId="8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2" fontId="0" fillId="2" borderId="8" xfId="0" applyNumberFormat="1" applyFill="1" applyBorder="1" applyAlignment="1">
      <alignment vertical="center" wrapText="1"/>
    </xf>
    <xf numFmtId="0" fontId="0" fillId="2" borderId="8" xfId="0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 vertical="center"/>
    </xf>
    <xf numFmtId="2" fontId="2" fillId="2" borderId="8" xfId="0" applyNumberFormat="1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0" fontId="0" fillId="0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quotePrefix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 wrapText="1"/>
    </xf>
    <xf numFmtId="2" fontId="0" fillId="0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0" fillId="4" borderId="1" xfId="0" quotePrefix="1" applyFill="1" applyBorder="1" applyAlignment="1">
      <alignment horizontal="left" vertical="center" wrapText="1"/>
    </xf>
    <xf numFmtId="0" fontId="0" fillId="0" borderId="3" xfId="0" applyFill="1" applyBorder="1" applyAlignment="1">
      <alignment horizontal="right" vertical="center"/>
    </xf>
    <xf numFmtId="2" fontId="0" fillId="0" borderId="3" xfId="0" applyNumberFormat="1" applyFill="1" applyBorder="1" applyAlignment="1">
      <alignment horizontal="right" vertical="center"/>
    </xf>
    <xf numFmtId="0" fontId="0" fillId="0" borderId="3" xfId="0" quotePrefix="1" applyFill="1" applyBorder="1" applyAlignment="1">
      <alignment horizontal="left" vertical="center" wrapText="1"/>
    </xf>
    <xf numFmtId="0" fontId="0" fillId="4" borderId="3" xfId="0" quotePrefix="1" applyFill="1" applyBorder="1" applyAlignment="1">
      <alignment horizontal="left" vertical="center" wrapText="1"/>
    </xf>
    <xf numFmtId="0" fontId="0" fillId="4" borderId="3" xfId="0" applyFill="1" applyBorder="1" applyAlignment="1">
      <alignment horizontal="right" vertical="center"/>
    </xf>
    <xf numFmtId="0" fontId="3" fillId="8" borderId="5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 wrapText="1"/>
    </xf>
    <xf numFmtId="0" fontId="3" fillId="7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1" xfId="0" applyNumberFormat="1" applyFill="1" applyBorder="1" applyAlignment="1">
      <alignment horizontal="right" vertical="center" wrapText="1"/>
    </xf>
    <xf numFmtId="0" fontId="0" fillId="4" borderId="6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right" vertical="center" wrapText="1"/>
    </xf>
    <xf numFmtId="2" fontId="0" fillId="0" borderId="24" xfId="0" applyNumberFormat="1" applyFill="1" applyBorder="1" applyAlignment="1">
      <alignment horizontal="right" vertical="center"/>
    </xf>
    <xf numFmtId="2" fontId="0" fillId="0" borderId="25" xfId="0" applyNumberFormat="1" applyFill="1" applyBorder="1" applyAlignment="1">
      <alignment horizontal="right" vertical="center"/>
    </xf>
    <xf numFmtId="2" fontId="0" fillId="0" borderId="10" xfId="0" applyNumberFormat="1" applyFill="1" applyBorder="1" applyAlignment="1">
      <alignment horizontal="right" vertical="center"/>
    </xf>
    <xf numFmtId="2" fontId="0" fillId="0" borderId="26" xfId="0" applyNumberFormat="1" applyFill="1" applyBorder="1" applyAlignment="1">
      <alignment horizontal="right" vertical="center"/>
    </xf>
    <xf numFmtId="2" fontId="0" fillId="0" borderId="14" xfId="0" applyNumberFormat="1" applyFill="1" applyBorder="1" applyAlignment="1">
      <alignment horizontal="right" vertical="center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35"/>
  <sheetViews>
    <sheetView tabSelected="1" topLeftCell="A145" zoomScale="73" zoomScaleNormal="73" workbookViewId="0">
      <selection activeCell="B158" sqref="B158"/>
    </sheetView>
  </sheetViews>
  <sheetFormatPr baseColWidth="10" defaultRowHeight="15" x14ac:dyDescent="0.25"/>
  <cols>
    <col min="1" max="1" width="7.42578125" style="3" bestFit="1" customWidth="1"/>
    <col min="2" max="2" width="13.140625" style="1" customWidth="1"/>
    <col min="3" max="3" width="15.42578125" style="1" bestFit="1" customWidth="1"/>
    <col min="4" max="4" width="55.28515625" style="14" customWidth="1"/>
    <col min="5" max="5" width="27.85546875" style="2" customWidth="1"/>
    <col min="6" max="6" width="21.5703125" style="14" bestFit="1" customWidth="1"/>
    <col min="7" max="7" width="23.140625" style="1" customWidth="1"/>
    <col min="8" max="8" width="22.5703125" style="2" customWidth="1"/>
    <col min="9" max="9" width="24.85546875" style="2" bestFit="1" customWidth="1"/>
    <col min="10" max="10" width="18.85546875" style="1" bestFit="1" customWidth="1"/>
    <col min="11" max="11" width="24.85546875" style="2" customWidth="1"/>
    <col min="12" max="12" width="22.85546875" style="2" customWidth="1"/>
    <col min="13" max="13" width="34.28515625" style="2" customWidth="1"/>
    <col min="14" max="14" width="31.140625" style="2" customWidth="1"/>
    <col min="15" max="15" width="24.28515625" style="2" bestFit="1" customWidth="1"/>
    <col min="16" max="16" width="25.28515625" style="2" bestFit="1" customWidth="1"/>
    <col min="17" max="17" width="28.140625" style="2" bestFit="1" customWidth="1"/>
    <col min="18" max="18" width="33.42578125" style="2" bestFit="1" customWidth="1"/>
    <col min="19" max="19" width="54.85546875" style="2" bestFit="1" customWidth="1"/>
    <col min="20" max="20" width="21.7109375" style="2" customWidth="1"/>
    <col min="21" max="21" width="21.42578125" style="2" bestFit="1" customWidth="1"/>
    <col min="22" max="16384" width="11.42578125" style="2"/>
  </cols>
  <sheetData>
    <row r="1" spans="1:63" s="4" customFormat="1" ht="30" customHeight="1" thickBot="1" x14ac:dyDescent="0.3">
      <c r="A1" s="159" t="s">
        <v>117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1"/>
      <c r="U1" s="7"/>
    </row>
    <row r="2" spans="1:63" s="25" customFormat="1" ht="30" customHeight="1" thickBot="1" x14ac:dyDescent="0.3">
      <c r="A2" s="47" t="s">
        <v>0</v>
      </c>
      <c r="B2" s="48" t="s">
        <v>22</v>
      </c>
      <c r="C2" s="48" t="s">
        <v>23</v>
      </c>
      <c r="D2" s="48" t="s">
        <v>1</v>
      </c>
      <c r="E2" s="48" t="s">
        <v>2</v>
      </c>
      <c r="F2" s="48" t="s">
        <v>3</v>
      </c>
      <c r="G2" s="48" t="s">
        <v>4</v>
      </c>
      <c r="H2" s="48" t="s">
        <v>178</v>
      </c>
      <c r="I2" s="48" t="s">
        <v>5</v>
      </c>
      <c r="J2" s="48" t="s">
        <v>6</v>
      </c>
      <c r="K2" s="48" t="s">
        <v>7</v>
      </c>
      <c r="L2" s="48" t="s">
        <v>158</v>
      </c>
      <c r="M2" s="48" t="s">
        <v>202</v>
      </c>
      <c r="N2" s="48" t="s">
        <v>205</v>
      </c>
      <c r="O2" s="48" t="s">
        <v>111</v>
      </c>
      <c r="P2" s="48" t="s">
        <v>112</v>
      </c>
      <c r="Q2" s="48" t="s">
        <v>113</v>
      </c>
      <c r="R2" s="48" t="s">
        <v>114</v>
      </c>
      <c r="S2" s="48" t="s">
        <v>115</v>
      </c>
      <c r="T2" s="49" t="s">
        <v>116</v>
      </c>
      <c r="U2" s="24"/>
      <c r="V2" s="24"/>
      <c r="X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</row>
    <row r="3" spans="1:63" s="7" customFormat="1" ht="30" customHeight="1" x14ac:dyDescent="0.25">
      <c r="A3" s="57" t="s">
        <v>21</v>
      </c>
      <c r="B3" s="33">
        <v>2226</v>
      </c>
      <c r="C3" s="33">
        <v>1</v>
      </c>
      <c r="D3" s="34" t="s">
        <v>9</v>
      </c>
      <c r="E3" s="35" t="s">
        <v>77</v>
      </c>
      <c r="F3" s="34" t="s">
        <v>87</v>
      </c>
      <c r="G3" s="33">
        <v>51</v>
      </c>
      <c r="H3" s="35">
        <v>52074</v>
      </c>
      <c r="I3" s="35" t="s">
        <v>96</v>
      </c>
      <c r="J3" s="33" t="s">
        <v>10</v>
      </c>
      <c r="K3" s="35">
        <v>2</v>
      </c>
      <c r="L3" s="36"/>
      <c r="M3" s="73">
        <v>182.06</v>
      </c>
      <c r="N3" s="171">
        <v>356.52</v>
      </c>
      <c r="O3" s="35" t="s">
        <v>129</v>
      </c>
      <c r="P3" s="35" t="s">
        <v>131</v>
      </c>
      <c r="Q3" s="35" t="s">
        <v>136</v>
      </c>
      <c r="R3" s="35" t="s">
        <v>138</v>
      </c>
      <c r="S3" s="35" t="s">
        <v>142</v>
      </c>
      <c r="T3" s="37" t="s">
        <v>143</v>
      </c>
    </row>
    <row r="4" spans="1:63" s="7" customFormat="1" ht="30" customHeight="1" x14ac:dyDescent="0.25">
      <c r="A4" s="58" t="s">
        <v>21</v>
      </c>
      <c r="B4" s="10">
        <v>2226</v>
      </c>
      <c r="C4" s="10">
        <v>2</v>
      </c>
      <c r="D4" s="13" t="s">
        <v>9</v>
      </c>
      <c r="E4" s="9" t="s">
        <v>77</v>
      </c>
      <c r="F4" s="13" t="s">
        <v>87</v>
      </c>
      <c r="G4" s="10">
        <v>51</v>
      </c>
      <c r="H4" s="9">
        <v>52074</v>
      </c>
      <c r="I4" s="9" t="s">
        <v>96</v>
      </c>
      <c r="J4" s="10" t="s">
        <v>10</v>
      </c>
      <c r="K4" s="9">
        <v>1</v>
      </c>
      <c r="L4" s="27"/>
      <c r="M4" s="29">
        <v>174.47</v>
      </c>
      <c r="N4" s="170"/>
      <c r="O4" s="9" t="s">
        <v>129</v>
      </c>
      <c r="P4" s="9" t="s">
        <v>132</v>
      </c>
      <c r="Q4" s="9" t="s">
        <v>133</v>
      </c>
      <c r="R4" s="9" t="s">
        <v>138</v>
      </c>
      <c r="S4" s="9" t="s">
        <v>139</v>
      </c>
      <c r="T4" s="52" t="s">
        <v>144</v>
      </c>
    </row>
    <row r="5" spans="1:63" s="7" customFormat="1" ht="9.9499999999999993" customHeight="1" x14ac:dyDescent="0.25">
      <c r="A5" s="59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3"/>
    </row>
    <row r="6" spans="1:63" s="7" customFormat="1" ht="30" customHeight="1" x14ac:dyDescent="0.25">
      <c r="A6" s="58" t="s">
        <v>21</v>
      </c>
      <c r="B6" s="10">
        <v>2227</v>
      </c>
      <c r="C6" s="10" t="s">
        <v>10</v>
      </c>
      <c r="D6" s="13" t="s">
        <v>11</v>
      </c>
      <c r="E6" s="9" t="s">
        <v>77</v>
      </c>
      <c r="F6" s="13" t="s">
        <v>87</v>
      </c>
      <c r="G6" s="10" t="s">
        <v>99</v>
      </c>
      <c r="H6" s="9">
        <v>52074</v>
      </c>
      <c r="I6" s="9" t="s">
        <v>96</v>
      </c>
      <c r="J6" s="10" t="s">
        <v>10</v>
      </c>
      <c r="K6" s="9">
        <v>1</v>
      </c>
      <c r="L6" s="27"/>
      <c r="M6" s="29">
        <v>259.81</v>
      </c>
      <c r="N6" s="29">
        <f>50.32+133.26+76.23</f>
        <v>259.81</v>
      </c>
      <c r="O6" s="9" t="s">
        <v>128</v>
      </c>
      <c r="P6" s="9" t="s">
        <v>132</v>
      </c>
      <c r="Q6" s="9" t="s">
        <v>134</v>
      </c>
      <c r="R6" s="9" t="s">
        <v>138</v>
      </c>
      <c r="S6" s="9" t="s">
        <v>142</v>
      </c>
      <c r="T6" s="52" t="s">
        <v>143</v>
      </c>
    </row>
    <row r="7" spans="1:63" s="7" customFormat="1" ht="9.9499999999999993" customHeight="1" x14ac:dyDescent="0.25">
      <c r="A7" s="5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3"/>
    </row>
    <row r="8" spans="1:63" s="4" customFormat="1" ht="30" customHeight="1" x14ac:dyDescent="0.25">
      <c r="A8" s="60" t="s">
        <v>53</v>
      </c>
      <c r="B8" s="16">
        <v>2041</v>
      </c>
      <c r="C8" s="16" t="s">
        <v>10</v>
      </c>
      <c r="D8" s="15" t="s">
        <v>63</v>
      </c>
      <c r="E8" s="17" t="s">
        <v>77</v>
      </c>
      <c r="F8" s="15" t="s">
        <v>95</v>
      </c>
      <c r="G8" s="16">
        <v>3</v>
      </c>
      <c r="H8" s="17">
        <v>52072</v>
      </c>
      <c r="I8" s="9" t="s">
        <v>96</v>
      </c>
      <c r="J8" s="16">
        <v>1873</v>
      </c>
      <c r="K8" s="17">
        <v>3</v>
      </c>
      <c r="L8" s="27"/>
      <c r="M8" s="28"/>
      <c r="N8" s="28"/>
      <c r="O8" s="17" t="s">
        <v>128</v>
      </c>
      <c r="P8" s="17" t="s">
        <v>131</v>
      </c>
      <c r="Q8" s="17" t="s">
        <v>136</v>
      </c>
      <c r="R8" s="17" t="s">
        <v>137</v>
      </c>
      <c r="S8" s="27"/>
      <c r="T8" s="42" t="s">
        <v>143</v>
      </c>
    </row>
    <row r="9" spans="1:63" s="7" customFormat="1" ht="9.9499999999999993" customHeight="1" x14ac:dyDescent="0.25">
      <c r="A9" s="59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3"/>
    </row>
    <row r="10" spans="1:63" s="4" customFormat="1" ht="30" customHeight="1" x14ac:dyDescent="0.25">
      <c r="A10" s="60" t="s">
        <v>53</v>
      </c>
      <c r="B10" s="16">
        <v>2043</v>
      </c>
      <c r="C10" s="16" t="s">
        <v>10</v>
      </c>
      <c r="D10" s="15" t="s">
        <v>64</v>
      </c>
      <c r="E10" s="17" t="s">
        <v>77</v>
      </c>
      <c r="F10" s="15" t="s">
        <v>95</v>
      </c>
      <c r="G10" s="16">
        <v>5</v>
      </c>
      <c r="H10" s="17">
        <v>52072</v>
      </c>
      <c r="I10" s="9" t="s">
        <v>96</v>
      </c>
      <c r="J10" s="16">
        <v>1950</v>
      </c>
      <c r="K10" s="17">
        <v>2</v>
      </c>
      <c r="L10" s="27"/>
      <c r="M10" s="29">
        <v>200.34</v>
      </c>
      <c r="N10" s="29">
        <f>M10</f>
        <v>200.34</v>
      </c>
      <c r="O10" s="17" t="s">
        <v>128</v>
      </c>
      <c r="P10" s="17" t="s">
        <v>131</v>
      </c>
      <c r="Q10" s="17" t="s">
        <v>134</v>
      </c>
      <c r="R10" s="17" t="s">
        <v>138</v>
      </c>
      <c r="S10" s="17" t="s">
        <v>139</v>
      </c>
      <c r="T10" s="42" t="s">
        <v>143</v>
      </c>
    </row>
    <row r="11" spans="1:63" s="7" customFormat="1" ht="9.9499999999999993" customHeight="1" x14ac:dyDescent="0.25">
      <c r="A11" s="5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3"/>
    </row>
    <row r="12" spans="1:63" s="4" customFormat="1" ht="30" customHeight="1" x14ac:dyDescent="0.25">
      <c r="A12" s="60" t="s">
        <v>53</v>
      </c>
      <c r="B12" s="20">
        <v>2060</v>
      </c>
      <c r="C12" s="20" t="s">
        <v>10</v>
      </c>
      <c r="D12" s="21" t="s">
        <v>65</v>
      </c>
      <c r="E12" s="19" t="s">
        <v>77</v>
      </c>
      <c r="F12" s="21" t="s">
        <v>93</v>
      </c>
      <c r="G12" s="20">
        <v>31</v>
      </c>
      <c r="H12" s="19">
        <v>52072</v>
      </c>
      <c r="I12" s="19" t="s">
        <v>96</v>
      </c>
      <c r="J12" s="20">
        <v>1914</v>
      </c>
      <c r="K12" s="19">
        <v>2</v>
      </c>
      <c r="L12" s="27"/>
      <c r="M12" s="67">
        <v>1678.24</v>
      </c>
      <c r="N12" s="67">
        <f>M12</f>
        <v>1678.24</v>
      </c>
      <c r="O12" s="19" t="s">
        <v>128</v>
      </c>
      <c r="P12" s="19" t="s">
        <v>132</v>
      </c>
      <c r="Q12" s="19" t="s">
        <v>136</v>
      </c>
      <c r="R12" s="19" t="s">
        <v>137</v>
      </c>
      <c r="S12" s="19" t="s">
        <v>140</v>
      </c>
      <c r="T12" s="68" t="s">
        <v>143</v>
      </c>
    </row>
    <row r="13" spans="1:63" s="7" customFormat="1" ht="9.9499999999999993" customHeight="1" x14ac:dyDescent="0.25">
      <c r="A13" s="59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3"/>
    </row>
    <row r="14" spans="1:63" s="4" customFormat="1" ht="30" customHeight="1" x14ac:dyDescent="0.25">
      <c r="A14" s="60" t="s">
        <v>53</v>
      </c>
      <c r="B14" s="16">
        <v>2070</v>
      </c>
      <c r="C14" s="16" t="s">
        <v>10</v>
      </c>
      <c r="D14" s="15" t="s">
        <v>66</v>
      </c>
      <c r="E14" s="17" t="s">
        <v>77</v>
      </c>
      <c r="F14" s="15" t="s">
        <v>93</v>
      </c>
      <c r="G14" s="16">
        <v>33</v>
      </c>
      <c r="H14" s="17">
        <v>52072</v>
      </c>
      <c r="I14" s="9" t="s">
        <v>96</v>
      </c>
      <c r="J14" s="16">
        <v>1967</v>
      </c>
      <c r="K14" s="17">
        <v>5</v>
      </c>
      <c r="L14" s="27"/>
      <c r="M14" s="29">
        <v>1103.6300000000001</v>
      </c>
      <c r="N14" s="29">
        <f>M14</f>
        <v>1103.6300000000001</v>
      </c>
      <c r="O14" s="17" t="s">
        <v>128</v>
      </c>
      <c r="P14" s="17" t="s">
        <v>132</v>
      </c>
      <c r="Q14" s="17" t="s">
        <v>133</v>
      </c>
      <c r="R14" s="17" t="s">
        <v>138</v>
      </c>
      <c r="S14" s="17" t="s">
        <v>139</v>
      </c>
      <c r="T14" s="42" t="s">
        <v>143</v>
      </c>
    </row>
    <row r="15" spans="1:63" s="7" customFormat="1" ht="9.9499999999999993" customHeight="1" x14ac:dyDescent="0.25">
      <c r="A15" s="5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3"/>
    </row>
    <row r="16" spans="1:63" s="4" customFormat="1" ht="30" customHeight="1" x14ac:dyDescent="0.25">
      <c r="A16" s="60" t="s">
        <v>53</v>
      </c>
      <c r="B16" s="16">
        <v>2080</v>
      </c>
      <c r="C16" s="16">
        <v>1</v>
      </c>
      <c r="D16" s="15" t="s">
        <v>67</v>
      </c>
      <c r="E16" s="17" t="s">
        <v>77</v>
      </c>
      <c r="F16" s="15" t="s">
        <v>93</v>
      </c>
      <c r="G16" s="16">
        <v>39</v>
      </c>
      <c r="H16" s="17">
        <v>52072</v>
      </c>
      <c r="I16" s="9" t="s">
        <v>96</v>
      </c>
      <c r="J16" s="16">
        <v>1914</v>
      </c>
      <c r="K16" s="17">
        <v>2</v>
      </c>
      <c r="L16" s="27"/>
      <c r="M16" s="29">
        <v>118.88</v>
      </c>
      <c r="N16" s="168">
        <f>308.91</f>
        <v>308.91000000000003</v>
      </c>
      <c r="O16" s="17" t="s">
        <v>129</v>
      </c>
      <c r="P16" s="17" t="s">
        <v>131</v>
      </c>
      <c r="Q16" s="17" t="s">
        <v>136</v>
      </c>
      <c r="R16" s="17" t="s">
        <v>137</v>
      </c>
      <c r="S16" s="17" t="s">
        <v>139</v>
      </c>
      <c r="T16" s="42" t="s">
        <v>143</v>
      </c>
    </row>
    <row r="17" spans="1:20" s="4" customFormat="1" ht="30" customHeight="1" x14ac:dyDescent="0.25">
      <c r="A17" s="60" t="s">
        <v>53</v>
      </c>
      <c r="B17" s="16">
        <v>2080</v>
      </c>
      <c r="C17" s="16">
        <v>2</v>
      </c>
      <c r="D17" s="15" t="s">
        <v>67</v>
      </c>
      <c r="E17" s="17" t="s">
        <v>77</v>
      </c>
      <c r="F17" s="15" t="s">
        <v>93</v>
      </c>
      <c r="G17" s="16">
        <v>39</v>
      </c>
      <c r="H17" s="17">
        <v>52072</v>
      </c>
      <c r="I17" s="9" t="s">
        <v>96</v>
      </c>
      <c r="J17" s="16">
        <v>1914</v>
      </c>
      <c r="K17" s="17">
        <v>1</v>
      </c>
      <c r="L17" s="27"/>
      <c r="M17" s="29">
        <v>190.03</v>
      </c>
      <c r="N17" s="170"/>
      <c r="O17" s="17" t="s">
        <v>129</v>
      </c>
      <c r="P17" s="17" t="s">
        <v>132</v>
      </c>
      <c r="Q17" s="17" t="s">
        <v>134</v>
      </c>
      <c r="R17" s="17" t="s">
        <v>138</v>
      </c>
      <c r="S17" s="17" t="s">
        <v>139</v>
      </c>
      <c r="T17" s="42" t="s">
        <v>143</v>
      </c>
    </row>
    <row r="18" spans="1:20" s="7" customFormat="1" ht="9.9499999999999993" customHeight="1" x14ac:dyDescent="0.25">
      <c r="A18" s="5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3"/>
    </row>
    <row r="19" spans="1:20" s="4" customFormat="1" ht="30" customHeight="1" x14ac:dyDescent="0.25">
      <c r="A19" s="60" t="s">
        <v>53</v>
      </c>
      <c r="B19" s="16">
        <v>2105</v>
      </c>
      <c r="C19" s="16">
        <v>1</v>
      </c>
      <c r="D19" s="15" t="s">
        <v>69</v>
      </c>
      <c r="E19" s="17" t="s">
        <v>77</v>
      </c>
      <c r="F19" s="15" t="s">
        <v>93</v>
      </c>
      <c r="G19" s="16">
        <v>30</v>
      </c>
      <c r="H19" s="9">
        <v>52074</v>
      </c>
      <c r="I19" s="9" t="s">
        <v>96</v>
      </c>
      <c r="J19" s="16">
        <v>2011</v>
      </c>
      <c r="K19" s="17">
        <v>1</v>
      </c>
      <c r="L19" s="29">
        <v>3.6</v>
      </c>
      <c r="M19" s="28"/>
      <c r="N19" s="168">
        <v>538.75</v>
      </c>
      <c r="O19" s="17" t="s">
        <v>130</v>
      </c>
      <c r="P19" s="17" t="s">
        <v>132</v>
      </c>
      <c r="Q19" s="17" t="s">
        <v>133</v>
      </c>
      <c r="R19" s="17" t="s">
        <v>138</v>
      </c>
      <c r="S19" s="17" t="s">
        <v>139</v>
      </c>
      <c r="T19" s="42" t="s">
        <v>143</v>
      </c>
    </row>
    <row r="20" spans="1:20" s="4" customFormat="1" ht="30" customHeight="1" x14ac:dyDescent="0.25">
      <c r="A20" s="60" t="s">
        <v>53</v>
      </c>
      <c r="B20" s="16">
        <v>2105</v>
      </c>
      <c r="C20" s="16">
        <v>2</v>
      </c>
      <c r="D20" s="15" t="s">
        <v>69</v>
      </c>
      <c r="E20" s="17" t="s">
        <v>77</v>
      </c>
      <c r="F20" s="15" t="s">
        <v>93</v>
      </c>
      <c r="G20" s="16">
        <v>30</v>
      </c>
      <c r="H20" s="9">
        <v>52074</v>
      </c>
      <c r="I20" s="9" t="s">
        <v>96</v>
      </c>
      <c r="J20" s="16">
        <v>2011</v>
      </c>
      <c r="K20" s="17">
        <v>2</v>
      </c>
      <c r="L20" s="29">
        <v>3.6</v>
      </c>
      <c r="M20" s="28"/>
      <c r="N20" s="170"/>
      <c r="O20" s="17" t="s">
        <v>130</v>
      </c>
      <c r="P20" s="17" t="s">
        <v>131</v>
      </c>
      <c r="Q20" s="17" t="s">
        <v>133</v>
      </c>
      <c r="R20" s="17" t="s">
        <v>138</v>
      </c>
      <c r="S20" s="17" t="s">
        <v>139</v>
      </c>
      <c r="T20" s="42" t="s">
        <v>143</v>
      </c>
    </row>
    <row r="21" spans="1:20" s="7" customFormat="1" ht="9.9499999999999993" customHeight="1" x14ac:dyDescent="0.25">
      <c r="A21" s="59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3"/>
    </row>
    <row r="22" spans="1:20" s="4" customFormat="1" ht="30" customHeight="1" x14ac:dyDescent="0.25">
      <c r="A22" s="60" t="s">
        <v>53</v>
      </c>
      <c r="B22" s="16">
        <v>2360</v>
      </c>
      <c r="C22" s="16" t="s">
        <v>10</v>
      </c>
      <c r="D22" s="22" t="s">
        <v>70</v>
      </c>
      <c r="E22" s="17" t="s">
        <v>77</v>
      </c>
      <c r="F22" s="15" t="s">
        <v>93</v>
      </c>
      <c r="G22" s="16">
        <v>35</v>
      </c>
      <c r="H22" s="17">
        <v>52072</v>
      </c>
      <c r="I22" s="9" t="s">
        <v>96</v>
      </c>
      <c r="J22" s="16">
        <v>2007</v>
      </c>
      <c r="K22" s="17">
        <v>2</v>
      </c>
      <c r="L22" s="27"/>
      <c r="M22" s="28"/>
      <c r="N22" s="28"/>
      <c r="O22" s="17" t="s">
        <v>129</v>
      </c>
      <c r="P22" s="17" t="s">
        <v>131</v>
      </c>
      <c r="Q22" s="17" t="s">
        <v>133</v>
      </c>
      <c r="R22" s="17" t="s">
        <v>138</v>
      </c>
      <c r="S22" s="17" t="s">
        <v>139</v>
      </c>
      <c r="T22" s="42" t="s">
        <v>143</v>
      </c>
    </row>
    <row r="23" spans="1:20" s="7" customFormat="1" ht="9.9499999999999993" customHeight="1" x14ac:dyDescent="0.25">
      <c r="A23" s="59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3"/>
    </row>
    <row r="24" spans="1:20" s="4" customFormat="1" ht="30" customHeight="1" x14ac:dyDescent="0.25">
      <c r="A24" s="60" t="s">
        <v>53</v>
      </c>
      <c r="B24" s="16">
        <v>2361</v>
      </c>
      <c r="C24" s="16" t="s">
        <v>10</v>
      </c>
      <c r="D24" s="22" t="s">
        <v>71</v>
      </c>
      <c r="E24" s="17" t="s">
        <v>77</v>
      </c>
      <c r="F24" s="15" t="s">
        <v>93</v>
      </c>
      <c r="G24" s="16">
        <v>35</v>
      </c>
      <c r="H24" s="17">
        <v>52072</v>
      </c>
      <c r="I24" s="9" t="s">
        <v>96</v>
      </c>
      <c r="J24" s="16">
        <v>2004</v>
      </c>
      <c r="K24" s="17">
        <v>2</v>
      </c>
      <c r="L24" s="27"/>
      <c r="M24" s="28"/>
      <c r="N24" s="28"/>
      <c r="O24" s="17" t="s">
        <v>130</v>
      </c>
      <c r="P24" s="17" t="s">
        <v>131</v>
      </c>
      <c r="Q24" s="17" t="s">
        <v>133</v>
      </c>
      <c r="R24" s="17" t="s">
        <v>138</v>
      </c>
      <c r="S24" s="17" t="s">
        <v>139</v>
      </c>
      <c r="T24" s="42" t="s">
        <v>143</v>
      </c>
    </row>
    <row r="25" spans="1:20" s="7" customFormat="1" ht="9.9499999999999993" customHeight="1" x14ac:dyDescent="0.25">
      <c r="A25" s="59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3"/>
    </row>
    <row r="26" spans="1:20" s="4" customFormat="1" ht="30" customHeight="1" x14ac:dyDescent="0.25">
      <c r="A26" s="60" t="s">
        <v>53</v>
      </c>
      <c r="B26" s="20">
        <v>2362</v>
      </c>
      <c r="C26" s="20" t="s">
        <v>10</v>
      </c>
      <c r="D26" s="69" t="s">
        <v>72</v>
      </c>
      <c r="E26" s="19" t="s">
        <v>77</v>
      </c>
      <c r="F26" s="21" t="s">
        <v>93</v>
      </c>
      <c r="G26" s="20">
        <v>35</v>
      </c>
      <c r="H26" s="19">
        <v>52072</v>
      </c>
      <c r="I26" s="19" t="s">
        <v>96</v>
      </c>
      <c r="J26" s="20">
        <v>2004</v>
      </c>
      <c r="K26" s="19">
        <v>3</v>
      </c>
      <c r="L26" s="27"/>
      <c r="M26" s="28"/>
      <c r="N26" s="28"/>
      <c r="O26" s="19" t="s">
        <v>129</v>
      </c>
      <c r="P26" s="19" t="s">
        <v>131</v>
      </c>
      <c r="Q26" s="19" t="s">
        <v>133</v>
      </c>
      <c r="R26" s="19" t="s">
        <v>138</v>
      </c>
      <c r="S26" s="19" t="s">
        <v>139</v>
      </c>
      <c r="T26" s="68" t="s">
        <v>143</v>
      </c>
    </row>
    <row r="27" spans="1:20" s="7" customFormat="1" ht="9.9499999999999993" customHeight="1" x14ac:dyDescent="0.25">
      <c r="A27" s="5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3"/>
    </row>
    <row r="28" spans="1:20" s="4" customFormat="1" ht="30" customHeight="1" x14ac:dyDescent="0.25">
      <c r="A28" s="60" t="s">
        <v>53</v>
      </c>
      <c r="B28" s="16">
        <v>2363</v>
      </c>
      <c r="C28" s="16" t="s">
        <v>10</v>
      </c>
      <c r="D28" s="22" t="s">
        <v>73</v>
      </c>
      <c r="E28" s="17" t="s">
        <v>77</v>
      </c>
      <c r="F28" s="15" t="s">
        <v>93</v>
      </c>
      <c r="G28" s="16">
        <v>35</v>
      </c>
      <c r="H28" s="17">
        <v>52072</v>
      </c>
      <c r="I28" s="9" t="s">
        <v>96</v>
      </c>
      <c r="J28" s="16">
        <v>2004</v>
      </c>
      <c r="K28" s="17">
        <v>2</v>
      </c>
      <c r="L28" s="27"/>
      <c r="M28" s="28"/>
      <c r="N28" s="28"/>
      <c r="O28" s="17" t="s">
        <v>129</v>
      </c>
      <c r="P28" s="17" t="s">
        <v>131</v>
      </c>
      <c r="Q28" s="17" t="s">
        <v>133</v>
      </c>
      <c r="R28" s="17" t="s">
        <v>138</v>
      </c>
      <c r="S28" s="17" t="s">
        <v>139</v>
      </c>
      <c r="T28" s="42" t="s">
        <v>143</v>
      </c>
    </row>
    <row r="29" spans="1:20" s="7" customFormat="1" ht="9.9499999999999993" customHeight="1" x14ac:dyDescent="0.25">
      <c r="A29" s="59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3"/>
    </row>
    <row r="30" spans="1:20" s="4" customFormat="1" ht="30" customHeight="1" thickBot="1" x14ac:dyDescent="0.3">
      <c r="A30" s="61" t="s">
        <v>53</v>
      </c>
      <c r="B30" s="43">
        <v>2364</v>
      </c>
      <c r="C30" s="43" t="s">
        <v>10</v>
      </c>
      <c r="D30" s="54" t="s">
        <v>74</v>
      </c>
      <c r="E30" s="45" t="s">
        <v>77</v>
      </c>
      <c r="F30" s="44" t="s">
        <v>93</v>
      </c>
      <c r="G30" s="43">
        <v>35</v>
      </c>
      <c r="H30" s="45">
        <v>52072</v>
      </c>
      <c r="I30" s="39" t="s">
        <v>96</v>
      </c>
      <c r="J30" s="43">
        <v>2004</v>
      </c>
      <c r="K30" s="45">
        <v>2</v>
      </c>
      <c r="L30" s="40"/>
      <c r="M30" s="41"/>
      <c r="N30" s="41"/>
      <c r="O30" s="45" t="s">
        <v>129</v>
      </c>
      <c r="P30" s="45" t="s">
        <v>131</v>
      </c>
      <c r="Q30" s="45" t="s">
        <v>133</v>
      </c>
      <c r="R30" s="45" t="s">
        <v>138</v>
      </c>
      <c r="S30" s="45" t="s">
        <v>139</v>
      </c>
      <c r="T30" s="46" t="s">
        <v>143</v>
      </c>
    </row>
    <row r="31" spans="1:20" s="4" customFormat="1" ht="30" customHeight="1" x14ac:dyDescent="0.25">
      <c r="A31" s="6"/>
      <c r="B31" s="5"/>
      <c r="C31" s="5"/>
      <c r="D31" s="23"/>
      <c r="F31" s="8"/>
      <c r="G31" s="5"/>
      <c r="I31" s="7"/>
      <c r="J31" s="5"/>
      <c r="L31" s="7"/>
      <c r="M31" s="26"/>
      <c r="N31" s="26"/>
    </row>
    <row r="32" spans="1:20" s="4" customFormat="1" ht="30" customHeight="1" x14ac:dyDescent="0.25">
      <c r="A32" s="6"/>
      <c r="B32" s="5"/>
      <c r="C32" s="10"/>
      <c r="D32" s="22"/>
      <c r="E32" s="76" t="s">
        <v>2</v>
      </c>
      <c r="F32" s="8"/>
      <c r="G32" s="5"/>
      <c r="I32" s="7"/>
      <c r="J32" s="5"/>
      <c r="L32" s="7"/>
      <c r="M32" s="26"/>
      <c r="N32" s="26"/>
      <c r="O32" s="77" t="s">
        <v>111</v>
      </c>
      <c r="P32" s="95" t="s">
        <v>112</v>
      </c>
      <c r="Q32" s="77" t="s">
        <v>113</v>
      </c>
      <c r="R32" s="93" t="s">
        <v>114</v>
      </c>
      <c r="S32" s="77" t="s">
        <v>115</v>
      </c>
      <c r="T32" s="77" t="s">
        <v>116</v>
      </c>
    </row>
    <row r="33" spans="1:20" s="4" customFormat="1" ht="30" customHeight="1" x14ac:dyDescent="0.25">
      <c r="A33" s="6"/>
      <c r="B33" s="5"/>
      <c r="C33" s="74">
        <v>2120</v>
      </c>
      <c r="D33" s="75" t="s">
        <v>86</v>
      </c>
      <c r="E33" s="9" t="s">
        <v>75</v>
      </c>
      <c r="F33" s="8"/>
      <c r="G33" s="5"/>
      <c r="I33" s="7"/>
      <c r="J33" s="5"/>
      <c r="L33" s="7"/>
      <c r="M33" s="26"/>
      <c r="N33" s="26"/>
      <c r="O33" s="15" t="s">
        <v>128</v>
      </c>
      <c r="P33" s="92" t="s">
        <v>131</v>
      </c>
      <c r="Q33" s="15" t="s">
        <v>133</v>
      </c>
      <c r="R33" s="94" t="s">
        <v>137</v>
      </c>
      <c r="S33" s="15" t="s">
        <v>139</v>
      </c>
      <c r="T33" s="15" t="s">
        <v>143</v>
      </c>
    </row>
    <row r="34" spans="1:20" s="4" customFormat="1" ht="30" customHeight="1" x14ac:dyDescent="0.25">
      <c r="A34" s="6"/>
      <c r="B34" s="5"/>
      <c r="C34" s="74">
        <v>4200</v>
      </c>
      <c r="D34" s="75" t="s">
        <v>85</v>
      </c>
      <c r="E34" s="9" t="s">
        <v>76</v>
      </c>
      <c r="F34" s="8"/>
      <c r="G34" s="5"/>
      <c r="O34" s="15" t="s">
        <v>129</v>
      </c>
      <c r="P34" s="92" t="s">
        <v>132</v>
      </c>
      <c r="Q34" s="15" t="s">
        <v>134</v>
      </c>
      <c r="R34" s="94" t="s">
        <v>138</v>
      </c>
      <c r="S34" s="15" t="s">
        <v>140</v>
      </c>
      <c r="T34" s="15" t="s">
        <v>144</v>
      </c>
    </row>
    <row r="35" spans="1:20" s="4" customFormat="1" ht="30" customHeight="1" x14ac:dyDescent="0.25">
      <c r="A35" s="6"/>
      <c r="B35" s="5"/>
      <c r="C35" s="74">
        <v>6100</v>
      </c>
      <c r="D35" s="75" t="s">
        <v>84</v>
      </c>
      <c r="E35" s="9" t="s">
        <v>77</v>
      </c>
      <c r="F35" s="8"/>
      <c r="G35" s="5"/>
      <c r="O35" s="15" t="s">
        <v>130</v>
      </c>
      <c r="P35" s="8"/>
      <c r="Q35" s="15" t="s">
        <v>135</v>
      </c>
      <c r="R35" s="8"/>
      <c r="S35" s="15" t="s">
        <v>141</v>
      </c>
      <c r="T35" s="8"/>
    </row>
    <row r="36" spans="1:20" s="4" customFormat="1" ht="30" customHeight="1" x14ac:dyDescent="0.25">
      <c r="A36" s="6"/>
      <c r="B36" s="5"/>
      <c r="C36" s="10">
        <v>2240</v>
      </c>
      <c r="D36" s="13" t="s">
        <v>81</v>
      </c>
      <c r="E36" s="9" t="s">
        <v>78</v>
      </c>
      <c r="F36" s="8"/>
      <c r="G36" s="5"/>
      <c r="O36" s="8"/>
      <c r="P36" s="8"/>
      <c r="Q36" s="15" t="s">
        <v>136</v>
      </c>
      <c r="R36" s="8"/>
      <c r="S36" s="15" t="s">
        <v>142</v>
      </c>
      <c r="T36" s="8"/>
    </row>
    <row r="37" spans="1:20" s="4" customFormat="1" ht="30" customHeight="1" x14ac:dyDescent="0.25">
      <c r="A37" s="6"/>
      <c r="B37" s="5"/>
      <c r="C37" s="10">
        <v>2280</v>
      </c>
      <c r="D37" s="13" t="s">
        <v>82</v>
      </c>
      <c r="E37" s="9" t="s">
        <v>79</v>
      </c>
      <c r="F37" s="8"/>
      <c r="G37" s="5"/>
    </row>
    <row r="38" spans="1:20" s="4" customFormat="1" ht="30" customHeight="1" x14ac:dyDescent="0.25">
      <c r="A38" s="6"/>
      <c r="B38" s="5"/>
      <c r="C38" s="10">
        <v>2200</v>
      </c>
      <c r="D38" s="13" t="s">
        <v>83</v>
      </c>
      <c r="E38" s="9" t="s">
        <v>80</v>
      </c>
      <c r="F38" s="8"/>
      <c r="G38" s="5"/>
    </row>
    <row r="39" spans="1:20" s="4" customFormat="1" ht="30" customHeight="1" x14ac:dyDescent="0.25">
      <c r="A39" s="6"/>
      <c r="B39" s="5"/>
      <c r="C39" s="10" t="s">
        <v>10</v>
      </c>
      <c r="D39" s="13" t="s">
        <v>97</v>
      </c>
      <c r="E39" s="9" t="s">
        <v>98</v>
      </c>
      <c r="F39" s="8"/>
      <c r="G39" s="5"/>
    </row>
    <row r="40" spans="1:20" s="4" customFormat="1" ht="30" customHeight="1" thickBot="1" x14ac:dyDescent="0.3">
      <c r="A40" s="6"/>
      <c r="B40" s="5"/>
      <c r="C40" s="5"/>
      <c r="D40" s="23"/>
      <c r="F40" s="8"/>
      <c r="G40" s="5"/>
      <c r="I40" s="7"/>
      <c r="J40" s="5"/>
      <c r="L40" s="7"/>
      <c r="M40" s="26"/>
      <c r="N40" s="26"/>
    </row>
    <row r="41" spans="1:20" s="4" customFormat="1" ht="30" customHeight="1" thickBot="1" x14ac:dyDescent="0.3">
      <c r="A41" s="159" t="s">
        <v>118</v>
      </c>
      <c r="B41" s="160"/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1"/>
    </row>
    <row r="42" spans="1:20" s="4" customFormat="1" ht="30" customHeight="1" thickBot="1" x14ac:dyDescent="0.3">
      <c r="A42" s="56" t="s">
        <v>0</v>
      </c>
      <c r="B42" s="48" t="s">
        <v>22</v>
      </c>
      <c r="C42" s="48" t="s">
        <v>23</v>
      </c>
      <c r="D42" s="48" t="s">
        <v>1</v>
      </c>
      <c r="E42" s="48" t="s">
        <v>2</v>
      </c>
      <c r="F42" s="48" t="s">
        <v>3</v>
      </c>
      <c r="G42" s="48" t="s">
        <v>4</v>
      </c>
      <c r="H42" s="48" t="s">
        <v>178</v>
      </c>
      <c r="I42" s="48" t="s">
        <v>5</v>
      </c>
      <c r="J42" s="48" t="s">
        <v>6</v>
      </c>
      <c r="K42" s="48" t="s">
        <v>7</v>
      </c>
      <c r="L42" s="48" t="s">
        <v>158</v>
      </c>
      <c r="M42" s="48" t="s">
        <v>202</v>
      </c>
      <c r="N42" s="48" t="s">
        <v>201</v>
      </c>
      <c r="O42" s="48" t="s">
        <v>119</v>
      </c>
      <c r="P42" s="48" t="s">
        <v>183</v>
      </c>
      <c r="Q42" s="49" t="s">
        <v>116</v>
      </c>
    </row>
    <row r="43" spans="1:20" s="7" customFormat="1" ht="30" customHeight="1" x14ac:dyDescent="0.25">
      <c r="A43" s="62" t="s">
        <v>21</v>
      </c>
      <c r="B43" s="11">
        <v>2228</v>
      </c>
      <c r="C43" s="11" t="s">
        <v>10</v>
      </c>
      <c r="D43" s="31" t="s">
        <v>12</v>
      </c>
      <c r="E43" s="12" t="s">
        <v>75</v>
      </c>
      <c r="F43" s="31" t="s">
        <v>87</v>
      </c>
      <c r="G43" s="11">
        <v>53</v>
      </c>
      <c r="H43" s="12">
        <v>52074</v>
      </c>
      <c r="I43" s="12" t="s">
        <v>96</v>
      </c>
      <c r="J43" s="11" t="s">
        <v>10</v>
      </c>
      <c r="K43" s="12">
        <v>2</v>
      </c>
      <c r="L43" s="32"/>
      <c r="M43" s="98">
        <v>120.88</v>
      </c>
      <c r="N43" s="98">
        <f>M43*2</f>
        <v>241.76</v>
      </c>
      <c r="O43" s="12" t="s">
        <v>131</v>
      </c>
      <c r="P43" s="12" t="s">
        <v>147</v>
      </c>
      <c r="Q43" s="55" t="s">
        <v>143</v>
      </c>
    </row>
    <row r="44" spans="1:20" s="7" customFormat="1" ht="9.9499999999999993" customHeight="1" x14ac:dyDescent="0.25">
      <c r="A44" s="5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3"/>
    </row>
    <row r="45" spans="1:20" s="7" customFormat="1" ht="30" customHeight="1" x14ac:dyDescent="0.25">
      <c r="A45" s="58" t="s">
        <v>21</v>
      </c>
      <c r="B45" s="10">
        <v>2320</v>
      </c>
      <c r="C45" s="10" t="s">
        <v>10</v>
      </c>
      <c r="D45" s="13" t="s">
        <v>13</v>
      </c>
      <c r="E45" s="9" t="s">
        <v>75</v>
      </c>
      <c r="F45" s="13" t="s">
        <v>88</v>
      </c>
      <c r="G45" s="10">
        <v>16</v>
      </c>
      <c r="H45" s="9">
        <v>52074</v>
      </c>
      <c r="I45" s="9" t="s">
        <v>96</v>
      </c>
      <c r="J45" s="10">
        <v>2015</v>
      </c>
      <c r="K45" s="9">
        <v>6</v>
      </c>
      <c r="L45" s="29">
        <v>3.9</v>
      </c>
      <c r="M45" s="51"/>
      <c r="N45" s="51"/>
      <c r="O45" s="9" t="s">
        <v>131</v>
      </c>
      <c r="P45" s="9" t="s">
        <v>148</v>
      </c>
      <c r="Q45" s="52" t="s">
        <v>143</v>
      </c>
    </row>
    <row r="46" spans="1:20" s="7" customFormat="1" ht="9.9499999999999993" customHeight="1" x14ac:dyDescent="0.25">
      <c r="A46" s="59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3"/>
    </row>
    <row r="47" spans="1:20" s="7" customFormat="1" ht="30" customHeight="1" x14ac:dyDescent="0.25">
      <c r="A47" s="58" t="s">
        <v>21</v>
      </c>
      <c r="B47" s="10">
        <v>2321</v>
      </c>
      <c r="C47" s="10" t="s">
        <v>10</v>
      </c>
      <c r="D47" s="13" t="s">
        <v>14</v>
      </c>
      <c r="E47" s="9" t="s">
        <v>75</v>
      </c>
      <c r="F47" s="13" t="s">
        <v>88</v>
      </c>
      <c r="G47" s="10">
        <v>16</v>
      </c>
      <c r="H47" s="9">
        <v>52074</v>
      </c>
      <c r="I47" s="9" t="s">
        <v>96</v>
      </c>
      <c r="J47" s="10">
        <v>2015</v>
      </c>
      <c r="K47" s="9">
        <v>6</v>
      </c>
      <c r="L47" s="29">
        <v>3.9</v>
      </c>
      <c r="M47" s="51"/>
      <c r="N47" s="51"/>
      <c r="O47" s="9" t="s">
        <v>131</v>
      </c>
      <c r="P47" s="9" t="s">
        <v>148</v>
      </c>
      <c r="Q47" s="52" t="s">
        <v>143</v>
      </c>
    </row>
    <row r="48" spans="1:20" s="7" customFormat="1" ht="9.9499999999999993" customHeight="1" x14ac:dyDescent="0.25">
      <c r="A48" s="59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3"/>
    </row>
    <row r="49" spans="1:17" s="7" customFormat="1" ht="30" customHeight="1" x14ac:dyDescent="0.25">
      <c r="A49" s="58" t="s">
        <v>21</v>
      </c>
      <c r="B49" s="10">
        <v>2350</v>
      </c>
      <c r="C49" s="10" t="s">
        <v>10</v>
      </c>
      <c r="D49" s="13" t="s">
        <v>15</v>
      </c>
      <c r="E49" s="9" t="s">
        <v>75</v>
      </c>
      <c r="F49" s="13" t="s">
        <v>87</v>
      </c>
      <c r="G49" s="10">
        <v>55</v>
      </c>
      <c r="H49" s="9">
        <v>52074</v>
      </c>
      <c r="I49" s="9" t="s">
        <v>96</v>
      </c>
      <c r="J49" s="10">
        <v>1958</v>
      </c>
      <c r="K49" s="9">
        <v>4</v>
      </c>
      <c r="L49" s="27"/>
      <c r="M49" s="29">
        <v>5851.57</v>
      </c>
      <c r="N49" s="29">
        <f>M49</f>
        <v>5851.57</v>
      </c>
      <c r="O49" s="9" t="s">
        <v>145</v>
      </c>
      <c r="P49" s="9" t="s">
        <v>148</v>
      </c>
      <c r="Q49" s="52" t="s">
        <v>143</v>
      </c>
    </row>
    <row r="50" spans="1:17" s="7" customFormat="1" ht="9.9499999999999993" customHeight="1" x14ac:dyDescent="0.25">
      <c r="A50" s="5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3"/>
    </row>
    <row r="51" spans="1:17" s="7" customFormat="1" ht="30" customHeight="1" x14ac:dyDescent="0.25">
      <c r="A51" s="58" t="s">
        <v>21</v>
      </c>
      <c r="B51" s="10">
        <v>2351</v>
      </c>
      <c r="C51" s="10">
        <v>1</v>
      </c>
      <c r="D51" s="13" t="s">
        <v>16</v>
      </c>
      <c r="E51" s="9" t="s">
        <v>98</v>
      </c>
      <c r="F51" s="13" t="s">
        <v>87</v>
      </c>
      <c r="G51" s="10">
        <v>55</v>
      </c>
      <c r="H51" s="9">
        <v>52074</v>
      </c>
      <c r="I51" s="9" t="s">
        <v>96</v>
      </c>
      <c r="J51" s="10">
        <v>1958</v>
      </c>
      <c r="K51" s="9">
        <v>3</v>
      </c>
      <c r="L51" s="27"/>
      <c r="M51" s="29">
        <v>497.09</v>
      </c>
      <c r="N51" s="168">
        <f>1178.84</f>
        <v>1178.8399999999999</v>
      </c>
      <c r="O51" s="9" t="s">
        <v>131</v>
      </c>
      <c r="P51" s="9" t="s">
        <v>147</v>
      </c>
      <c r="Q51" s="52" t="s">
        <v>143</v>
      </c>
    </row>
    <row r="52" spans="1:17" s="7" customFormat="1" ht="30" customHeight="1" x14ac:dyDescent="0.25">
      <c r="A52" s="58" t="s">
        <v>21</v>
      </c>
      <c r="B52" s="10">
        <v>2351</v>
      </c>
      <c r="C52" s="10">
        <v>2</v>
      </c>
      <c r="D52" s="13" t="s">
        <v>16</v>
      </c>
      <c r="E52" s="9" t="s">
        <v>98</v>
      </c>
      <c r="F52" s="13" t="s">
        <v>87</v>
      </c>
      <c r="G52" s="10">
        <v>55</v>
      </c>
      <c r="H52" s="9">
        <v>52074</v>
      </c>
      <c r="I52" s="9" t="s">
        <v>96</v>
      </c>
      <c r="J52" s="10">
        <v>1958</v>
      </c>
      <c r="K52" s="9">
        <v>1</v>
      </c>
      <c r="L52" s="27"/>
      <c r="M52" s="29">
        <v>386.14</v>
      </c>
      <c r="N52" s="169"/>
      <c r="O52" s="9" t="s">
        <v>145</v>
      </c>
      <c r="P52" s="9" t="s">
        <v>149</v>
      </c>
      <c r="Q52" s="52" t="s">
        <v>144</v>
      </c>
    </row>
    <row r="53" spans="1:17" s="7" customFormat="1" ht="30" customHeight="1" x14ac:dyDescent="0.25">
      <c r="A53" s="58" t="s">
        <v>21</v>
      </c>
      <c r="B53" s="10">
        <v>2351</v>
      </c>
      <c r="C53" s="10">
        <v>3</v>
      </c>
      <c r="D53" s="13" t="s">
        <v>16</v>
      </c>
      <c r="E53" s="9" t="s">
        <v>98</v>
      </c>
      <c r="F53" s="13" t="s">
        <v>87</v>
      </c>
      <c r="G53" s="10">
        <v>55</v>
      </c>
      <c r="H53" s="9">
        <v>52074</v>
      </c>
      <c r="I53" s="9" t="s">
        <v>96</v>
      </c>
      <c r="J53" s="10">
        <v>1958</v>
      </c>
      <c r="K53" s="9">
        <v>1</v>
      </c>
      <c r="L53" s="27"/>
      <c r="M53" s="29">
        <v>295.61</v>
      </c>
      <c r="N53" s="170"/>
      <c r="O53" s="9" t="s">
        <v>131</v>
      </c>
      <c r="P53" s="9" t="s">
        <v>147</v>
      </c>
      <c r="Q53" s="52" t="s">
        <v>144</v>
      </c>
    </row>
    <row r="54" spans="1:17" s="7" customFormat="1" ht="9.9499999999999993" customHeight="1" x14ac:dyDescent="0.25">
      <c r="A54" s="5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3"/>
    </row>
    <row r="55" spans="1:17" s="7" customFormat="1" ht="30" customHeight="1" x14ac:dyDescent="0.25">
      <c r="A55" s="58" t="s">
        <v>21</v>
      </c>
      <c r="B55" s="10">
        <v>2352</v>
      </c>
      <c r="C55" s="10">
        <v>1</v>
      </c>
      <c r="D55" s="13" t="s">
        <v>8</v>
      </c>
      <c r="E55" s="9" t="s">
        <v>76</v>
      </c>
      <c r="F55" s="13" t="s">
        <v>87</v>
      </c>
      <c r="G55" s="10">
        <v>55</v>
      </c>
      <c r="H55" s="9">
        <v>52074</v>
      </c>
      <c r="I55" s="9" t="s">
        <v>96</v>
      </c>
      <c r="J55" s="10">
        <v>1957</v>
      </c>
      <c r="K55" s="9">
        <v>1</v>
      </c>
      <c r="L55" s="27"/>
      <c r="M55" s="29">
        <v>646.91</v>
      </c>
      <c r="N55" s="168">
        <v>3092.15</v>
      </c>
      <c r="O55" s="9" t="s">
        <v>131</v>
      </c>
      <c r="P55" s="9" t="s">
        <v>147</v>
      </c>
      <c r="Q55" s="52" t="s">
        <v>143</v>
      </c>
    </row>
    <row r="56" spans="1:17" s="7" customFormat="1" ht="30" customHeight="1" x14ac:dyDescent="0.25">
      <c r="A56" s="58" t="s">
        <v>21</v>
      </c>
      <c r="B56" s="10">
        <v>2352</v>
      </c>
      <c r="C56" s="10">
        <v>2</v>
      </c>
      <c r="D56" s="13" t="s">
        <v>8</v>
      </c>
      <c r="E56" s="9" t="s">
        <v>76</v>
      </c>
      <c r="F56" s="13" t="s">
        <v>87</v>
      </c>
      <c r="G56" s="10">
        <v>55</v>
      </c>
      <c r="H56" s="9">
        <v>52074</v>
      </c>
      <c r="I56" s="9" t="s">
        <v>96</v>
      </c>
      <c r="J56" s="10">
        <v>1957</v>
      </c>
      <c r="K56" s="9">
        <v>1</v>
      </c>
      <c r="L56" s="27"/>
      <c r="M56" s="29">
        <v>2445.2399999999998</v>
      </c>
      <c r="N56" s="170"/>
      <c r="O56" s="9" t="s">
        <v>145</v>
      </c>
      <c r="P56" s="9" t="s">
        <v>147</v>
      </c>
      <c r="Q56" s="52" t="s">
        <v>143</v>
      </c>
    </row>
    <row r="57" spans="1:17" s="7" customFormat="1" ht="9.9499999999999993" customHeight="1" x14ac:dyDescent="0.25">
      <c r="A57" s="5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3"/>
    </row>
    <row r="58" spans="1:17" s="7" customFormat="1" ht="30" customHeight="1" x14ac:dyDescent="0.25">
      <c r="A58" s="58" t="s">
        <v>21</v>
      </c>
      <c r="B58" s="10">
        <v>2353</v>
      </c>
      <c r="C58" s="10">
        <v>1</v>
      </c>
      <c r="D58" s="13" t="s">
        <v>17</v>
      </c>
      <c r="E58" s="9" t="s">
        <v>75</v>
      </c>
      <c r="F58" s="13" t="s">
        <v>87</v>
      </c>
      <c r="G58" s="10">
        <v>55</v>
      </c>
      <c r="H58" s="9">
        <v>52074</v>
      </c>
      <c r="I58" s="9" t="s">
        <v>96</v>
      </c>
      <c r="J58" s="10">
        <v>1965</v>
      </c>
      <c r="K58" s="9">
        <v>1</v>
      </c>
      <c r="L58" s="27"/>
      <c r="M58" s="29">
        <v>135.02000000000001</v>
      </c>
      <c r="N58" s="168">
        <v>4240.8900000000003</v>
      </c>
      <c r="O58" s="9" t="s">
        <v>145</v>
      </c>
      <c r="P58" s="9" t="s">
        <v>149</v>
      </c>
      <c r="Q58" s="52" t="s">
        <v>144</v>
      </c>
    </row>
    <row r="59" spans="1:17" s="4" customFormat="1" ht="30" customHeight="1" x14ac:dyDescent="0.25">
      <c r="A59" s="58" t="s">
        <v>21</v>
      </c>
      <c r="B59" s="10">
        <v>2353</v>
      </c>
      <c r="C59" s="16">
        <v>2</v>
      </c>
      <c r="D59" s="13" t="s">
        <v>17</v>
      </c>
      <c r="E59" s="17" t="s">
        <v>75</v>
      </c>
      <c r="F59" s="13" t="s">
        <v>87</v>
      </c>
      <c r="G59" s="10">
        <v>55</v>
      </c>
      <c r="H59" s="9">
        <v>52074</v>
      </c>
      <c r="I59" s="9" t="s">
        <v>96</v>
      </c>
      <c r="J59" s="10">
        <v>1965</v>
      </c>
      <c r="K59" s="17">
        <v>4</v>
      </c>
      <c r="L59" s="27"/>
      <c r="M59" s="29">
        <v>1618.27</v>
      </c>
      <c r="N59" s="169"/>
      <c r="O59" s="17" t="s">
        <v>145</v>
      </c>
      <c r="P59" s="17" t="s">
        <v>148</v>
      </c>
      <c r="Q59" s="42" t="s">
        <v>143</v>
      </c>
    </row>
    <row r="60" spans="1:17" s="4" customFormat="1" ht="30" customHeight="1" x14ac:dyDescent="0.25">
      <c r="A60" s="58" t="s">
        <v>21</v>
      </c>
      <c r="B60" s="10">
        <v>2353</v>
      </c>
      <c r="C60" s="16">
        <v>3</v>
      </c>
      <c r="D60" s="13" t="s">
        <v>17</v>
      </c>
      <c r="E60" s="17" t="s">
        <v>75</v>
      </c>
      <c r="F60" s="13" t="s">
        <v>87</v>
      </c>
      <c r="G60" s="10">
        <v>55</v>
      </c>
      <c r="H60" s="9">
        <v>52074</v>
      </c>
      <c r="I60" s="9" t="s">
        <v>96</v>
      </c>
      <c r="J60" s="10">
        <v>1965</v>
      </c>
      <c r="K60" s="17">
        <v>4</v>
      </c>
      <c r="L60" s="27"/>
      <c r="M60" s="29">
        <v>2487.6</v>
      </c>
      <c r="N60" s="170"/>
      <c r="O60" s="17" t="s">
        <v>145</v>
      </c>
      <c r="P60" s="17" t="s">
        <v>148</v>
      </c>
      <c r="Q60" s="42" t="s">
        <v>143</v>
      </c>
    </row>
    <row r="61" spans="1:17" s="7" customFormat="1" ht="9.9499999999999993" customHeight="1" x14ac:dyDescent="0.25">
      <c r="A61" s="59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3"/>
    </row>
    <row r="62" spans="1:17" s="4" customFormat="1" ht="30" customHeight="1" x14ac:dyDescent="0.25">
      <c r="A62" s="58" t="s">
        <v>21</v>
      </c>
      <c r="B62" s="16">
        <v>2354</v>
      </c>
      <c r="C62" s="16">
        <v>1</v>
      </c>
      <c r="D62" s="13" t="s">
        <v>18</v>
      </c>
      <c r="E62" s="17" t="s">
        <v>76</v>
      </c>
      <c r="F62" s="13" t="s">
        <v>87</v>
      </c>
      <c r="G62" s="10">
        <v>55</v>
      </c>
      <c r="H62" s="9">
        <v>52074</v>
      </c>
      <c r="I62" s="9" t="s">
        <v>96</v>
      </c>
      <c r="J62" s="10">
        <v>1965</v>
      </c>
      <c r="K62" s="17">
        <v>1</v>
      </c>
      <c r="L62" s="27"/>
      <c r="M62" s="29">
        <v>40.64</v>
      </c>
      <c r="N62" s="168">
        <f>419.8</f>
        <v>419.8</v>
      </c>
      <c r="O62" s="17" t="s">
        <v>131</v>
      </c>
      <c r="P62" s="17" t="s">
        <v>149</v>
      </c>
      <c r="Q62" s="42" t="s">
        <v>144</v>
      </c>
    </row>
    <row r="63" spans="1:17" s="4" customFormat="1" ht="30" customHeight="1" x14ac:dyDescent="0.25">
      <c r="A63" s="58" t="s">
        <v>21</v>
      </c>
      <c r="B63" s="16">
        <v>2354</v>
      </c>
      <c r="C63" s="16">
        <v>2</v>
      </c>
      <c r="D63" s="13" t="s">
        <v>18</v>
      </c>
      <c r="E63" s="17" t="s">
        <v>76</v>
      </c>
      <c r="F63" s="13" t="s">
        <v>87</v>
      </c>
      <c r="G63" s="10">
        <v>55</v>
      </c>
      <c r="H63" s="9">
        <v>52074</v>
      </c>
      <c r="I63" s="9" t="s">
        <v>96</v>
      </c>
      <c r="J63" s="10">
        <v>1965</v>
      </c>
      <c r="K63" s="17">
        <v>1</v>
      </c>
      <c r="L63" s="27"/>
      <c r="M63" s="29">
        <v>338.52</v>
      </c>
      <c r="N63" s="169"/>
      <c r="O63" s="17" t="s">
        <v>131</v>
      </c>
      <c r="P63" s="17" t="s">
        <v>147</v>
      </c>
      <c r="Q63" s="42" t="s">
        <v>143</v>
      </c>
    </row>
    <row r="64" spans="1:17" s="4" customFormat="1" ht="30" customHeight="1" x14ac:dyDescent="0.25">
      <c r="A64" s="58" t="s">
        <v>21</v>
      </c>
      <c r="B64" s="16">
        <v>2354</v>
      </c>
      <c r="C64" s="16">
        <v>3</v>
      </c>
      <c r="D64" s="13" t="s">
        <v>18</v>
      </c>
      <c r="E64" s="17" t="s">
        <v>76</v>
      </c>
      <c r="F64" s="13" t="s">
        <v>87</v>
      </c>
      <c r="G64" s="10">
        <v>55</v>
      </c>
      <c r="H64" s="9">
        <v>52074</v>
      </c>
      <c r="I64" s="9" t="s">
        <v>96</v>
      </c>
      <c r="J64" s="10">
        <v>1965</v>
      </c>
      <c r="K64" s="17">
        <v>1</v>
      </c>
      <c r="L64" s="27"/>
      <c r="M64" s="29">
        <v>40.64</v>
      </c>
      <c r="N64" s="170"/>
      <c r="O64" s="17" t="s">
        <v>131</v>
      </c>
      <c r="P64" s="17" t="s">
        <v>149</v>
      </c>
      <c r="Q64" s="42" t="s">
        <v>144</v>
      </c>
    </row>
    <row r="65" spans="1:17" s="7" customFormat="1" ht="9.9499999999999993" customHeight="1" x14ac:dyDescent="0.25">
      <c r="A65" s="59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3"/>
    </row>
    <row r="66" spans="1:17" s="4" customFormat="1" ht="30" customHeight="1" x14ac:dyDescent="0.25">
      <c r="A66" s="58" t="s">
        <v>21</v>
      </c>
      <c r="B66" s="16">
        <v>2356</v>
      </c>
      <c r="C66" s="16">
        <v>1</v>
      </c>
      <c r="D66" s="13" t="s">
        <v>19</v>
      </c>
      <c r="E66" s="17" t="s">
        <v>75</v>
      </c>
      <c r="F66" s="13" t="s">
        <v>87</v>
      </c>
      <c r="G66" s="10">
        <v>55</v>
      </c>
      <c r="H66" s="9">
        <v>52074</v>
      </c>
      <c r="I66" s="9" t="s">
        <v>96</v>
      </c>
      <c r="J66" s="16">
        <v>1977</v>
      </c>
      <c r="K66" s="17">
        <v>1</v>
      </c>
      <c r="L66" s="27"/>
      <c r="M66" s="29">
        <v>169.25</v>
      </c>
      <c r="N66" s="168">
        <f>7115.92</f>
        <v>7115.92</v>
      </c>
      <c r="O66" s="17" t="s">
        <v>145</v>
      </c>
      <c r="P66" s="17" t="s">
        <v>149</v>
      </c>
      <c r="Q66" s="42" t="s">
        <v>144</v>
      </c>
    </row>
    <row r="67" spans="1:17" s="4" customFormat="1" ht="30" customHeight="1" x14ac:dyDescent="0.25">
      <c r="A67" s="58" t="s">
        <v>21</v>
      </c>
      <c r="B67" s="16">
        <v>2356</v>
      </c>
      <c r="C67" s="16">
        <v>2</v>
      </c>
      <c r="D67" s="13" t="s">
        <v>19</v>
      </c>
      <c r="E67" s="17" t="s">
        <v>75</v>
      </c>
      <c r="F67" s="13" t="s">
        <v>87</v>
      </c>
      <c r="G67" s="10">
        <v>55</v>
      </c>
      <c r="H67" s="9">
        <v>52074</v>
      </c>
      <c r="I67" s="9" t="s">
        <v>96</v>
      </c>
      <c r="J67" s="16">
        <v>1977</v>
      </c>
      <c r="K67" s="17">
        <v>2</v>
      </c>
      <c r="L67" s="27"/>
      <c r="M67" s="29">
        <v>1063.8399999999999</v>
      </c>
      <c r="N67" s="169"/>
      <c r="O67" s="17" t="s">
        <v>131</v>
      </c>
      <c r="P67" s="17" t="s">
        <v>148</v>
      </c>
      <c r="Q67" s="42" t="s">
        <v>143</v>
      </c>
    </row>
    <row r="68" spans="1:17" s="4" customFormat="1" ht="30" customHeight="1" x14ac:dyDescent="0.25">
      <c r="A68" s="58" t="s">
        <v>21</v>
      </c>
      <c r="B68" s="16">
        <v>2356</v>
      </c>
      <c r="C68" s="16">
        <v>3</v>
      </c>
      <c r="D68" s="13" t="s">
        <v>19</v>
      </c>
      <c r="E68" s="17" t="s">
        <v>75</v>
      </c>
      <c r="F68" s="13" t="s">
        <v>87</v>
      </c>
      <c r="G68" s="10">
        <v>55</v>
      </c>
      <c r="H68" s="9">
        <v>52074</v>
      </c>
      <c r="I68" s="9" t="s">
        <v>96</v>
      </c>
      <c r="J68" s="16">
        <v>1977</v>
      </c>
      <c r="K68" s="17">
        <v>1</v>
      </c>
      <c r="L68" s="27"/>
      <c r="M68" s="29">
        <v>926.2</v>
      </c>
      <c r="N68" s="169"/>
      <c r="O68" s="17" t="s">
        <v>145</v>
      </c>
      <c r="P68" s="17" t="s">
        <v>147</v>
      </c>
      <c r="Q68" s="42" t="s">
        <v>143</v>
      </c>
    </row>
    <row r="69" spans="1:17" s="4" customFormat="1" ht="30" customHeight="1" x14ac:dyDescent="0.25">
      <c r="A69" s="58" t="s">
        <v>21</v>
      </c>
      <c r="B69" s="16">
        <v>2356</v>
      </c>
      <c r="C69" s="16">
        <v>4</v>
      </c>
      <c r="D69" s="13" t="s">
        <v>19</v>
      </c>
      <c r="E69" s="17" t="s">
        <v>75</v>
      </c>
      <c r="F69" s="13" t="s">
        <v>87</v>
      </c>
      <c r="G69" s="10">
        <v>55</v>
      </c>
      <c r="H69" s="9">
        <v>52074</v>
      </c>
      <c r="I69" s="9" t="s">
        <v>96</v>
      </c>
      <c r="J69" s="16">
        <v>1977</v>
      </c>
      <c r="K69" s="17">
        <v>1</v>
      </c>
      <c r="L69" s="27"/>
      <c r="M69" s="29">
        <v>66.459999999999994</v>
      </c>
      <c r="N69" s="169"/>
      <c r="O69" s="17" t="s">
        <v>131</v>
      </c>
      <c r="P69" s="17" t="s">
        <v>147</v>
      </c>
      <c r="Q69" s="42" t="s">
        <v>143</v>
      </c>
    </row>
    <row r="70" spans="1:17" s="4" customFormat="1" ht="30" customHeight="1" x14ac:dyDescent="0.25">
      <c r="A70" s="58" t="s">
        <v>21</v>
      </c>
      <c r="B70" s="16">
        <v>2356</v>
      </c>
      <c r="C70" s="16">
        <v>5</v>
      </c>
      <c r="D70" s="13" t="s">
        <v>19</v>
      </c>
      <c r="E70" s="17" t="s">
        <v>75</v>
      </c>
      <c r="F70" s="13" t="s">
        <v>87</v>
      </c>
      <c r="G70" s="10">
        <v>55</v>
      </c>
      <c r="H70" s="9">
        <v>52074</v>
      </c>
      <c r="I70" s="9" t="s">
        <v>96</v>
      </c>
      <c r="J70" s="16">
        <v>1977</v>
      </c>
      <c r="K70" s="17">
        <v>1</v>
      </c>
      <c r="L70" s="27"/>
      <c r="M70" s="29">
        <v>265.11</v>
      </c>
      <c r="N70" s="169"/>
      <c r="O70" s="17" t="s">
        <v>131</v>
      </c>
      <c r="P70" s="17" t="s">
        <v>147</v>
      </c>
      <c r="Q70" s="42" t="s">
        <v>143</v>
      </c>
    </row>
    <row r="71" spans="1:17" s="4" customFormat="1" ht="30" customHeight="1" x14ac:dyDescent="0.25">
      <c r="A71" s="58" t="s">
        <v>21</v>
      </c>
      <c r="B71" s="16">
        <v>2356</v>
      </c>
      <c r="C71" s="16">
        <v>6</v>
      </c>
      <c r="D71" s="13" t="s">
        <v>19</v>
      </c>
      <c r="E71" s="17" t="s">
        <v>75</v>
      </c>
      <c r="F71" s="13" t="s">
        <v>87</v>
      </c>
      <c r="G71" s="10">
        <v>55</v>
      </c>
      <c r="H71" s="9">
        <v>52074</v>
      </c>
      <c r="I71" s="9" t="s">
        <v>96</v>
      </c>
      <c r="J71" s="16">
        <v>1977</v>
      </c>
      <c r="K71" s="17">
        <v>5</v>
      </c>
      <c r="L71" s="27"/>
      <c r="M71" s="29">
        <v>2829.57</v>
      </c>
      <c r="N71" s="169"/>
      <c r="O71" s="17" t="s">
        <v>145</v>
      </c>
      <c r="P71" s="17" t="s">
        <v>148</v>
      </c>
      <c r="Q71" s="42" t="s">
        <v>143</v>
      </c>
    </row>
    <row r="72" spans="1:17" s="4" customFormat="1" ht="30" customHeight="1" x14ac:dyDescent="0.25">
      <c r="A72" s="58" t="s">
        <v>21</v>
      </c>
      <c r="B72" s="16">
        <v>2356</v>
      </c>
      <c r="C72" s="16">
        <v>7</v>
      </c>
      <c r="D72" s="13" t="s">
        <v>19</v>
      </c>
      <c r="E72" s="17" t="s">
        <v>75</v>
      </c>
      <c r="F72" s="13" t="s">
        <v>87</v>
      </c>
      <c r="G72" s="10">
        <v>55</v>
      </c>
      <c r="H72" s="9">
        <v>52074</v>
      </c>
      <c r="I72" s="9" t="s">
        <v>96</v>
      </c>
      <c r="J72" s="16">
        <v>1977</v>
      </c>
      <c r="K72" s="17">
        <v>5</v>
      </c>
      <c r="L72" s="27"/>
      <c r="M72" s="29">
        <v>1795.48</v>
      </c>
      <c r="N72" s="170"/>
      <c r="O72" s="17" t="s">
        <v>145</v>
      </c>
      <c r="P72" s="17" t="s">
        <v>148</v>
      </c>
      <c r="Q72" s="42" t="s">
        <v>143</v>
      </c>
    </row>
    <row r="73" spans="1:17" s="7" customFormat="1" ht="9.9499999999999993" customHeight="1" x14ac:dyDescent="0.25">
      <c r="A73" s="59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3"/>
    </row>
    <row r="74" spans="1:17" s="4" customFormat="1" ht="30" customHeight="1" x14ac:dyDescent="0.25">
      <c r="A74" s="58" t="s">
        <v>21</v>
      </c>
      <c r="B74" s="16">
        <v>2359</v>
      </c>
      <c r="C74" s="16" t="s">
        <v>10</v>
      </c>
      <c r="D74" s="15" t="s">
        <v>20</v>
      </c>
      <c r="E74" s="17" t="s">
        <v>75</v>
      </c>
      <c r="F74" s="13" t="s">
        <v>87</v>
      </c>
      <c r="G74" s="10">
        <v>55</v>
      </c>
      <c r="H74" s="9">
        <v>52074</v>
      </c>
      <c r="I74" s="9" t="s">
        <v>96</v>
      </c>
      <c r="J74" s="16">
        <v>2013</v>
      </c>
      <c r="K74" s="17">
        <v>4</v>
      </c>
      <c r="L74" s="17">
        <v>3.43</v>
      </c>
      <c r="M74" s="29">
        <v>3218</v>
      </c>
      <c r="N74" s="29">
        <f>M74</f>
        <v>3218</v>
      </c>
      <c r="O74" s="17" t="s">
        <v>145</v>
      </c>
      <c r="P74" s="17" t="s">
        <v>147</v>
      </c>
      <c r="Q74" s="42" t="s">
        <v>143</v>
      </c>
    </row>
    <row r="75" spans="1:17" s="7" customFormat="1" ht="9.9499999999999993" customHeight="1" x14ac:dyDescent="0.25">
      <c r="A75" s="59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3"/>
    </row>
    <row r="76" spans="1:17" s="4" customFormat="1" ht="30" customHeight="1" x14ac:dyDescent="0.25">
      <c r="A76" s="63" t="s">
        <v>24</v>
      </c>
      <c r="B76" s="16">
        <v>2140</v>
      </c>
      <c r="C76" s="16" t="s">
        <v>10</v>
      </c>
      <c r="D76" s="15" t="s">
        <v>39</v>
      </c>
      <c r="E76" s="17" t="s">
        <v>75</v>
      </c>
      <c r="F76" s="15" t="s">
        <v>89</v>
      </c>
      <c r="G76" s="16">
        <v>8</v>
      </c>
      <c r="H76" s="9">
        <v>52074</v>
      </c>
      <c r="I76" s="9" t="s">
        <v>96</v>
      </c>
      <c r="J76" s="16">
        <v>1964</v>
      </c>
      <c r="K76" s="17">
        <v>3</v>
      </c>
      <c r="L76" s="17">
        <v>3.35</v>
      </c>
      <c r="M76" s="29">
        <v>1201.8800000000001</v>
      </c>
      <c r="N76" s="29">
        <f>M76</f>
        <v>1201.8800000000001</v>
      </c>
      <c r="O76" s="17" t="s">
        <v>145</v>
      </c>
      <c r="P76" s="17" t="s">
        <v>147</v>
      </c>
      <c r="Q76" s="42" t="s">
        <v>143</v>
      </c>
    </row>
    <row r="77" spans="1:17" s="7" customFormat="1" ht="9.9499999999999993" customHeight="1" x14ac:dyDescent="0.25">
      <c r="A77" s="59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3"/>
    </row>
    <row r="78" spans="1:17" s="4" customFormat="1" ht="30" customHeight="1" x14ac:dyDescent="0.25">
      <c r="A78" s="63" t="s">
        <v>24</v>
      </c>
      <c r="B78" s="16">
        <v>2141</v>
      </c>
      <c r="C78" s="16" t="s">
        <v>10</v>
      </c>
      <c r="D78" s="18" t="s">
        <v>40</v>
      </c>
      <c r="E78" s="17" t="s">
        <v>78</v>
      </c>
      <c r="F78" s="15" t="s">
        <v>89</v>
      </c>
      <c r="G78" s="16">
        <v>8</v>
      </c>
      <c r="H78" s="9">
        <v>52074</v>
      </c>
      <c r="I78" s="9" t="s">
        <v>96</v>
      </c>
      <c r="J78" s="16">
        <v>1964</v>
      </c>
      <c r="K78" s="17">
        <v>1</v>
      </c>
      <c r="L78" s="30">
        <v>13.9</v>
      </c>
      <c r="M78" s="29">
        <v>829.23</v>
      </c>
      <c r="N78" s="29">
        <f>M78</f>
        <v>829.23</v>
      </c>
      <c r="O78" s="17" t="s">
        <v>145</v>
      </c>
      <c r="P78" s="17" t="s">
        <v>147</v>
      </c>
      <c r="Q78" s="42" t="s">
        <v>144</v>
      </c>
    </row>
    <row r="79" spans="1:17" s="7" customFormat="1" ht="9.9499999999999993" customHeight="1" x14ac:dyDescent="0.25">
      <c r="A79" s="59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3"/>
    </row>
    <row r="80" spans="1:17" s="4" customFormat="1" ht="30" customHeight="1" x14ac:dyDescent="0.25">
      <c r="A80" s="63" t="s">
        <v>24</v>
      </c>
      <c r="B80" s="16">
        <v>2142</v>
      </c>
      <c r="C80" s="16" t="s">
        <v>10</v>
      </c>
      <c r="D80" s="18" t="s">
        <v>41</v>
      </c>
      <c r="E80" s="17" t="s">
        <v>75</v>
      </c>
      <c r="F80" s="15" t="s">
        <v>89</v>
      </c>
      <c r="G80" s="16">
        <v>8</v>
      </c>
      <c r="H80" s="9">
        <v>52074</v>
      </c>
      <c r="I80" s="9" t="s">
        <v>96</v>
      </c>
      <c r="J80" s="16">
        <v>1964</v>
      </c>
      <c r="K80" s="17">
        <v>1</v>
      </c>
      <c r="L80" s="30">
        <v>3.35</v>
      </c>
      <c r="M80" s="29">
        <v>37.26</v>
      </c>
      <c r="N80" s="29">
        <f>M80</f>
        <v>37.26</v>
      </c>
      <c r="O80" s="17" t="s">
        <v>131</v>
      </c>
      <c r="P80" s="17" t="s">
        <v>147</v>
      </c>
      <c r="Q80" s="42" t="s">
        <v>143</v>
      </c>
    </row>
    <row r="81" spans="1:17" s="7" customFormat="1" ht="9.9499999999999993" customHeight="1" x14ac:dyDescent="0.25">
      <c r="A81" s="59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3"/>
    </row>
    <row r="82" spans="1:17" s="4" customFormat="1" ht="30" customHeight="1" x14ac:dyDescent="0.25">
      <c r="A82" s="63" t="s">
        <v>24</v>
      </c>
      <c r="B82" s="16">
        <v>2162</v>
      </c>
      <c r="C82" s="16" t="s">
        <v>10</v>
      </c>
      <c r="D82" s="15" t="s">
        <v>42</v>
      </c>
      <c r="E82" s="17" t="s">
        <v>78</v>
      </c>
      <c r="F82" s="15" t="s">
        <v>88</v>
      </c>
      <c r="G82" s="16">
        <v>10</v>
      </c>
      <c r="H82" s="9">
        <v>52074</v>
      </c>
      <c r="I82" s="9" t="s">
        <v>96</v>
      </c>
      <c r="J82" s="16">
        <v>2010</v>
      </c>
      <c r="K82" s="17">
        <v>4</v>
      </c>
      <c r="L82" s="17">
        <v>3.85</v>
      </c>
      <c r="M82" s="29">
        <v>4777.7700000000004</v>
      </c>
      <c r="N82" s="29">
        <f>M82</f>
        <v>4777.7700000000004</v>
      </c>
      <c r="O82" s="17" t="s">
        <v>145</v>
      </c>
      <c r="P82" s="17" t="s">
        <v>148</v>
      </c>
      <c r="Q82" s="42" t="s">
        <v>143</v>
      </c>
    </row>
    <row r="83" spans="1:17" s="7" customFormat="1" ht="9.9499999999999993" customHeight="1" x14ac:dyDescent="0.25">
      <c r="A83" s="59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3"/>
    </row>
    <row r="84" spans="1:17" s="4" customFormat="1" ht="30" customHeight="1" x14ac:dyDescent="0.25">
      <c r="A84" s="63" t="s">
        <v>24</v>
      </c>
      <c r="B84" s="16">
        <v>2163</v>
      </c>
      <c r="C84" s="16" t="s">
        <v>10</v>
      </c>
      <c r="D84" s="15" t="s">
        <v>43</v>
      </c>
      <c r="E84" s="17" t="s">
        <v>78</v>
      </c>
      <c r="F84" s="15" t="s">
        <v>88</v>
      </c>
      <c r="G84" s="16">
        <v>10</v>
      </c>
      <c r="H84" s="9">
        <v>52074</v>
      </c>
      <c r="I84" s="9" t="s">
        <v>96</v>
      </c>
      <c r="J84" s="16">
        <v>2010</v>
      </c>
      <c r="K84" s="17">
        <v>1</v>
      </c>
      <c r="L84" s="17">
        <v>9.5399999999999991</v>
      </c>
      <c r="M84" s="29">
        <v>609.72</v>
      </c>
      <c r="N84" s="29">
        <f>M84</f>
        <v>609.72</v>
      </c>
      <c r="O84" s="17" t="s">
        <v>145</v>
      </c>
      <c r="P84" s="17" t="s">
        <v>147</v>
      </c>
      <c r="Q84" s="42" t="s">
        <v>144</v>
      </c>
    </row>
    <row r="85" spans="1:17" s="7" customFormat="1" ht="9.9499999999999993" customHeight="1" x14ac:dyDescent="0.25">
      <c r="A85" s="59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3"/>
    </row>
    <row r="86" spans="1:17" s="4" customFormat="1" ht="30" customHeight="1" x14ac:dyDescent="0.25">
      <c r="A86" s="63" t="s">
        <v>24</v>
      </c>
      <c r="B86" s="16">
        <v>2180</v>
      </c>
      <c r="C86" s="16" t="s">
        <v>10</v>
      </c>
      <c r="D86" s="15" t="s">
        <v>44</v>
      </c>
      <c r="E86" s="17" t="s">
        <v>75</v>
      </c>
      <c r="F86" s="15" t="s">
        <v>88</v>
      </c>
      <c r="G86" s="16">
        <v>14</v>
      </c>
      <c r="H86" s="9">
        <v>52074</v>
      </c>
      <c r="I86" s="9" t="s">
        <v>96</v>
      </c>
      <c r="J86" s="16">
        <v>1965</v>
      </c>
      <c r="K86" s="17">
        <v>3</v>
      </c>
      <c r="L86" s="17">
        <v>3.35</v>
      </c>
      <c r="M86" s="29">
        <v>2060.38</v>
      </c>
      <c r="N86" s="29">
        <f>M86</f>
        <v>2060.38</v>
      </c>
      <c r="O86" s="17" t="s">
        <v>145</v>
      </c>
      <c r="P86" s="17" t="s">
        <v>148</v>
      </c>
      <c r="Q86" s="42" t="s">
        <v>143</v>
      </c>
    </row>
    <row r="87" spans="1:17" s="7" customFormat="1" ht="9.9499999999999993" customHeight="1" x14ac:dyDescent="0.25">
      <c r="A87" s="59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3"/>
    </row>
    <row r="88" spans="1:17" s="4" customFormat="1" ht="30" customHeight="1" x14ac:dyDescent="0.25">
      <c r="A88" s="63" t="s">
        <v>24</v>
      </c>
      <c r="B88" s="20">
        <v>2181</v>
      </c>
      <c r="C88" s="20" t="s">
        <v>10</v>
      </c>
      <c r="D88" s="66" t="s">
        <v>45</v>
      </c>
      <c r="E88" s="19" t="s">
        <v>79</v>
      </c>
      <c r="F88" s="21" t="s">
        <v>88</v>
      </c>
      <c r="G88" s="20">
        <v>14</v>
      </c>
      <c r="H88" s="19">
        <v>52074</v>
      </c>
      <c r="I88" s="19" t="s">
        <v>96</v>
      </c>
      <c r="J88" s="20">
        <v>1965</v>
      </c>
      <c r="K88" s="19">
        <v>2</v>
      </c>
      <c r="L88" s="19">
        <v>3.35</v>
      </c>
      <c r="M88" s="67">
        <v>712.42</v>
      </c>
      <c r="N88" s="67">
        <f>M88</f>
        <v>712.42</v>
      </c>
      <c r="O88" s="19" t="s">
        <v>131</v>
      </c>
      <c r="P88" s="19" t="s">
        <v>147</v>
      </c>
      <c r="Q88" s="68" t="s">
        <v>143</v>
      </c>
    </row>
    <row r="89" spans="1:17" s="7" customFormat="1" ht="9.9499999999999993" customHeight="1" x14ac:dyDescent="0.25">
      <c r="A89" s="59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3"/>
    </row>
    <row r="90" spans="1:17" s="4" customFormat="1" ht="30" customHeight="1" x14ac:dyDescent="0.25">
      <c r="A90" s="63" t="s">
        <v>24</v>
      </c>
      <c r="B90" s="16">
        <v>2182</v>
      </c>
      <c r="C90" s="16" t="s">
        <v>10</v>
      </c>
      <c r="D90" s="18" t="s">
        <v>46</v>
      </c>
      <c r="E90" s="17" t="s">
        <v>79</v>
      </c>
      <c r="F90" s="15" t="s">
        <v>88</v>
      </c>
      <c r="G90" s="16">
        <v>14</v>
      </c>
      <c r="H90" s="9">
        <v>52074</v>
      </c>
      <c r="I90" s="9" t="s">
        <v>96</v>
      </c>
      <c r="J90" s="16">
        <v>1965</v>
      </c>
      <c r="K90" s="17">
        <v>1</v>
      </c>
      <c r="L90" s="17">
        <v>4.75</v>
      </c>
      <c r="M90" s="29">
        <v>668.21</v>
      </c>
      <c r="N90" s="29">
        <f>M90</f>
        <v>668.21</v>
      </c>
      <c r="O90" s="17" t="s">
        <v>131</v>
      </c>
      <c r="P90" s="17" t="s">
        <v>147</v>
      </c>
      <c r="Q90" s="42" t="s">
        <v>143</v>
      </c>
    </row>
    <row r="91" spans="1:17" s="7" customFormat="1" ht="9.9499999999999993" customHeight="1" x14ac:dyDescent="0.25">
      <c r="A91" s="59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3"/>
    </row>
    <row r="92" spans="1:17" s="4" customFormat="1" ht="30" customHeight="1" x14ac:dyDescent="0.25">
      <c r="A92" s="63" t="s">
        <v>24</v>
      </c>
      <c r="B92" s="16">
        <v>2190</v>
      </c>
      <c r="C92" s="16">
        <v>1</v>
      </c>
      <c r="D92" s="15" t="s">
        <v>47</v>
      </c>
      <c r="E92" s="17" t="s">
        <v>75</v>
      </c>
      <c r="F92" s="15" t="s">
        <v>89</v>
      </c>
      <c r="G92" s="16">
        <v>23</v>
      </c>
      <c r="H92" s="9">
        <v>52074</v>
      </c>
      <c r="I92" s="9" t="s">
        <v>96</v>
      </c>
      <c r="J92" s="16">
        <v>1966</v>
      </c>
      <c r="K92" s="17">
        <v>3</v>
      </c>
      <c r="L92" s="17">
        <v>3.32</v>
      </c>
      <c r="M92" s="29">
        <v>1561.32</v>
      </c>
      <c r="N92" s="168">
        <f>5200.66</f>
        <v>5200.66</v>
      </c>
      <c r="O92" s="17" t="s">
        <v>131</v>
      </c>
      <c r="P92" s="17" t="s">
        <v>148</v>
      </c>
      <c r="Q92" s="42" t="s">
        <v>143</v>
      </c>
    </row>
    <row r="93" spans="1:17" s="4" customFormat="1" ht="30" customHeight="1" x14ac:dyDescent="0.25">
      <c r="A93" s="63" t="s">
        <v>24</v>
      </c>
      <c r="B93" s="16">
        <v>2190</v>
      </c>
      <c r="C93" s="16">
        <v>2</v>
      </c>
      <c r="D93" s="15" t="s">
        <v>47</v>
      </c>
      <c r="E93" s="17" t="s">
        <v>75</v>
      </c>
      <c r="F93" s="15" t="s">
        <v>89</v>
      </c>
      <c r="G93" s="16">
        <v>23</v>
      </c>
      <c r="H93" s="9">
        <v>52074</v>
      </c>
      <c r="I93" s="9" t="s">
        <v>96</v>
      </c>
      <c r="J93" s="16">
        <v>1966</v>
      </c>
      <c r="K93" s="17">
        <v>2</v>
      </c>
      <c r="L93" s="17">
        <v>3.32</v>
      </c>
      <c r="M93" s="29">
        <v>1910.71</v>
      </c>
      <c r="N93" s="169"/>
      <c r="O93" s="17" t="s">
        <v>131</v>
      </c>
      <c r="P93" s="17" t="s">
        <v>148</v>
      </c>
      <c r="Q93" s="42" t="s">
        <v>143</v>
      </c>
    </row>
    <row r="94" spans="1:17" s="4" customFormat="1" ht="30" customHeight="1" x14ac:dyDescent="0.25">
      <c r="A94" s="63" t="s">
        <v>24</v>
      </c>
      <c r="B94" s="16">
        <v>2190</v>
      </c>
      <c r="C94" s="16">
        <v>3</v>
      </c>
      <c r="D94" s="15" t="s">
        <v>47</v>
      </c>
      <c r="E94" s="17" t="s">
        <v>75</v>
      </c>
      <c r="F94" s="15" t="s">
        <v>89</v>
      </c>
      <c r="G94" s="16">
        <v>23</v>
      </c>
      <c r="H94" s="9">
        <v>52074</v>
      </c>
      <c r="I94" s="9" t="s">
        <v>96</v>
      </c>
      <c r="J94" s="16">
        <v>1966</v>
      </c>
      <c r="K94" s="17">
        <v>1</v>
      </c>
      <c r="L94" s="17">
        <v>3.32</v>
      </c>
      <c r="M94" s="29">
        <v>167.31</v>
      </c>
      <c r="N94" s="169"/>
      <c r="O94" s="17" t="s">
        <v>131</v>
      </c>
      <c r="P94" s="17" t="s">
        <v>147</v>
      </c>
      <c r="Q94" s="42" t="s">
        <v>143</v>
      </c>
    </row>
    <row r="95" spans="1:17" s="4" customFormat="1" ht="30" customHeight="1" x14ac:dyDescent="0.25">
      <c r="A95" s="63" t="s">
        <v>24</v>
      </c>
      <c r="B95" s="16">
        <v>2190</v>
      </c>
      <c r="C95" s="16">
        <v>4</v>
      </c>
      <c r="D95" s="15" t="s">
        <v>47</v>
      </c>
      <c r="E95" s="17" t="s">
        <v>75</v>
      </c>
      <c r="F95" s="15" t="s">
        <v>89</v>
      </c>
      <c r="G95" s="16">
        <v>23</v>
      </c>
      <c r="H95" s="9">
        <v>52074</v>
      </c>
      <c r="I95" s="9" t="s">
        <v>96</v>
      </c>
      <c r="J95" s="16">
        <v>1966</v>
      </c>
      <c r="K95" s="17">
        <v>3</v>
      </c>
      <c r="L95" s="17">
        <v>3.32</v>
      </c>
      <c r="M95" s="29">
        <v>1561.32</v>
      </c>
      <c r="N95" s="170"/>
      <c r="O95" s="17" t="s">
        <v>131</v>
      </c>
      <c r="P95" s="17" t="s">
        <v>148</v>
      </c>
      <c r="Q95" s="42" t="s">
        <v>143</v>
      </c>
    </row>
    <row r="96" spans="1:17" s="7" customFormat="1" ht="9.9499999999999993" customHeight="1" x14ac:dyDescent="0.25">
      <c r="A96" s="59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3"/>
    </row>
    <row r="97" spans="1:17" s="4" customFormat="1" ht="30" customHeight="1" x14ac:dyDescent="0.25">
      <c r="A97" s="63" t="s">
        <v>24</v>
      </c>
      <c r="B97" s="16">
        <v>2191</v>
      </c>
      <c r="C97" s="16">
        <v>1</v>
      </c>
      <c r="D97" s="15" t="s">
        <v>48</v>
      </c>
      <c r="E97" s="17" t="s">
        <v>75</v>
      </c>
      <c r="F97" s="15" t="s">
        <v>88</v>
      </c>
      <c r="G97" s="16">
        <v>6</v>
      </c>
      <c r="H97" s="9">
        <v>52074</v>
      </c>
      <c r="I97" s="9" t="s">
        <v>96</v>
      </c>
      <c r="J97" s="16">
        <v>2009</v>
      </c>
      <c r="K97" s="17">
        <v>3</v>
      </c>
      <c r="L97" s="30">
        <v>3.8</v>
      </c>
      <c r="M97" s="29">
        <f>1507.21+535.02</f>
        <v>2042.23</v>
      </c>
      <c r="N97" s="168">
        <f>3549.44</f>
        <v>3549.44</v>
      </c>
      <c r="O97" s="17" t="s">
        <v>145</v>
      </c>
      <c r="P97" s="17" t="s">
        <v>147</v>
      </c>
      <c r="Q97" s="42" t="s">
        <v>144</v>
      </c>
    </row>
    <row r="98" spans="1:17" s="4" customFormat="1" ht="30" customHeight="1" x14ac:dyDescent="0.25">
      <c r="A98" s="63" t="s">
        <v>24</v>
      </c>
      <c r="B98" s="16">
        <v>2191</v>
      </c>
      <c r="C98" s="16">
        <v>2</v>
      </c>
      <c r="D98" s="15" t="s">
        <v>48</v>
      </c>
      <c r="E98" s="17" t="s">
        <v>75</v>
      </c>
      <c r="F98" s="15" t="s">
        <v>88</v>
      </c>
      <c r="G98" s="16">
        <v>6</v>
      </c>
      <c r="H98" s="9">
        <v>52074</v>
      </c>
      <c r="I98" s="9" t="s">
        <v>96</v>
      </c>
      <c r="J98" s="16">
        <v>2009</v>
      </c>
      <c r="K98" s="17">
        <v>2</v>
      </c>
      <c r="L98" s="30">
        <v>3.8</v>
      </c>
      <c r="M98" s="29">
        <v>1507.21</v>
      </c>
      <c r="N98" s="170"/>
      <c r="O98" s="17" t="s">
        <v>145</v>
      </c>
      <c r="P98" s="17" t="s">
        <v>147</v>
      </c>
      <c r="Q98" s="42" t="s">
        <v>144</v>
      </c>
    </row>
    <row r="99" spans="1:17" s="7" customFormat="1" ht="9.9499999999999993" customHeight="1" x14ac:dyDescent="0.25">
      <c r="A99" s="59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3"/>
    </row>
    <row r="100" spans="1:17" s="4" customFormat="1" ht="30" customHeight="1" x14ac:dyDescent="0.25">
      <c r="A100" s="63" t="s">
        <v>24</v>
      </c>
      <c r="B100" s="16">
        <v>2220</v>
      </c>
      <c r="C100" s="16">
        <v>1</v>
      </c>
      <c r="D100" s="15" t="s">
        <v>49</v>
      </c>
      <c r="E100" s="17" t="s">
        <v>79</v>
      </c>
      <c r="F100" s="15" t="s">
        <v>88</v>
      </c>
      <c r="G100" s="16">
        <v>14</v>
      </c>
      <c r="H100" s="9">
        <v>52074</v>
      </c>
      <c r="I100" s="9" t="s">
        <v>96</v>
      </c>
      <c r="J100" s="16">
        <v>1961</v>
      </c>
      <c r="K100" s="17">
        <v>1</v>
      </c>
      <c r="L100" s="30">
        <v>4.5</v>
      </c>
      <c r="M100" s="29">
        <v>216.82</v>
      </c>
      <c r="N100" s="168">
        <v>321.81</v>
      </c>
      <c r="O100" s="17" t="s">
        <v>131</v>
      </c>
      <c r="P100" s="17" t="s">
        <v>147</v>
      </c>
      <c r="Q100" s="42" t="s">
        <v>143</v>
      </c>
    </row>
    <row r="101" spans="1:17" s="4" customFormat="1" ht="30" customHeight="1" x14ac:dyDescent="0.25">
      <c r="A101" s="63" t="s">
        <v>24</v>
      </c>
      <c r="B101" s="16">
        <v>2220</v>
      </c>
      <c r="C101" s="16">
        <v>2</v>
      </c>
      <c r="D101" s="15" t="s">
        <v>49</v>
      </c>
      <c r="E101" s="17" t="s">
        <v>79</v>
      </c>
      <c r="F101" s="15" t="s">
        <v>88</v>
      </c>
      <c r="G101" s="16">
        <v>14</v>
      </c>
      <c r="H101" s="9">
        <v>52074</v>
      </c>
      <c r="I101" s="9" t="s">
        <v>96</v>
      </c>
      <c r="J101" s="16">
        <v>1961</v>
      </c>
      <c r="K101" s="17">
        <v>1</v>
      </c>
      <c r="L101" s="30">
        <v>3.2</v>
      </c>
      <c r="M101" s="29">
        <v>104.99</v>
      </c>
      <c r="N101" s="170"/>
      <c r="O101" s="17" t="s">
        <v>131</v>
      </c>
      <c r="P101" s="17" t="s">
        <v>147</v>
      </c>
      <c r="Q101" s="42" t="s">
        <v>144</v>
      </c>
    </row>
    <row r="102" spans="1:17" s="7" customFormat="1" ht="9.9499999999999993" customHeight="1" x14ac:dyDescent="0.25">
      <c r="A102" s="59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3"/>
    </row>
    <row r="103" spans="1:17" s="4" customFormat="1" ht="30" customHeight="1" x14ac:dyDescent="0.25">
      <c r="A103" s="63" t="s">
        <v>24</v>
      </c>
      <c r="B103" s="16">
        <v>2230</v>
      </c>
      <c r="C103" s="16" t="s">
        <v>10</v>
      </c>
      <c r="D103" s="15" t="s">
        <v>106</v>
      </c>
      <c r="E103" s="17" t="s">
        <v>78</v>
      </c>
      <c r="F103" s="15" t="s">
        <v>88</v>
      </c>
      <c r="G103" s="16">
        <v>16</v>
      </c>
      <c r="H103" s="9">
        <v>52074</v>
      </c>
      <c r="I103" s="9" t="s">
        <v>96</v>
      </c>
      <c r="J103" s="16">
        <v>2004</v>
      </c>
      <c r="K103" s="17">
        <v>1</v>
      </c>
      <c r="L103" s="30">
        <v>7.3</v>
      </c>
      <c r="M103" s="29">
        <v>419.43</v>
      </c>
      <c r="N103" s="29">
        <f>M103</f>
        <v>419.43</v>
      </c>
      <c r="O103" s="17" t="s">
        <v>131</v>
      </c>
      <c r="P103" s="17" t="s">
        <v>147</v>
      </c>
      <c r="Q103" s="42" t="s">
        <v>144</v>
      </c>
    </row>
    <row r="104" spans="1:17" s="7" customFormat="1" ht="9.9499999999999993" customHeight="1" x14ac:dyDescent="0.25">
      <c r="A104" s="59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3"/>
    </row>
    <row r="105" spans="1:17" s="4" customFormat="1" ht="30" customHeight="1" x14ac:dyDescent="0.25">
      <c r="A105" s="63" t="s">
        <v>24</v>
      </c>
      <c r="B105" s="16">
        <v>2280</v>
      </c>
      <c r="C105" s="16" t="s">
        <v>10</v>
      </c>
      <c r="D105" s="15" t="s">
        <v>50</v>
      </c>
      <c r="E105" s="17" t="s">
        <v>75</v>
      </c>
      <c r="F105" s="15" t="s">
        <v>88</v>
      </c>
      <c r="G105" s="16">
        <v>5</v>
      </c>
      <c r="H105" s="9">
        <v>52074</v>
      </c>
      <c r="I105" s="9" t="s">
        <v>96</v>
      </c>
      <c r="J105" s="16">
        <v>2008</v>
      </c>
      <c r="K105" s="17">
        <v>3</v>
      </c>
      <c r="L105" s="30">
        <v>3.2</v>
      </c>
      <c r="M105" s="29">
        <v>1487.33</v>
      </c>
      <c r="N105" s="29">
        <f>M105</f>
        <v>1487.33</v>
      </c>
      <c r="O105" s="17" t="s">
        <v>145</v>
      </c>
      <c r="P105" s="17" t="s">
        <v>147</v>
      </c>
      <c r="Q105" s="42" t="s">
        <v>143</v>
      </c>
    </row>
    <row r="106" spans="1:17" s="7" customFormat="1" ht="9.9499999999999993" customHeight="1" x14ac:dyDescent="0.25">
      <c r="A106" s="59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3"/>
    </row>
    <row r="107" spans="1:17" s="4" customFormat="1" ht="30" customHeight="1" x14ac:dyDescent="0.25">
      <c r="A107" s="63" t="s">
        <v>24</v>
      </c>
      <c r="B107" s="16">
        <v>2290</v>
      </c>
      <c r="C107" s="16">
        <v>1</v>
      </c>
      <c r="D107" s="15" t="s">
        <v>51</v>
      </c>
      <c r="E107" s="17" t="s">
        <v>75</v>
      </c>
      <c r="F107" s="15" t="s">
        <v>90</v>
      </c>
      <c r="G107" s="16">
        <v>10</v>
      </c>
      <c r="H107" s="9">
        <v>52074</v>
      </c>
      <c r="I107" s="9" t="s">
        <v>96</v>
      </c>
      <c r="J107" s="16">
        <v>2007</v>
      </c>
      <c r="K107" s="17">
        <v>5</v>
      </c>
      <c r="L107" s="30">
        <v>3.5</v>
      </c>
      <c r="M107" s="29">
        <f>N107/3</f>
        <v>1917.8666666666668</v>
      </c>
      <c r="N107" s="168">
        <f>1150.72*5</f>
        <v>5753.6</v>
      </c>
      <c r="O107" s="17" t="s">
        <v>145</v>
      </c>
      <c r="P107" s="17" t="s">
        <v>147</v>
      </c>
      <c r="Q107" s="42" t="s">
        <v>143</v>
      </c>
    </row>
    <row r="108" spans="1:17" s="4" customFormat="1" ht="30" customHeight="1" x14ac:dyDescent="0.25">
      <c r="A108" s="63" t="s">
        <v>24</v>
      </c>
      <c r="B108" s="16">
        <v>2290</v>
      </c>
      <c r="C108" s="16">
        <v>2</v>
      </c>
      <c r="D108" s="15" t="s">
        <v>51</v>
      </c>
      <c r="E108" s="17" t="s">
        <v>75</v>
      </c>
      <c r="F108" s="15" t="s">
        <v>90</v>
      </c>
      <c r="G108" s="16">
        <v>10</v>
      </c>
      <c r="H108" s="9">
        <v>52074</v>
      </c>
      <c r="I108" s="9" t="s">
        <v>96</v>
      </c>
      <c r="J108" s="16">
        <v>2007</v>
      </c>
      <c r="K108" s="17">
        <v>5</v>
      </c>
      <c r="L108" s="30">
        <v>3.5</v>
      </c>
      <c r="M108" s="29">
        <v>1917.87</v>
      </c>
      <c r="N108" s="169"/>
      <c r="O108" s="17" t="s">
        <v>145</v>
      </c>
      <c r="P108" s="17" t="s">
        <v>147</v>
      </c>
      <c r="Q108" s="42" t="s">
        <v>143</v>
      </c>
    </row>
    <row r="109" spans="1:17" s="4" customFormat="1" ht="30" customHeight="1" x14ac:dyDescent="0.25">
      <c r="A109" s="63" t="s">
        <v>24</v>
      </c>
      <c r="B109" s="16">
        <v>2290</v>
      </c>
      <c r="C109" s="16">
        <v>3</v>
      </c>
      <c r="D109" s="15" t="s">
        <v>51</v>
      </c>
      <c r="E109" s="17" t="s">
        <v>75</v>
      </c>
      <c r="F109" s="15" t="s">
        <v>90</v>
      </c>
      <c r="G109" s="16">
        <v>10</v>
      </c>
      <c r="H109" s="9">
        <v>52074</v>
      </c>
      <c r="I109" s="9" t="s">
        <v>96</v>
      </c>
      <c r="J109" s="16">
        <v>2007</v>
      </c>
      <c r="K109" s="17">
        <v>5</v>
      </c>
      <c r="L109" s="30">
        <v>3.5</v>
      </c>
      <c r="M109" s="29">
        <v>1917.87</v>
      </c>
      <c r="N109" s="170"/>
      <c r="O109" s="17" t="s">
        <v>145</v>
      </c>
      <c r="P109" s="17" t="s">
        <v>147</v>
      </c>
      <c r="Q109" s="42" t="s">
        <v>143</v>
      </c>
    </row>
    <row r="110" spans="1:17" s="7" customFormat="1" ht="9.9499999999999993" customHeight="1" x14ac:dyDescent="0.25">
      <c r="A110" s="59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3"/>
    </row>
    <row r="111" spans="1:17" s="4" customFormat="1" ht="30" customHeight="1" x14ac:dyDescent="0.25">
      <c r="A111" s="64" t="s">
        <v>26</v>
      </c>
      <c r="B111" s="16">
        <v>2110</v>
      </c>
      <c r="C111" s="16">
        <v>1</v>
      </c>
      <c r="D111" s="15" t="s">
        <v>102</v>
      </c>
      <c r="E111" s="17" t="s">
        <v>75</v>
      </c>
      <c r="F111" s="15" t="s">
        <v>90</v>
      </c>
      <c r="G111" s="16" t="s">
        <v>10</v>
      </c>
      <c r="H111" s="9">
        <v>52074</v>
      </c>
      <c r="I111" s="9" t="s">
        <v>96</v>
      </c>
      <c r="J111" s="16">
        <v>1961</v>
      </c>
      <c r="K111" s="17">
        <v>3</v>
      </c>
      <c r="L111" s="17">
        <v>3.24</v>
      </c>
      <c r="M111" s="29">
        <v>1684.04</v>
      </c>
      <c r="N111" s="168">
        <f>1758.63+1179.7</f>
        <v>2938.33</v>
      </c>
      <c r="O111" s="17" t="s">
        <v>145</v>
      </c>
      <c r="P111" s="17" t="s">
        <v>148</v>
      </c>
      <c r="Q111" s="42" t="s">
        <v>143</v>
      </c>
    </row>
    <row r="112" spans="1:17" s="4" customFormat="1" ht="30" customHeight="1" x14ac:dyDescent="0.25">
      <c r="A112" s="64" t="s">
        <v>26</v>
      </c>
      <c r="B112" s="16">
        <v>2110</v>
      </c>
      <c r="C112" s="16">
        <v>2</v>
      </c>
      <c r="D112" s="15" t="s">
        <v>101</v>
      </c>
      <c r="E112" s="17" t="s">
        <v>98</v>
      </c>
      <c r="F112" s="15" t="s">
        <v>90</v>
      </c>
      <c r="G112" s="16" t="s">
        <v>10</v>
      </c>
      <c r="H112" s="9">
        <v>52075</v>
      </c>
      <c r="I112" s="9" t="s">
        <v>96</v>
      </c>
      <c r="J112" s="16">
        <v>1961</v>
      </c>
      <c r="K112" s="17">
        <v>1</v>
      </c>
      <c r="L112" s="30">
        <v>2.6</v>
      </c>
      <c r="M112" s="29">
        <v>74.59</v>
      </c>
      <c r="N112" s="169"/>
      <c r="O112" s="17" t="s">
        <v>131</v>
      </c>
      <c r="P112" s="17" t="s">
        <v>147</v>
      </c>
      <c r="Q112" s="42" t="s">
        <v>143</v>
      </c>
    </row>
    <row r="113" spans="1:17" s="4" customFormat="1" ht="30" customHeight="1" x14ac:dyDescent="0.25">
      <c r="A113" s="64" t="s">
        <v>26</v>
      </c>
      <c r="B113" s="16">
        <v>2110</v>
      </c>
      <c r="C113" s="16">
        <v>3</v>
      </c>
      <c r="D113" s="15" t="s">
        <v>103</v>
      </c>
      <c r="E113" s="17" t="s">
        <v>98</v>
      </c>
      <c r="F113" s="15" t="s">
        <v>90</v>
      </c>
      <c r="G113" s="16" t="s">
        <v>10</v>
      </c>
      <c r="H113" s="9">
        <v>52076</v>
      </c>
      <c r="I113" s="9" t="s">
        <v>96</v>
      </c>
      <c r="J113" s="16" t="s">
        <v>10</v>
      </c>
      <c r="K113" s="17">
        <v>2</v>
      </c>
      <c r="L113" s="17">
        <v>3.94</v>
      </c>
      <c r="M113" s="29">
        <v>1179.7</v>
      </c>
      <c r="N113" s="170"/>
      <c r="O113" s="17" t="s">
        <v>145</v>
      </c>
      <c r="P113" s="17" t="s">
        <v>147</v>
      </c>
      <c r="Q113" s="42" t="s">
        <v>143</v>
      </c>
    </row>
    <row r="114" spans="1:17" s="7" customFormat="1" ht="9.9499999999999993" customHeight="1" x14ac:dyDescent="0.25">
      <c r="A114" s="59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3"/>
    </row>
    <row r="115" spans="1:17" s="4" customFormat="1" ht="30" customHeight="1" x14ac:dyDescent="0.25">
      <c r="A115" s="64" t="s">
        <v>26</v>
      </c>
      <c r="B115" s="16">
        <v>2111</v>
      </c>
      <c r="C115" s="16">
        <v>1</v>
      </c>
      <c r="D115" s="15" t="s">
        <v>25</v>
      </c>
      <c r="E115" s="17" t="s">
        <v>98</v>
      </c>
      <c r="F115" s="15" t="s">
        <v>91</v>
      </c>
      <c r="G115" s="16" t="s">
        <v>100</v>
      </c>
      <c r="H115" s="9">
        <v>52074</v>
      </c>
      <c r="I115" s="9" t="s">
        <v>96</v>
      </c>
      <c r="J115" s="16">
        <v>1961</v>
      </c>
      <c r="K115" s="17">
        <v>2</v>
      </c>
      <c r="L115" s="30">
        <v>4.0999999999999996</v>
      </c>
      <c r="M115" s="29">
        <v>1380.71</v>
      </c>
      <c r="N115" s="168">
        <f>3302.17</f>
        <v>3302.17</v>
      </c>
      <c r="O115" s="17" t="s">
        <v>145</v>
      </c>
      <c r="P115" s="17" t="s">
        <v>147</v>
      </c>
      <c r="Q115" s="42" t="s">
        <v>143</v>
      </c>
    </row>
    <row r="116" spans="1:17" s="4" customFormat="1" ht="30" customHeight="1" x14ac:dyDescent="0.25">
      <c r="A116" s="64" t="s">
        <v>26</v>
      </c>
      <c r="B116" s="16">
        <v>2111</v>
      </c>
      <c r="C116" s="16">
        <v>2</v>
      </c>
      <c r="D116" s="15" t="s">
        <v>25</v>
      </c>
      <c r="E116" s="17" t="s">
        <v>98</v>
      </c>
      <c r="F116" s="15" t="s">
        <v>91</v>
      </c>
      <c r="G116" s="16" t="s">
        <v>100</v>
      </c>
      <c r="H116" s="9">
        <v>52074</v>
      </c>
      <c r="I116" s="9" t="s">
        <v>96</v>
      </c>
      <c r="J116" s="16">
        <v>1961</v>
      </c>
      <c r="K116" s="17">
        <v>2</v>
      </c>
      <c r="L116" s="30">
        <v>3.2</v>
      </c>
      <c r="M116" s="29">
        <v>196.55</v>
      </c>
      <c r="N116" s="169"/>
      <c r="O116" s="17" t="s">
        <v>131</v>
      </c>
      <c r="P116" s="17" t="s">
        <v>149</v>
      </c>
      <c r="Q116" s="42" t="s">
        <v>144</v>
      </c>
    </row>
    <row r="117" spans="1:17" s="4" customFormat="1" ht="30" customHeight="1" x14ac:dyDescent="0.25">
      <c r="A117" s="64" t="s">
        <v>26</v>
      </c>
      <c r="B117" s="16">
        <v>2111</v>
      </c>
      <c r="C117" s="16">
        <v>3</v>
      </c>
      <c r="D117" s="15" t="s">
        <v>110</v>
      </c>
      <c r="E117" s="17" t="s">
        <v>98</v>
      </c>
      <c r="F117" s="15" t="s">
        <v>91</v>
      </c>
      <c r="G117" s="16" t="s">
        <v>100</v>
      </c>
      <c r="H117" s="9">
        <v>52074</v>
      </c>
      <c r="I117" s="9" t="s">
        <v>96</v>
      </c>
      <c r="J117" s="16">
        <v>1961</v>
      </c>
      <c r="K117" s="17">
        <v>1</v>
      </c>
      <c r="L117" s="30">
        <v>11.5</v>
      </c>
      <c r="M117" s="29">
        <v>1526.78</v>
      </c>
      <c r="N117" s="169"/>
      <c r="O117" s="17" t="s">
        <v>131</v>
      </c>
      <c r="P117" s="17" t="s">
        <v>147</v>
      </c>
      <c r="Q117" s="42" t="s">
        <v>144</v>
      </c>
    </row>
    <row r="118" spans="1:17" s="4" customFormat="1" ht="30" customHeight="1" x14ac:dyDescent="0.25">
      <c r="A118" s="64" t="s">
        <v>26</v>
      </c>
      <c r="B118" s="16">
        <v>2111</v>
      </c>
      <c r="C118" s="16">
        <v>4</v>
      </c>
      <c r="D118" s="15" t="s">
        <v>25</v>
      </c>
      <c r="E118" s="17" t="s">
        <v>98</v>
      </c>
      <c r="F118" s="15" t="s">
        <v>91</v>
      </c>
      <c r="G118" s="16" t="s">
        <v>100</v>
      </c>
      <c r="H118" s="9">
        <v>52074</v>
      </c>
      <c r="I118" s="9" t="s">
        <v>96</v>
      </c>
      <c r="J118" s="16">
        <v>1961</v>
      </c>
      <c r="K118" s="17">
        <v>2</v>
      </c>
      <c r="L118" s="30">
        <v>3.2</v>
      </c>
      <c r="M118" s="29">
        <v>198.13</v>
      </c>
      <c r="N118" s="170"/>
      <c r="O118" s="17" t="s">
        <v>131</v>
      </c>
      <c r="P118" s="17" t="s">
        <v>147</v>
      </c>
      <c r="Q118" s="42" t="s">
        <v>143</v>
      </c>
    </row>
    <row r="119" spans="1:17" s="7" customFormat="1" ht="9.9499999999999993" customHeight="1" x14ac:dyDescent="0.25">
      <c r="A119" s="59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3"/>
    </row>
    <row r="120" spans="1:17" s="4" customFormat="1" ht="30" customHeight="1" x14ac:dyDescent="0.25">
      <c r="A120" s="64" t="s">
        <v>26</v>
      </c>
      <c r="B120" s="20">
        <v>2125</v>
      </c>
      <c r="C120" s="20" t="s">
        <v>10</v>
      </c>
      <c r="D120" s="21" t="s">
        <v>27</v>
      </c>
      <c r="E120" s="19" t="s">
        <v>98</v>
      </c>
      <c r="F120" s="21" t="s">
        <v>90</v>
      </c>
      <c r="G120" s="20" t="s">
        <v>10</v>
      </c>
      <c r="H120" s="19">
        <v>52074</v>
      </c>
      <c r="I120" s="19" t="s">
        <v>96</v>
      </c>
      <c r="J120" s="20">
        <v>2015</v>
      </c>
      <c r="K120" s="19">
        <v>1</v>
      </c>
      <c r="L120" s="19">
        <v>4.1500000000000004</v>
      </c>
      <c r="M120" s="19">
        <f>14.9*14.9</f>
        <v>222.01000000000002</v>
      </c>
      <c r="N120" s="19">
        <f>M120</f>
        <v>222.01000000000002</v>
      </c>
      <c r="O120" s="19" t="s">
        <v>131</v>
      </c>
      <c r="P120" s="19" t="s">
        <v>149</v>
      </c>
      <c r="Q120" s="68" t="s">
        <v>144</v>
      </c>
    </row>
    <row r="121" spans="1:17" s="7" customFormat="1" ht="9.9499999999999993" customHeight="1" x14ac:dyDescent="0.25">
      <c r="A121" s="59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3"/>
    </row>
    <row r="122" spans="1:17" s="4" customFormat="1" ht="30" customHeight="1" x14ac:dyDescent="0.25">
      <c r="A122" s="64" t="s">
        <v>26</v>
      </c>
      <c r="B122" s="20">
        <v>2130</v>
      </c>
      <c r="C122" s="20" t="s">
        <v>10</v>
      </c>
      <c r="D122" s="21" t="s">
        <v>28</v>
      </c>
      <c r="E122" s="19" t="s">
        <v>75</v>
      </c>
      <c r="F122" s="21" t="s">
        <v>90</v>
      </c>
      <c r="G122" s="20">
        <v>1</v>
      </c>
      <c r="H122" s="19">
        <v>52074</v>
      </c>
      <c r="I122" s="19" t="s">
        <v>96</v>
      </c>
      <c r="J122" s="20">
        <v>1959</v>
      </c>
      <c r="K122" s="19">
        <v>8</v>
      </c>
      <c r="L122" s="67">
        <v>3.6</v>
      </c>
      <c r="M122" s="67">
        <v>10819.8</v>
      </c>
      <c r="N122" s="19">
        <f>M122</f>
        <v>10819.8</v>
      </c>
      <c r="O122" s="19" t="s">
        <v>145</v>
      </c>
      <c r="P122" s="19" t="s">
        <v>148</v>
      </c>
      <c r="Q122" s="68" t="s">
        <v>143</v>
      </c>
    </row>
    <row r="123" spans="1:17" s="7" customFormat="1" ht="9.9499999999999993" customHeight="1" x14ac:dyDescent="0.25">
      <c r="A123" s="59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3"/>
    </row>
    <row r="124" spans="1:17" s="4" customFormat="1" ht="30" customHeight="1" x14ac:dyDescent="0.25">
      <c r="A124" s="64" t="s">
        <v>26</v>
      </c>
      <c r="B124" s="16">
        <v>2131</v>
      </c>
      <c r="C124" s="16">
        <v>1</v>
      </c>
      <c r="D124" s="15" t="s">
        <v>29</v>
      </c>
      <c r="E124" s="17" t="s">
        <v>76</v>
      </c>
      <c r="F124" s="15" t="s">
        <v>90</v>
      </c>
      <c r="G124" s="16">
        <v>1</v>
      </c>
      <c r="H124" s="9">
        <v>52074</v>
      </c>
      <c r="I124" s="9" t="s">
        <v>96</v>
      </c>
      <c r="J124" s="16">
        <v>1959</v>
      </c>
      <c r="K124" s="17">
        <v>2</v>
      </c>
      <c r="L124" s="29">
        <f>7.7/2</f>
        <v>3.85</v>
      </c>
      <c r="M124" s="29">
        <v>161.74</v>
      </c>
      <c r="N124" s="168">
        <v>682.61</v>
      </c>
      <c r="O124" s="17" t="s">
        <v>131</v>
      </c>
      <c r="P124" s="17" t="s">
        <v>149</v>
      </c>
      <c r="Q124" s="42" t="s">
        <v>144</v>
      </c>
    </row>
    <row r="125" spans="1:17" s="4" customFormat="1" ht="30" customHeight="1" x14ac:dyDescent="0.25">
      <c r="A125" s="64" t="s">
        <v>26</v>
      </c>
      <c r="B125" s="16">
        <v>2131</v>
      </c>
      <c r="C125" s="16">
        <v>2</v>
      </c>
      <c r="D125" s="15" t="s">
        <v>29</v>
      </c>
      <c r="E125" s="17" t="s">
        <v>76</v>
      </c>
      <c r="F125" s="15" t="s">
        <v>90</v>
      </c>
      <c r="G125" s="16">
        <v>1</v>
      </c>
      <c r="H125" s="9">
        <v>52074</v>
      </c>
      <c r="I125" s="9" t="s">
        <v>96</v>
      </c>
      <c r="J125" s="16">
        <v>1959</v>
      </c>
      <c r="K125" s="17">
        <v>1</v>
      </c>
      <c r="L125" s="29">
        <f>11.5-3.15</f>
        <v>8.35</v>
      </c>
      <c r="M125" s="29">
        <v>179.97</v>
      </c>
      <c r="N125" s="169"/>
      <c r="O125" s="17" t="s">
        <v>131</v>
      </c>
      <c r="P125" s="17" t="s">
        <v>147</v>
      </c>
      <c r="Q125" s="42" t="s">
        <v>144</v>
      </c>
    </row>
    <row r="126" spans="1:17" s="4" customFormat="1" ht="30" customHeight="1" x14ac:dyDescent="0.25">
      <c r="A126" s="64" t="s">
        <v>26</v>
      </c>
      <c r="B126" s="16">
        <v>2131</v>
      </c>
      <c r="C126" s="16">
        <v>3</v>
      </c>
      <c r="D126" s="15" t="s">
        <v>29</v>
      </c>
      <c r="E126" s="17" t="s">
        <v>76</v>
      </c>
      <c r="F126" s="15" t="s">
        <v>90</v>
      </c>
      <c r="G126" s="16">
        <v>1</v>
      </c>
      <c r="H126" s="9">
        <v>52074</v>
      </c>
      <c r="I126" s="9" t="s">
        <v>96</v>
      </c>
      <c r="J126" s="16">
        <v>1959</v>
      </c>
      <c r="K126" s="17">
        <v>2</v>
      </c>
      <c r="L126" s="29">
        <f>9.5/2</f>
        <v>4.75</v>
      </c>
      <c r="M126" s="29">
        <v>162.29</v>
      </c>
      <c r="N126" s="169"/>
      <c r="O126" s="17" t="s">
        <v>131</v>
      </c>
      <c r="P126" s="17" t="s">
        <v>149</v>
      </c>
      <c r="Q126" s="42" t="s">
        <v>144</v>
      </c>
    </row>
    <row r="127" spans="1:17" s="4" customFormat="1" ht="30" customHeight="1" x14ac:dyDescent="0.25">
      <c r="A127" s="64" t="s">
        <v>26</v>
      </c>
      <c r="B127" s="16">
        <v>2131</v>
      </c>
      <c r="C127" s="16">
        <v>4</v>
      </c>
      <c r="D127" s="15" t="s">
        <v>29</v>
      </c>
      <c r="E127" s="17" t="s">
        <v>76</v>
      </c>
      <c r="F127" s="15" t="s">
        <v>90</v>
      </c>
      <c r="G127" s="16">
        <v>1</v>
      </c>
      <c r="H127" s="9">
        <v>52074</v>
      </c>
      <c r="I127" s="9" t="s">
        <v>96</v>
      </c>
      <c r="J127" s="16">
        <v>1959</v>
      </c>
      <c r="K127" s="17">
        <v>1</v>
      </c>
      <c r="L127" s="29">
        <v>8.35</v>
      </c>
      <c r="M127" s="29">
        <v>178.6</v>
      </c>
      <c r="N127" s="170"/>
      <c r="O127" s="17" t="s">
        <v>131</v>
      </c>
      <c r="P127" s="17" t="s">
        <v>147</v>
      </c>
      <c r="Q127" s="42" t="s">
        <v>144</v>
      </c>
    </row>
    <row r="128" spans="1:17" s="7" customFormat="1" ht="9.9499999999999993" customHeight="1" x14ac:dyDescent="0.25">
      <c r="A128" s="59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3"/>
    </row>
    <row r="129" spans="1:17" s="4" customFormat="1" ht="30" customHeight="1" x14ac:dyDescent="0.25">
      <c r="A129" s="64" t="s">
        <v>26</v>
      </c>
      <c r="B129" s="16">
        <v>2132</v>
      </c>
      <c r="C129" s="16" t="s">
        <v>10</v>
      </c>
      <c r="D129" s="15" t="s">
        <v>30</v>
      </c>
      <c r="E129" s="17" t="s">
        <v>78</v>
      </c>
      <c r="F129" s="15" t="s">
        <v>90</v>
      </c>
      <c r="G129" s="16">
        <v>1</v>
      </c>
      <c r="H129" s="9">
        <v>52074</v>
      </c>
      <c r="I129" s="9" t="s">
        <v>96</v>
      </c>
      <c r="J129" s="16">
        <v>1959</v>
      </c>
      <c r="K129" s="17">
        <v>1</v>
      </c>
      <c r="L129" s="30">
        <v>6.5</v>
      </c>
      <c r="M129" s="29">
        <v>1364.11</v>
      </c>
      <c r="N129" s="29">
        <f>M129</f>
        <v>1364.11</v>
      </c>
      <c r="O129" s="17" t="s">
        <v>145</v>
      </c>
      <c r="P129" s="17" t="s">
        <v>148</v>
      </c>
      <c r="Q129" s="42" t="s">
        <v>144</v>
      </c>
    </row>
    <row r="130" spans="1:17" s="7" customFormat="1" ht="9.9499999999999993" customHeight="1" x14ac:dyDescent="0.25">
      <c r="A130" s="59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3"/>
    </row>
    <row r="131" spans="1:17" s="4" customFormat="1" ht="30" customHeight="1" x14ac:dyDescent="0.25">
      <c r="A131" s="64" t="s">
        <v>26</v>
      </c>
      <c r="B131" s="16">
        <v>2133</v>
      </c>
      <c r="C131" s="16" t="s">
        <v>10</v>
      </c>
      <c r="D131" s="15" t="s">
        <v>31</v>
      </c>
      <c r="E131" s="17" t="s">
        <v>78</v>
      </c>
      <c r="F131" s="15" t="s">
        <v>90</v>
      </c>
      <c r="G131" s="16">
        <v>1</v>
      </c>
      <c r="H131" s="9">
        <v>52074</v>
      </c>
      <c r="I131" s="9" t="s">
        <v>96</v>
      </c>
      <c r="J131" s="16">
        <v>1959</v>
      </c>
      <c r="K131" s="17">
        <v>2</v>
      </c>
      <c r="L131" s="17">
        <v>4.25</v>
      </c>
      <c r="M131" s="29">
        <v>1007.71</v>
      </c>
      <c r="N131" s="29">
        <f>M131</f>
        <v>1007.71</v>
      </c>
      <c r="O131" s="17" t="s">
        <v>145</v>
      </c>
      <c r="P131" s="17" t="s">
        <v>148</v>
      </c>
      <c r="Q131" s="42" t="s">
        <v>144</v>
      </c>
    </row>
    <row r="132" spans="1:17" s="7" customFormat="1" ht="9.9499999999999993" customHeight="1" x14ac:dyDescent="0.25">
      <c r="A132" s="59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3"/>
    </row>
    <row r="133" spans="1:17" s="4" customFormat="1" ht="30" customHeight="1" x14ac:dyDescent="0.25">
      <c r="A133" s="64" t="s">
        <v>26</v>
      </c>
      <c r="B133" s="20">
        <v>2134</v>
      </c>
      <c r="C133" s="20" t="s">
        <v>10</v>
      </c>
      <c r="D133" s="21" t="s">
        <v>32</v>
      </c>
      <c r="E133" s="19" t="s">
        <v>78</v>
      </c>
      <c r="F133" s="21" t="s">
        <v>90</v>
      </c>
      <c r="G133" s="20">
        <v>1</v>
      </c>
      <c r="H133" s="19">
        <v>52074</v>
      </c>
      <c r="I133" s="19" t="s">
        <v>96</v>
      </c>
      <c r="J133" s="20">
        <v>1959</v>
      </c>
      <c r="K133" s="19">
        <v>2</v>
      </c>
      <c r="L133" s="19">
        <v>4.25</v>
      </c>
      <c r="M133" s="67">
        <v>1957.01</v>
      </c>
      <c r="N133" s="19">
        <f>M133</f>
        <v>1957.01</v>
      </c>
      <c r="O133" s="19" t="s">
        <v>145</v>
      </c>
      <c r="P133" s="19" t="s">
        <v>148</v>
      </c>
      <c r="Q133" s="68" t="s">
        <v>144</v>
      </c>
    </row>
    <row r="134" spans="1:17" s="7" customFormat="1" ht="9.9499999999999993" customHeight="1" x14ac:dyDescent="0.25">
      <c r="A134" s="59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3"/>
    </row>
    <row r="135" spans="1:17" s="4" customFormat="1" ht="30" customHeight="1" x14ac:dyDescent="0.25">
      <c r="A135" s="64" t="s">
        <v>26</v>
      </c>
      <c r="B135" s="16">
        <v>2135</v>
      </c>
      <c r="C135" s="16" t="s">
        <v>10</v>
      </c>
      <c r="D135" s="15" t="s">
        <v>33</v>
      </c>
      <c r="E135" s="17" t="s">
        <v>78</v>
      </c>
      <c r="F135" s="15" t="s">
        <v>90</v>
      </c>
      <c r="G135" s="16">
        <v>1</v>
      </c>
      <c r="H135" s="9">
        <v>52074</v>
      </c>
      <c r="I135" s="9" t="s">
        <v>96</v>
      </c>
      <c r="J135" s="16">
        <v>1959</v>
      </c>
      <c r="K135" s="17">
        <v>2</v>
      </c>
      <c r="L135" s="30">
        <v>4.9000000000000004</v>
      </c>
      <c r="M135" s="29">
        <v>1849.93</v>
      </c>
      <c r="N135" s="29">
        <f>M135</f>
        <v>1849.93</v>
      </c>
      <c r="O135" s="17" t="s">
        <v>145</v>
      </c>
      <c r="P135" s="17" t="s">
        <v>148</v>
      </c>
      <c r="Q135" s="42" t="s">
        <v>144</v>
      </c>
    </row>
    <row r="136" spans="1:17" s="7" customFormat="1" ht="9.9499999999999993" customHeight="1" x14ac:dyDescent="0.25">
      <c r="A136" s="59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3"/>
    </row>
    <row r="137" spans="1:17" s="4" customFormat="1" ht="30" customHeight="1" x14ac:dyDescent="0.25">
      <c r="A137" s="64" t="s">
        <v>26</v>
      </c>
      <c r="B137" s="16">
        <v>2137</v>
      </c>
      <c r="C137" s="16" t="s">
        <v>10</v>
      </c>
      <c r="D137" s="15" t="s">
        <v>34</v>
      </c>
      <c r="E137" s="17" t="s">
        <v>78</v>
      </c>
      <c r="F137" s="15" t="s">
        <v>90</v>
      </c>
      <c r="G137" s="16">
        <v>1</v>
      </c>
      <c r="H137" s="9">
        <v>52074</v>
      </c>
      <c r="I137" s="9" t="s">
        <v>96</v>
      </c>
      <c r="J137" s="16">
        <v>1959</v>
      </c>
      <c r="K137" s="17">
        <v>1</v>
      </c>
      <c r="L137" s="17">
        <v>8.85</v>
      </c>
      <c r="M137" s="29">
        <v>492.43</v>
      </c>
      <c r="N137" s="29">
        <f>M137</f>
        <v>492.43</v>
      </c>
      <c r="O137" s="17" t="s">
        <v>131</v>
      </c>
      <c r="P137" s="17" t="s">
        <v>147</v>
      </c>
      <c r="Q137" s="42" t="s">
        <v>144</v>
      </c>
    </row>
    <row r="138" spans="1:17" s="7" customFormat="1" ht="9.9499999999999993" customHeight="1" x14ac:dyDescent="0.25">
      <c r="A138" s="59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3"/>
    </row>
    <row r="139" spans="1:17" s="4" customFormat="1" ht="30" customHeight="1" x14ac:dyDescent="0.25">
      <c r="A139" s="64" t="s">
        <v>26</v>
      </c>
      <c r="B139" s="16">
        <v>2151</v>
      </c>
      <c r="C139" s="16" t="s">
        <v>10</v>
      </c>
      <c r="D139" s="15" t="s">
        <v>35</v>
      </c>
      <c r="E139" s="17" t="s">
        <v>98</v>
      </c>
      <c r="F139" s="15" t="s">
        <v>92</v>
      </c>
      <c r="G139" s="16">
        <v>30</v>
      </c>
      <c r="H139" s="9">
        <v>52074</v>
      </c>
      <c r="I139" s="9" t="s">
        <v>96</v>
      </c>
      <c r="J139" s="16">
        <v>2010</v>
      </c>
      <c r="K139" s="17">
        <v>2</v>
      </c>
      <c r="L139" s="17">
        <v>6.35</v>
      </c>
      <c r="M139" s="29">
        <v>1789.28</v>
      </c>
      <c r="N139" s="29">
        <f>M139</f>
        <v>1789.28</v>
      </c>
      <c r="O139" s="17" t="s">
        <v>145</v>
      </c>
      <c r="P139" s="17" t="s">
        <v>147</v>
      </c>
      <c r="Q139" s="42" t="s">
        <v>144</v>
      </c>
    </row>
    <row r="140" spans="1:17" s="7" customFormat="1" ht="9.9499999999999993" customHeight="1" x14ac:dyDescent="0.25">
      <c r="A140" s="59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3"/>
    </row>
    <row r="141" spans="1:17" s="4" customFormat="1" ht="30" customHeight="1" x14ac:dyDescent="0.25">
      <c r="A141" s="64" t="s">
        <v>26</v>
      </c>
      <c r="B141" s="16">
        <v>2165</v>
      </c>
      <c r="C141" s="16" t="s">
        <v>10</v>
      </c>
      <c r="D141" s="15" t="s">
        <v>36</v>
      </c>
      <c r="E141" s="17" t="s">
        <v>75</v>
      </c>
      <c r="F141" s="15" t="s">
        <v>90</v>
      </c>
      <c r="G141" s="16">
        <v>15</v>
      </c>
      <c r="H141" s="9">
        <v>52074</v>
      </c>
      <c r="I141" s="9" t="s">
        <v>96</v>
      </c>
      <c r="J141" s="16">
        <v>2008</v>
      </c>
      <c r="K141" s="17">
        <v>4</v>
      </c>
      <c r="L141" s="30">
        <v>3.1</v>
      </c>
      <c r="M141" s="29">
        <v>3019.47</v>
      </c>
      <c r="N141" s="29">
        <f>M141</f>
        <v>3019.47</v>
      </c>
      <c r="O141" s="17" t="s">
        <v>145</v>
      </c>
      <c r="P141" s="17" t="s">
        <v>147</v>
      </c>
      <c r="Q141" s="42" t="s">
        <v>143</v>
      </c>
    </row>
    <row r="142" spans="1:17" s="7" customFormat="1" ht="9.9499999999999993" customHeight="1" x14ac:dyDescent="0.25">
      <c r="A142" s="59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3"/>
    </row>
    <row r="143" spans="1:17" s="4" customFormat="1" ht="30" customHeight="1" x14ac:dyDescent="0.25">
      <c r="A143" s="64" t="s">
        <v>26</v>
      </c>
      <c r="B143" s="20">
        <v>2175</v>
      </c>
      <c r="C143" s="20" t="s">
        <v>10</v>
      </c>
      <c r="D143" s="21" t="s">
        <v>37</v>
      </c>
      <c r="E143" s="19" t="s">
        <v>78</v>
      </c>
      <c r="F143" s="21" t="s">
        <v>90</v>
      </c>
      <c r="G143" s="20">
        <v>17</v>
      </c>
      <c r="H143" s="19">
        <v>52074</v>
      </c>
      <c r="I143" s="19" t="s">
        <v>96</v>
      </c>
      <c r="J143" s="20">
        <v>2013</v>
      </c>
      <c r="K143" s="19">
        <v>1</v>
      </c>
      <c r="L143" s="67">
        <v>10.5</v>
      </c>
      <c r="M143" s="67">
        <v>5122.71</v>
      </c>
      <c r="N143" s="19">
        <f>M143</f>
        <v>5122.71</v>
      </c>
      <c r="O143" s="19" t="s">
        <v>145</v>
      </c>
      <c r="P143" s="19" t="s">
        <v>147</v>
      </c>
      <c r="Q143" s="68" t="s">
        <v>144</v>
      </c>
    </row>
    <row r="144" spans="1:17" s="7" customFormat="1" ht="9.9499999999999993" customHeight="1" x14ac:dyDescent="0.25">
      <c r="A144" s="59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3"/>
    </row>
    <row r="145" spans="1:17" s="4" customFormat="1" ht="30" customHeight="1" x14ac:dyDescent="0.25">
      <c r="A145" s="64" t="s">
        <v>26</v>
      </c>
      <c r="B145" s="20">
        <v>2176</v>
      </c>
      <c r="C145" s="20" t="s">
        <v>10</v>
      </c>
      <c r="D145" s="21" t="s">
        <v>38</v>
      </c>
      <c r="E145" s="19" t="s">
        <v>75</v>
      </c>
      <c r="F145" s="21" t="s">
        <v>90</v>
      </c>
      <c r="G145" s="20">
        <v>17</v>
      </c>
      <c r="H145" s="19">
        <v>52074</v>
      </c>
      <c r="I145" s="19" t="s">
        <v>96</v>
      </c>
      <c r="J145" s="20">
        <v>2013</v>
      </c>
      <c r="K145" s="19">
        <v>4</v>
      </c>
      <c r="L145" s="67">
        <v>4.3</v>
      </c>
      <c r="M145" s="28"/>
      <c r="N145" s="28"/>
      <c r="O145" s="19" t="s">
        <v>145</v>
      </c>
      <c r="P145" s="19" t="s">
        <v>147</v>
      </c>
      <c r="Q145" s="68" t="s">
        <v>143</v>
      </c>
    </row>
    <row r="146" spans="1:17" s="7" customFormat="1" ht="9.9499999999999993" customHeight="1" x14ac:dyDescent="0.25">
      <c r="A146" s="59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3"/>
    </row>
    <row r="147" spans="1:17" s="4" customFormat="1" ht="30" customHeight="1" x14ac:dyDescent="0.25">
      <c r="A147" s="65" t="s">
        <v>52</v>
      </c>
      <c r="B147" s="16">
        <v>2010</v>
      </c>
      <c r="C147" s="16" t="s">
        <v>10</v>
      </c>
      <c r="D147" s="15" t="s">
        <v>54</v>
      </c>
      <c r="E147" s="17" t="s">
        <v>79</v>
      </c>
      <c r="F147" s="15" t="s">
        <v>93</v>
      </c>
      <c r="G147" s="16">
        <v>2</v>
      </c>
      <c r="H147" s="17">
        <v>52072</v>
      </c>
      <c r="I147" s="9" t="s">
        <v>96</v>
      </c>
      <c r="J147" s="16">
        <v>1957</v>
      </c>
      <c r="K147" s="17">
        <v>3</v>
      </c>
      <c r="L147" s="30">
        <v>3.88</v>
      </c>
      <c r="M147" s="29">
        <v>4567.8599999999997</v>
      </c>
      <c r="N147" s="29">
        <f>M147</f>
        <v>4567.8599999999997</v>
      </c>
      <c r="O147" s="17" t="s">
        <v>145</v>
      </c>
      <c r="P147" s="17" t="s">
        <v>148</v>
      </c>
      <c r="Q147" s="42" t="s">
        <v>143</v>
      </c>
    </row>
    <row r="148" spans="1:17" s="7" customFormat="1" ht="9.9499999999999993" customHeight="1" x14ac:dyDescent="0.25">
      <c r="A148" s="59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3"/>
    </row>
    <row r="149" spans="1:17" s="4" customFormat="1" ht="30" customHeight="1" x14ac:dyDescent="0.25">
      <c r="A149" s="65" t="s">
        <v>52</v>
      </c>
      <c r="B149" s="16">
        <v>2012</v>
      </c>
      <c r="C149" s="16" t="s">
        <v>10</v>
      </c>
      <c r="D149" s="15" t="s">
        <v>55</v>
      </c>
      <c r="E149" s="17" t="s">
        <v>79</v>
      </c>
      <c r="F149" s="15" t="s">
        <v>93</v>
      </c>
      <c r="G149" s="16">
        <v>2</v>
      </c>
      <c r="H149" s="17">
        <v>52072</v>
      </c>
      <c r="I149" s="9" t="s">
        <v>96</v>
      </c>
      <c r="J149" s="16">
        <v>1957</v>
      </c>
      <c r="K149" s="17">
        <v>1</v>
      </c>
      <c r="L149" s="30">
        <v>4.09</v>
      </c>
      <c r="M149" s="29">
        <v>419.84</v>
      </c>
      <c r="N149" s="29">
        <f>M149</f>
        <v>419.84</v>
      </c>
      <c r="O149" s="17" t="s">
        <v>131</v>
      </c>
      <c r="P149" s="17" t="s">
        <v>147</v>
      </c>
      <c r="Q149" s="42" t="s">
        <v>144</v>
      </c>
    </row>
    <row r="150" spans="1:17" s="7" customFormat="1" ht="9.9499999999999993" customHeight="1" x14ac:dyDescent="0.25">
      <c r="A150" s="59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3"/>
    </row>
    <row r="151" spans="1:17" s="4" customFormat="1" ht="30" customHeight="1" x14ac:dyDescent="0.25">
      <c r="A151" s="65" t="s">
        <v>52</v>
      </c>
      <c r="B151" s="16">
        <v>2013</v>
      </c>
      <c r="C151" s="16" t="s">
        <v>10</v>
      </c>
      <c r="D151" s="15" t="s">
        <v>56</v>
      </c>
      <c r="E151" s="17" t="s">
        <v>79</v>
      </c>
      <c r="F151" s="15" t="s">
        <v>94</v>
      </c>
      <c r="G151" s="16">
        <v>1</v>
      </c>
      <c r="H151" s="9">
        <v>52074</v>
      </c>
      <c r="I151" s="9" t="s">
        <v>96</v>
      </c>
      <c r="J151" s="16">
        <v>2014</v>
      </c>
      <c r="K151" s="17">
        <v>6</v>
      </c>
      <c r="L151" s="30">
        <v>4.4800000000000004</v>
      </c>
      <c r="M151" s="29">
        <v>3310.06</v>
      </c>
      <c r="N151" s="29">
        <f>M151</f>
        <v>3310.06</v>
      </c>
      <c r="O151" s="17" t="s">
        <v>131</v>
      </c>
      <c r="P151" s="17" t="s">
        <v>147</v>
      </c>
      <c r="Q151" s="42" t="s">
        <v>143</v>
      </c>
    </row>
    <row r="152" spans="1:17" s="7" customFormat="1" ht="9.9499999999999993" customHeight="1" x14ac:dyDescent="0.25">
      <c r="A152" s="59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3"/>
    </row>
    <row r="153" spans="1:17" s="4" customFormat="1" ht="30" customHeight="1" x14ac:dyDescent="0.25">
      <c r="A153" s="65" t="s">
        <v>52</v>
      </c>
      <c r="B153" s="16">
        <v>2020</v>
      </c>
      <c r="C153" s="16" t="s">
        <v>10</v>
      </c>
      <c r="D153" s="15" t="s">
        <v>57</v>
      </c>
      <c r="E153" s="17" t="s">
        <v>79</v>
      </c>
      <c r="F153" s="15" t="s">
        <v>94</v>
      </c>
      <c r="G153" s="16" t="s">
        <v>107</v>
      </c>
      <c r="H153" s="9">
        <v>52074</v>
      </c>
      <c r="I153" s="9" t="s">
        <v>96</v>
      </c>
      <c r="J153" s="16">
        <v>1952</v>
      </c>
      <c r="K153" s="17">
        <v>3</v>
      </c>
      <c r="L153" s="30">
        <v>5.05</v>
      </c>
      <c r="M153" s="29">
        <v>7385.91</v>
      </c>
      <c r="N153" s="29">
        <f>M153</f>
        <v>7385.91</v>
      </c>
      <c r="O153" s="17" t="s">
        <v>145</v>
      </c>
      <c r="P153" s="17" t="s">
        <v>148</v>
      </c>
      <c r="Q153" s="42" t="s">
        <v>143</v>
      </c>
    </row>
    <row r="154" spans="1:17" s="7" customFormat="1" ht="9.9499999999999993" customHeight="1" x14ac:dyDescent="0.25">
      <c r="A154" s="59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3"/>
    </row>
    <row r="155" spans="1:17" s="4" customFormat="1" ht="30" customHeight="1" x14ac:dyDescent="0.25">
      <c r="A155" s="65" t="s">
        <v>52</v>
      </c>
      <c r="B155" s="16">
        <v>2030</v>
      </c>
      <c r="C155" s="16">
        <v>1</v>
      </c>
      <c r="D155" s="15" t="s">
        <v>58</v>
      </c>
      <c r="E155" s="17" t="s">
        <v>79</v>
      </c>
      <c r="F155" s="15" t="s">
        <v>94</v>
      </c>
      <c r="G155" s="16" t="s">
        <v>107</v>
      </c>
      <c r="H155" s="9">
        <v>52074</v>
      </c>
      <c r="I155" s="9" t="s">
        <v>96</v>
      </c>
      <c r="J155" s="16">
        <v>1954</v>
      </c>
      <c r="K155" s="17">
        <v>3</v>
      </c>
      <c r="L155" s="30">
        <v>5.05</v>
      </c>
      <c r="M155" s="29">
        <v>2477.46</v>
      </c>
      <c r="N155" s="168">
        <f>3959.79</f>
        <v>3959.79</v>
      </c>
      <c r="O155" s="17" t="s">
        <v>145</v>
      </c>
      <c r="P155" s="17" t="s">
        <v>148</v>
      </c>
      <c r="Q155" s="42" t="s">
        <v>143</v>
      </c>
    </row>
    <row r="156" spans="1:17" s="7" customFormat="1" ht="30" customHeight="1" x14ac:dyDescent="0.25">
      <c r="A156" s="121" t="s">
        <v>52</v>
      </c>
      <c r="B156" s="120">
        <v>2030</v>
      </c>
      <c r="C156" s="120">
        <v>2</v>
      </c>
      <c r="D156" s="13" t="s">
        <v>58</v>
      </c>
      <c r="E156" s="9" t="s">
        <v>79</v>
      </c>
      <c r="F156" s="13" t="s">
        <v>94</v>
      </c>
      <c r="G156" s="120" t="s">
        <v>107</v>
      </c>
      <c r="H156" s="9">
        <v>52074</v>
      </c>
      <c r="I156" s="9" t="s">
        <v>96</v>
      </c>
      <c r="J156" s="120">
        <v>1954</v>
      </c>
      <c r="K156" s="9">
        <v>4</v>
      </c>
      <c r="L156" s="29">
        <f>21.8/4</f>
        <v>5.45</v>
      </c>
      <c r="M156" s="29">
        <v>1482.33</v>
      </c>
      <c r="N156" s="170"/>
      <c r="O156" s="9" t="s">
        <v>131</v>
      </c>
      <c r="P156" s="9" t="s">
        <v>147</v>
      </c>
      <c r="Q156" s="52" t="s">
        <v>143</v>
      </c>
    </row>
    <row r="157" spans="1:17" s="7" customFormat="1" ht="9.9499999999999993" customHeight="1" x14ac:dyDescent="0.25">
      <c r="A157" s="59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3"/>
    </row>
    <row r="158" spans="1:17" s="4" customFormat="1" ht="30" customHeight="1" x14ac:dyDescent="0.25">
      <c r="A158" s="65" t="s">
        <v>52</v>
      </c>
      <c r="B158" s="16">
        <v>2031</v>
      </c>
      <c r="C158" s="16" t="s">
        <v>10</v>
      </c>
      <c r="D158" s="15" t="s">
        <v>59</v>
      </c>
      <c r="E158" s="17" t="s">
        <v>79</v>
      </c>
      <c r="F158" s="15" t="s">
        <v>94</v>
      </c>
      <c r="G158" s="16">
        <v>1</v>
      </c>
      <c r="H158" s="9">
        <v>52074</v>
      </c>
      <c r="I158" s="9" t="s">
        <v>96</v>
      </c>
      <c r="J158" s="16">
        <v>1969</v>
      </c>
      <c r="K158" s="17">
        <v>7</v>
      </c>
      <c r="L158" s="30">
        <v>3.75</v>
      </c>
      <c r="M158" s="29">
        <v>4079.05</v>
      </c>
      <c r="N158" s="29">
        <f>M158</f>
        <v>4079.05</v>
      </c>
      <c r="O158" s="17" t="s">
        <v>131</v>
      </c>
      <c r="P158" s="17" t="s">
        <v>148</v>
      </c>
      <c r="Q158" s="42" t="s">
        <v>143</v>
      </c>
    </row>
    <row r="159" spans="1:17" s="7" customFormat="1" ht="9.9499999999999993" customHeight="1" x14ac:dyDescent="0.25">
      <c r="A159" s="5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3"/>
    </row>
    <row r="160" spans="1:17" s="4" customFormat="1" ht="30" customHeight="1" x14ac:dyDescent="0.25">
      <c r="A160" s="65" t="s">
        <v>52</v>
      </c>
      <c r="B160" s="20">
        <v>2315</v>
      </c>
      <c r="C160" s="20" t="s">
        <v>10</v>
      </c>
      <c r="D160" s="21" t="s">
        <v>60</v>
      </c>
      <c r="E160" s="19" t="s">
        <v>76</v>
      </c>
      <c r="F160" s="21" t="s">
        <v>92</v>
      </c>
      <c r="G160" s="20">
        <v>12</v>
      </c>
      <c r="H160" s="19">
        <v>52074</v>
      </c>
      <c r="I160" s="19" t="s">
        <v>96</v>
      </c>
      <c r="J160" s="20">
        <v>2012</v>
      </c>
      <c r="K160" s="19">
        <v>3</v>
      </c>
      <c r="L160" s="67">
        <v>4.4000000000000004</v>
      </c>
      <c r="M160" s="67">
        <v>4319.75</v>
      </c>
      <c r="N160" s="67">
        <f>M160</f>
        <v>4319.75</v>
      </c>
      <c r="O160" s="19" t="s">
        <v>145</v>
      </c>
      <c r="P160" s="19" t="s">
        <v>147</v>
      </c>
      <c r="Q160" s="68" t="s">
        <v>143</v>
      </c>
    </row>
    <row r="161" spans="1:17" s="7" customFormat="1" ht="9.9499999999999993" customHeight="1" x14ac:dyDescent="0.25">
      <c r="A161" s="59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3"/>
    </row>
    <row r="162" spans="1:17" s="4" customFormat="1" ht="30" customHeight="1" x14ac:dyDescent="0.25">
      <c r="A162" s="65" t="s">
        <v>52</v>
      </c>
      <c r="B162" s="16">
        <v>2400</v>
      </c>
      <c r="C162" s="16">
        <v>1</v>
      </c>
      <c r="D162" s="15" t="s">
        <v>61</v>
      </c>
      <c r="E162" s="17" t="s">
        <v>79</v>
      </c>
      <c r="F162" s="15" t="s">
        <v>94</v>
      </c>
      <c r="G162" s="16">
        <v>2</v>
      </c>
      <c r="H162" s="9">
        <v>52074</v>
      </c>
      <c r="I162" s="9" t="s">
        <v>96</v>
      </c>
      <c r="J162" s="16">
        <v>2006</v>
      </c>
      <c r="K162" s="17">
        <v>3</v>
      </c>
      <c r="L162" s="30">
        <v>4.96</v>
      </c>
      <c r="M162" s="29">
        <v>2091.2199999999998</v>
      </c>
      <c r="N162" s="168">
        <f>(5927.1/4)*3</f>
        <v>4445.3250000000007</v>
      </c>
      <c r="O162" s="17" t="s">
        <v>145</v>
      </c>
      <c r="P162" s="17" t="s">
        <v>147</v>
      </c>
      <c r="Q162" s="42" t="s">
        <v>144</v>
      </c>
    </row>
    <row r="163" spans="1:17" s="4" customFormat="1" ht="30" customHeight="1" x14ac:dyDescent="0.25">
      <c r="A163" s="65" t="s">
        <v>52</v>
      </c>
      <c r="B163" s="16">
        <v>2400</v>
      </c>
      <c r="C163" s="16">
        <v>2</v>
      </c>
      <c r="D163" s="15" t="s">
        <v>61</v>
      </c>
      <c r="E163" s="17" t="s">
        <v>79</v>
      </c>
      <c r="F163" s="15" t="s">
        <v>94</v>
      </c>
      <c r="G163" s="16">
        <v>2</v>
      </c>
      <c r="H163" s="9">
        <v>52074</v>
      </c>
      <c r="I163" s="9" t="s">
        <v>96</v>
      </c>
      <c r="J163" s="16">
        <v>2006</v>
      </c>
      <c r="K163" s="17">
        <v>3</v>
      </c>
      <c r="L163" s="30">
        <v>4.96</v>
      </c>
      <c r="M163" s="29">
        <v>263.29000000000002</v>
      </c>
      <c r="N163" s="169"/>
      <c r="O163" s="17" t="s">
        <v>131</v>
      </c>
      <c r="P163" s="17" t="s">
        <v>149</v>
      </c>
      <c r="Q163" s="42" t="s">
        <v>144</v>
      </c>
    </row>
    <row r="164" spans="1:17" s="4" customFormat="1" ht="30" customHeight="1" x14ac:dyDescent="0.25">
      <c r="A164" s="65" t="s">
        <v>52</v>
      </c>
      <c r="B164" s="16">
        <v>2400</v>
      </c>
      <c r="C164" s="16">
        <v>3</v>
      </c>
      <c r="D164" s="15" t="s">
        <v>61</v>
      </c>
      <c r="E164" s="17" t="s">
        <v>79</v>
      </c>
      <c r="F164" s="15" t="s">
        <v>94</v>
      </c>
      <c r="G164" s="16">
        <v>2</v>
      </c>
      <c r="H164" s="9">
        <v>52074</v>
      </c>
      <c r="I164" s="9" t="s">
        <v>96</v>
      </c>
      <c r="J164" s="16">
        <v>2006</v>
      </c>
      <c r="K164" s="17">
        <v>3</v>
      </c>
      <c r="L164" s="30">
        <v>4.96</v>
      </c>
      <c r="M164" s="29">
        <v>2090.8200000000002</v>
      </c>
      <c r="N164" s="170"/>
      <c r="O164" s="17" t="s">
        <v>145</v>
      </c>
      <c r="P164" s="17" t="s">
        <v>147</v>
      </c>
      <c r="Q164" s="42" t="s">
        <v>144</v>
      </c>
    </row>
    <row r="165" spans="1:17" s="7" customFormat="1" ht="9.9499999999999993" customHeight="1" x14ac:dyDescent="0.25">
      <c r="A165" s="59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3"/>
    </row>
    <row r="166" spans="1:17" s="4" customFormat="1" ht="30" customHeight="1" x14ac:dyDescent="0.25">
      <c r="A166" s="60" t="s">
        <v>53</v>
      </c>
      <c r="B166" s="16">
        <v>2040</v>
      </c>
      <c r="C166" s="16" t="s">
        <v>10</v>
      </c>
      <c r="D166" s="15" t="s">
        <v>62</v>
      </c>
      <c r="E166" s="17" t="s">
        <v>75</v>
      </c>
      <c r="F166" s="15" t="s">
        <v>95</v>
      </c>
      <c r="G166" s="16" t="s">
        <v>104</v>
      </c>
      <c r="H166" s="17">
        <v>52072</v>
      </c>
      <c r="I166" s="9" t="s">
        <v>96</v>
      </c>
      <c r="J166" s="16">
        <v>1965</v>
      </c>
      <c r="K166" s="17">
        <v>4</v>
      </c>
      <c r="L166" s="28"/>
      <c r="M166" s="29">
        <v>1987.71</v>
      </c>
      <c r="N166" s="29">
        <f>M166</f>
        <v>1987.71</v>
      </c>
      <c r="O166" s="17" t="s">
        <v>145</v>
      </c>
      <c r="P166" s="17" t="s">
        <v>148</v>
      </c>
      <c r="Q166" s="42" t="s">
        <v>143</v>
      </c>
    </row>
    <row r="167" spans="1:17" s="7" customFormat="1" ht="9.9499999999999993" customHeight="1" x14ac:dyDescent="0.25">
      <c r="A167" s="59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3"/>
    </row>
    <row r="168" spans="1:17" s="4" customFormat="1" ht="30" customHeight="1" x14ac:dyDescent="0.25">
      <c r="A168" s="60" t="s">
        <v>53</v>
      </c>
      <c r="B168" s="20">
        <v>2090</v>
      </c>
      <c r="C168" s="20" t="s">
        <v>10</v>
      </c>
      <c r="D168" s="21" t="s">
        <v>68</v>
      </c>
      <c r="E168" s="19" t="s">
        <v>75</v>
      </c>
      <c r="F168" s="21" t="s">
        <v>93</v>
      </c>
      <c r="G168" s="20" t="s">
        <v>105</v>
      </c>
      <c r="H168" s="19">
        <v>52072</v>
      </c>
      <c r="I168" s="19" t="s">
        <v>96</v>
      </c>
      <c r="J168" s="20">
        <v>1956</v>
      </c>
      <c r="K168" s="19">
        <v>4</v>
      </c>
      <c r="L168" s="67">
        <v>3.23</v>
      </c>
      <c r="M168" s="67">
        <v>6184.13</v>
      </c>
      <c r="N168" s="67">
        <f>M168</f>
        <v>6184.13</v>
      </c>
      <c r="O168" s="19" t="s">
        <v>145</v>
      </c>
      <c r="P168" s="19" t="s">
        <v>148</v>
      </c>
      <c r="Q168" s="68" t="s">
        <v>143</v>
      </c>
    </row>
    <row r="169" spans="1:17" s="7" customFormat="1" ht="9.9499999999999993" customHeight="1" x14ac:dyDescent="0.25">
      <c r="A169" s="59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3"/>
    </row>
    <row r="170" spans="1:17" s="4" customFormat="1" ht="30" customHeight="1" x14ac:dyDescent="0.25">
      <c r="A170" s="60" t="s">
        <v>53</v>
      </c>
      <c r="B170" s="16">
        <v>2112</v>
      </c>
      <c r="C170" s="16">
        <v>1</v>
      </c>
      <c r="D170" s="15" t="s">
        <v>108</v>
      </c>
      <c r="E170" s="17" t="s">
        <v>98</v>
      </c>
      <c r="F170" s="15" t="s">
        <v>93</v>
      </c>
      <c r="G170" s="16">
        <v>30</v>
      </c>
      <c r="H170" s="9">
        <v>52074</v>
      </c>
      <c r="I170" s="9" t="s">
        <v>96</v>
      </c>
      <c r="J170" s="16">
        <v>2013</v>
      </c>
      <c r="K170" s="17">
        <v>1</v>
      </c>
      <c r="L170" s="30">
        <v>10.35</v>
      </c>
      <c r="M170" s="28"/>
      <c r="N170" s="168">
        <f>1606.19</f>
        <v>1606.19</v>
      </c>
      <c r="O170" s="17" t="s">
        <v>145</v>
      </c>
      <c r="P170" s="17" t="s">
        <v>147</v>
      </c>
      <c r="Q170" s="42" t="s">
        <v>144</v>
      </c>
    </row>
    <row r="171" spans="1:17" s="4" customFormat="1" ht="30" customHeight="1" thickBot="1" x14ac:dyDescent="0.3">
      <c r="A171" s="61" t="s">
        <v>53</v>
      </c>
      <c r="B171" s="43">
        <v>2112</v>
      </c>
      <c r="C171" s="43">
        <v>2</v>
      </c>
      <c r="D171" s="44" t="s">
        <v>109</v>
      </c>
      <c r="E171" s="45" t="s">
        <v>98</v>
      </c>
      <c r="F171" s="44" t="s">
        <v>93</v>
      </c>
      <c r="G171" s="43">
        <v>30</v>
      </c>
      <c r="H171" s="39">
        <v>52074</v>
      </c>
      <c r="I171" s="39" t="s">
        <v>96</v>
      </c>
      <c r="J171" s="43">
        <v>2013</v>
      </c>
      <c r="K171" s="45">
        <v>2</v>
      </c>
      <c r="L171" s="71">
        <v>3.5</v>
      </c>
      <c r="M171" s="41"/>
      <c r="N171" s="172"/>
      <c r="O171" s="45" t="s">
        <v>145</v>
      </c>
      <c r="P171" s="45" t="s">
        <v>147</v>
      </c>
      <c r="Q171" s="46" t="s">
        <v>143</v>
      </c>
    </row>
    <row r="172" spans="1:17" s="4" customFormat="1" ht="30" customHeight="1" x14ac:dyDescent="0.25">
      <c r="A172" s="6"/>
      <c r="B172" s="5"/>
      <c r="C172" s="5"/>
      <c r="D172" s="8"/>
      <c r="F172" s="8"/>
      <c r="G172" s="5"/>
      <c r="J172" s="5"/>
    </row>
    <row r="173" spans="1:17" s="4" customFormat="1" ht="30" customHeight="1" x14ac:dyDescent="0.25">
      <c r="A173" s="6"/>
      <c r="B173" s="5"/>
      <c r="C173" s="10"/>
      <c r="D173" s="22"/>
      <c r="E173" s="76" t="s">
        <v>2</v>
      </c>
      <c r="F173" s="8"/>
      <c r="G173" s="5"/>
      <c r="J173" s="5"/>
      <c r="O173" s="77" t="s">
        <v>119</v>
      </c>
      <c r="P173" s="77" t="s">
        <v>183</v>
      </c>
      <c r="Q173" s="77" t="s">
        <v>116</v>
      </c>
    </row>
    <row r="174" spans="1:17" s="4" customFormat="1" ht="30" customHeight="1" x14ac:dyDescent="0.25">
      <c r="A174" s="6"/>
      <c r="B174" s="5"/>
      <c r="C174" s="74">
        <v>2120</v>
      </c>
      <c r="D174" s="75" t="s">
        <v>86</v>
      </c>
      <c r="E174" s="9" t="s">
        <v>75</v>
      </c>
      <c r="F174" s="8"/>
      <c r="G174" s="5"/>
      <c r="J174" s="5"/>
      <c r="O174" s="15" t="s">
        <v>145</v>
      </c>
      <c r="P174" s="15" t="s">
        <v>147</v>
      </c>
      <c r="Q174" s="15" t="s">
        <v>143</v>
      </c>
    </row>
    <row r="175" spans="1:17" s="4" customFormat="1" ht="30" customHeight="1" x14ac:dyDescent="0.25">
      <c r="A175" s="6"/>
      <c r="B175" s="5"/>
      <c r="C175" s="74">
        <v>4200</v>
      </c>
      <c r="D175" s="75" t="s">
        <v>85</v>
      </c>
      <c r="E175" s="9" t="s">
        <v>76</v>
      </c>
      <c r="F175" s="8"/>
      <c r="G175" s="5"/>
      <c r="J175" s="5"/>
      <c r="O175" s="15" t="s">
        <v>146</v>
      </c>
      <c r="P175" s="15" t="s">
        <v>148</v>
      </c>
      <c r="Q175" s="15" t="s">
        <v>144</v>
      </c>
    </row>
    <row r="176" spans="1:17" s="4" customFormat="1" ht="30" customHeight="1" x14ac:dyDescent="0.25">
      <c r="A176" s="6"/>
      <c r="B176" s="5"/>
      <c r="C176" s="74">
        <v>6100</v>
      </c>
      <c r="D176" s="75" t="s">
        <v>84</v>
      </c>
      <c r="E176" s="9" t="s">
        <v>77</v>
      </c>
      <c r="F176" s="8"/>
      <c r="G176" s="5"/>
      <c r="O176" s="15" t="s">
        <v>131</v>
      </c>
      <c r="P176" s="15" t="s">
        <v>149</v>
      </c>
      <c r="Q176" s="8"/>
    </row>
    <row r="177" spans="1:20" s="4" customFormat="1" ht="30" customHeight="1" x14ac:dyDescent="0.25">
      <c r="A177" s="6"/>
      <c r="B177" s="5"/>
      <c r="C177" s="10">
        <v>2240</v>
      </c>
      <c r="D177" s="13" t="s">
        <v>81</v>
      </c>
      <c r="E177" s="9" t="s">
        <v>78</v>
      </c>
      <c r="F177" s="8"/>
      <c r="G177" s="5"/>
    </row>
    <row r="178" spans="1:20" s="4" customFormat="1" ht="30" customHeight="1" x14ac:dyDescent="0.25">
      <c r="A178" s="6"/>
      <c r="B178" s="5"/>
      <c r="C178" s="10">
        <v>2280</v>
      </c>
      <c r="D178" s="13" t="s">
        <v>82</v>
      </c>
      <c r="E178" s="9" t="s">
        <v>79</v>
      </c>
      <c r="F178" s="8"/>
      <c r="G178" s="5"/>
    </row>
    <row r="179" spans="1:20" s="4" customFormat="1" ht="30" customHeight="1" x14ac:dyDescent="0.25">
      <c r="A179" s="6"/>
      <c r="B179" s="5"/>
      <c r="C179" s="10">
        <v>2200</v>
      </c>
      <c r="D179" s="13" t="s">
        <v>83</v>
      </c>
      <c r="E179" s="9" t="s">
        <v>80</v>
      </c>
      <c r="F179" s="8"/>
      <c r="G179" s="5"/>
    </row>
    <row r="180" spans="1:20" s="4" customFormat="1" ht="30" customHeight="1" x14ac:dyDescent="0.25">
      <c r="A180" s="6"/>
      <c r="B180" s="5"/>
      <c r="C180" s="10" t="s">
        <v>10</v>
      </c>
      <c r="D180" s="13" t="s">
        <v>97</v>
      </c>
      <c r="E180" s="9" t="s">
        <v>98</v>
      </c>
      <c r="F180" s="8"/>
      <c r="G180" s="5"/>
      <c r="J180" s="5"/>
    </row>
    <row r="181" spans="1:20" s="4" customFormat="1" ht="30" customHeight="1" thickBot="1" x14ac:dyDescent="0.3">
      <c r="A181" s="6"/>
      <c r="B181" s="5"/>
      <c r="C181" s="5"/>
      <c r="D181" s="8"/>
      <c r="F181" s="8"/>
      <c r="G181" s="5"/>
      <c r="J181" s="5"/>
    </row>
    <row r="182" spans="1:20" s="4" customFormat="1" ht="30" customHeight="1" thickBot="1" x14ac:dyDescent="0.3">
      <c r="A182" s="159" t="s">
        <v>120</v>
      </c>
      <c r="B182" s="160"/>
      <c r="C182" s="160"/>
      <c r="D182" s="160"/>
      <c r="E182" s="160"/>
      <c r="F182" s="160"/>
      <c r="G182" s="160"/>
      <c r="H182" s="160"/>
      <c r="I182" s="160"/>
      <c r="J182" s="160"/>
      <c r="K182" s="160"/>
      <c r="L182" s="160"/>
      <c r="M182" s="160"/>
      <c r="N182" s="160"/>
      <c r="O182" s="160"/>
      <c r="P182" s="160"/>
      <c r="Q182" s="160"/>
      <c r="R182" s="160"/>
      <c r="S182" s="160"/>
      <c r="T182" s="161"/>
    </row>
    <row r="183" spans="1:20" s="4" customFormat="1" ht="30" customHeight="1" thickBot="1" x14ac:dyDescent="0.3">
      <c r="A183" s="80" t="s">
        <v>0</v>
      </c>
      <c r="B183" s="81" t="s">
        <v>22</v>
      </c>
      <c r="C183" s="81" t="s">
        <v>23</v>
      </c>
      <c r="D183" s="81" t="s">
        <v>1</v>
      </c>
      <c r="E183" s="81" t="s">
        <v>194</v>
      </c>
      <c r="F183" s="81" t="s">
        <v>122</v>
      </c>
      <c r="G183" s="81" t="s">
        <v>176</v>
      </c>
      <c r="H183" s="81" t="s">
        <v>177</v>
      </c>
      <c r="I183" s="81" t="s">
        <v>159</v>
      </c>
      <c r="J183" s="82" t="s">
        <v>160</v>
      </c>
      <c r="K183" s="82" t="s">
        <v>125</v>
      </c>
      <c r="L183" s="162" t="s">
        <v>127</v>
      </c>
      <c r="M183" s="163"/>
      <c r="N183" s="82" t="s">
        <v>126</v>
      </c>
      <c r="O183" s="81" t="s">
        <v>179</v>
      </c>
      <c r="P183" s="81" t="s">
        <v>180</v>
      </c>
      <c r="Q183" s="81" t="s">
        <v>182</v>
      </c>
      <c r="R183" s="81" t="s">
        <v>181</v>
      </c>
      <c r="S183" s="82" t="s">
        <v>124</v>
      </c>
      <c r="T183" s="83" t="s">
        <v>123</v>
      </c>
    </row>
    <row r="184" spans="1:20" s="4" customFormat="1" ht="30" customHeight="1" x14ac:dyDescent="0.25">
      <c r="A184" s="72" t="s">
        <v>53</v>
      </c>
      <c r="B184" s="33">
        <v>2060</v>
      </c>
      <c r="C184" s="33" t="s">
        <v>10</v>
      </c>
      <c r="D184" s="34" t="s">
        <v>65</v>
      </c>
      <c r="E184" s="96" t="s">
        <v>193</v>
      </c>
      <c r="F184" s="35" t="s">
        <v>150</v>
      </c>
      <c r="G184" s="78"/>
      <c r="H184" s="99">
        <f t="shared" ref="H184:H190" si="0">($L$12*$K$12)</f>
        <v>0</v>
      </c>
      <c r="I184" s="84">
        <f t="shared" ref="I184:I190" si="1">G184*H184</f>
        <v>0</v>
      </c>
      <c r="J184" s="87"/>
      <c r="K184" s="36"/>
      <c r="L184" s="36"/>
      <c r="M184" s="36"/>
      <c r="N184" s="106"/>
      <c r="O184" s="35" t="s">
        <v>150</v>
      </c>
      <c r="P184" s="36"/>
      <c r="Q184" s="36"/>
      <c r="R184" s="73">
        <f t="shared" ref="R184:R190" si="2">P184*Q184</f>
        <v>0</v>
      </c>
      <c r="S184" s="102"/>
      <c r="T184" s="100"/>
    </row>
    <row r="185" spans="1:20" s="4" customFormat="1" ht="30" customHeight="1" x14ac:dyDescent="0.25">
      <c r="A185" s="70" t="s">
        <v>53</v>
      </c>
      <c r="B185" s="11">
        <v>2060</v>
      </c>
      <c r="C185" s="11" t="s">
        <v>10</v>
      </c>
      <c r="D185" s="31" t="s">
        <v>65</v>
      </c>
      <c r="E185" s="17" t="s">
        <v>195</v>
      </c>
      <c r="F185" s="9" t="s">
        <v>152</v>
      </c>
      <c r="G185" s="27"/>
      <c r="H185" s="85">
        <f t="shared" si="0"/>
        <v>0</v>
      </c>
      <c r="I185" s="85">
        <f t="shared" si="1"/>
        <v>0</v>
      </c>
      <c r="J185" s="74"/>
      <c r="K185" s="27"/>
      <c r="L185" s="27"/>
      <c r="M185" s="27"/>
      <c r="N185" s="107"/>
      <c r="O185" s="9" t="s">
        <v>152</v>
      </c>
      <c r="P185" s="27"/>
      <c r="Q185" s="27"/>
      <c r="R185" s="29">
        <f t="shared" si="2"/>
        <v>0</v>
      </c>
      <c r="S185" s="28"/>
      <c r="T185" s="101"/>
    </row>
    <row r="186" spans="1:20" s="4" customFormat="1" ht="30" customHeight="1" x14ac:dyDescent="0.25">
      <c r="A186" s="70" t="s">
        <v>53</v>
      </c>
      <c r="B186" s="11">
        <v>2060</v>
      </c>
      <c r="C186" s="11" t="s">
        <v>10</v>
      </c>
      <c r="D186" s="31" t="s">
        <v>65</v>
      </c>
      <c r="E186" s="17" t="s">
        <v>196</v>
      </c>
      <c r="F186" s="9" t="s">
        <v>154</v>
      </c>
      <c r="G186" s="27"/>
      <c r="H186" s="85">
        <f t="shared" si="0"/>
        <v>0</v>
      </c>
      <c r="I186" s="85">
        <f t="shared" si="1"/>
        <v>0</v>
      </c>
      <c r="J186" s="74"/>
      <c r="K186" s="27"/>
      <c r="L186" s="27"/>
      <c r="M186" s="27"/>
      <c r="N186" s="107"/>
      <c r="O186" s="9" t="s">
        <v>154</v>
      </c>
      <c r="P186" s="27"/>
      <c r="Q186" s="27"/>
      <c r="R186" s="29">
        <f t="shared" si="2"/>
        <v>0</v>
      </c>
      <c r="S186" s="28"/>
      <c r="T186" s="101"/>
    </row>
    <row r="187" spans="1:20" s="4" customFormat="1" ht="30" customHeight="1" x14ac:dyDescent="0.25">
      <c r="A187" s="70" t="s">
        <v>53</v>
      </c>
      <c r="B187" s="11">
        <v>2060</v>
      </c>
      <c r="C187" s="11" t="s">
        <v>10</v>
      </c>
      <c r="D187" s="31" t="s">
        <v>65</v>
      </c>
      <c r="E187" s="17" t="s">
        <v>197</v>
      </c>
      <c r="F187" s="9" t="s">
        <v>156</v>
      </c>
      <c r="G187" s="27"/>
      <c r="H187" s="85">
        <f t="shared" si="0"/>
        <v>0</v>
      </c>
      <c r="I187" s="85">
        <f t="shared" si="1"/>
        <v>0</v>
      </c>
      <c r="J187" s="74"/>
      <c r="K187" s="27"/>
      <c r="L187" s="27"/>
      <c r="M187" s="27"/>
      <c r="N187" s="107"/>
      <c r="O187" s="9" t="s">
        <v>156</v>
      </c>
      <c r="P187" s="27"/>
      <c r="Q187" s="27"/>
      <c r="R187" s="29">
        <f t="shared" si="2"/>
        <v>0</v>
      </c>
      <c r="S187" s="28"/>
      <c r="T187" s="101"/>
    </row>
    <row r="188" spans="1:20" s="4" customFormat="1" ht="30" customHeight="1" x14ac:dyDescent="0.25">
      <c r="A188" s="70" t="s">
        <v>53</v>
      </c>
      <c r="B188" s="11">
        <v>2060</v>
      </c>
      <c r="C188" s="11" t="s">
        <v>10</v>
      </c>
      <c r="D188" s="31" t="s">
        <v>65</v>
      </c>
      <c r="E188" s="17" t="s">
        <v>198</v>
      </c>
      <c r="F188" s="9" t="s">
        <v>157</v>
      </c>
      <c r="G188" s="27"/>
      <c r="H188" s="85">
        <f t="shared" si="0"/>
        <v>0</v>
      </c>
      <c r="I188" s="85">
        <f t="shared" si="1"/>
        <v>0</v>
      </c>
      <c r="J188" s="74"/>
      <c r="K188" s="27"/>
      <c r="L188" s="27"/>
      <c r="M188" s="27"/>
      <c r="N188" s="107"/>
      <c r="O188" s="9" t="s">
        <v>157</v>
      </c>
      <c r="P188" s="27"/>
      <c r="Q188" s="27"/>
      <c r="R188" s="29">
        <f t="shared" si="2"/>
        <v>0</v>
      </c>
      <c r="S188" s="28"/>
      <c r="T188" s="101"/>
    </row>
    <row r="189" spans="1:20" s="4" customFormat="1" ht="30" customHeight="1" x14ac:dyDescent="0.25">
      <c r="A189" s="70" t="s">
        <v>53</v>
      </c>
      <c r="B189" s="11">
        <v>2060</v>
      </c>
      <c r="C189" s="11" t="s">
        <v>10</v>
      </c>
      <c r="D189" s="31" t="s">
        <v>65</v>
      </c>
      <c r="E189" s="17" t="s">
        <v>199</v>
      </c>
      <c r="F189" s="9" t="s">
        <v>155</v>
      </c>
      <c r="G189" s="27"/>
      <c r="H189" s="85">
        <f t="shared" si="0"/>
        <v>0</v>
      </c>
      <c r="I189" s="85">
        <f t="shared" si="1"/>
        <v>0</v>
      </c>
      <c r="J189" s="74"/>
      <c r="K189" s="27"/>
      <c r="L189" s="27"/>
      <c r="M189" s="27"/>
      <c r="N189" s="107"/>
      <c r="O189" s="9" t="s">
        <v>155</v>
      </c>
      <c r="P189" s="27"/>
      <c r="Q189" s="27"/>
      <c r="R189" s="29">
        <f t="shared" si="2"/>
        <v>0</v>
      </c>
      <c r="S189" s="28"/>
      <c r="T189" s="101"/>
    </row>
    <row r="190" spans="1:20" s="4" customFormat="1" ht="30" customHeight="1" x14ac:dyDescent="0.25">
      <c r="A190" s="70" t="s">
        <v>53</v>
      </c>
      <c r="B190" s="11">
        <v>2060</v>
      </c>
      <c r="C190" s="11" t="s">
        <v>10</v>
      </c>
      <c r="D190" s="31" t="s">
        <v>65</v>
      </c>
      <c r="E190" s="17" t="s">
        <v>200</v>
      </c>
      <c r="F190" s="9" t="s">
        <v>157</v>
      </c>
      <c r="G190" s="27"/>
      <c r="H190" s="85">
        <f t="shared" si="0"/>
        <v>0</v>
      </c>
      <c r="I190" s="85">
        <f t="shared" si="1"/>
        <v>0</v>
      </c>
      <c r="J190" s="74"/>
      <c r="K190" s="27"/>
      <c r="L190" s="27"/>
      <c r="M190" s="27"/>
      <c r="N190" s="107"/>
      <c r="O190" s="9" t="s">
        <v>157</v>
      </c>
      <c r="P190" s="27"/>
      <c r="Q190" s="27"/>
      <c r="R190" s="29">
        <f t="shared" si="2"/>
        <v>0</v>
      </c>
      <c r="S190" s="28"/>
      <c r="T190" s="101"/>
    </row>
    <row r="191" spans="1:20" s="7" customFormat="1" ht="9.9499999999999993" customHeight="1" x14ac:dyDescent="0.25">
      <c r="A191" s="59"/>
      <c r="B191" s="50"/>
      <c r="C191" s="50"/>
      <c r="D191" s="50"/>
      <c r="F191" s="50"/>
      <c r="H191" s="50"/>
      <c r="I191" s="50"/>
      <c r="J191" s="50"/>
      <c r="K191" s="50"/>
      <c r="L191" s="50"/>
      <c r="M191" s="50"/>
      <c r="N191" s="104"/>
      <c r="O191" s="50"/>
      <c r="R191" s="50"/>
      <c r="S191" s="50"/>
      <c r="T191" s="53"/>
    </row>
    <row r="192" spans="1:20" s="4" customFormat="1" ht="30" customHeight="1" x14ac:dyDescent="0.25">
      <c r="A192" s="60" t="s">
        <v>53</v>
      </c>
      <c r="B192" s="10">
        <v>2362</v>
      </c>
      <c r="C192" s="10" t="s">
        <v>10</v>
      </c>
      <c r="D192" s="22" t="s">
        <v>72</v>
      </c>
      <c r="E192" s="17" t="s">
        <v>193</v>
      </c>
      <c r="F192" s="9" t="s">
        <v>150</v>
      </c>
      <c r="G192" s="75"/>
      <c r="H192" s="85">
        <f>($L$26*$K$26)</f>
        <v>0</v>
      </c>
      <c r="I192" s="85">
        <f>G192*H192</f>
        <v>0</v>
      </c>
      <c r="J192" s="74"/>
      <c r="K192" s="27"/>
      <c r="L192" s="27"/>
      <c r="M192" s="27"/>
      <c r="N192" s="107"/>
      <c r="O192" s="9" t="s">
        <v>150</v>
      </c>
      <c r="P192" s="27"/>
      <c r="Q192" s="27"/>
      <c r="R192" s="29">
        <f>P192*Q192</f>
        <v>0</v>
      </c>
      <c r="S192" s="28"/>
      <c r="T192" s="101"/>
    </row>
    <row r="193" spans="1:20" s="4" customFormat="1" ht="30" customHeight="1" x14ac:dyDescent="0.25">
      <c r="A193" s="60" t="s">
        <v>53</v>
      </c>
      <c r="B193" s="10">
        <v>2362</v>
      </c>
      <c r="C193" s="10" t="s">
        <v>10</v>
      </c>
      <c r="D193" s="22" t="s">
        <v>72</v>
      </c>
      <c r="E193" s="17" t="s">
        <v>195</v>
      </c>
      <c r="F193" s="9" t="s">
        <v>152</v>
      </c>
      <c r="G193" s="75"/>
      <c r="H193" s="85">
        <f>($L$26*$K$26)</f>
        <v>0</v>
      </c>
      <c r="I193" s="85">
        <f>G193*H193</f>
        <v>0</v>
      </c>
      <c r="J193" s="74"/>
      <c r="K193" s="27"/>
      <c r="L193" s="27"/>
      <c r="M193" s="27"/>
      <c r="N193" s="107"/>
      <c r="O193" s="9" t="s">
        <v>152</v>
      </c>
      <c r="P193" s="27"/>
      <c r="Q193" s="27"/>
      <c r="R193" s="29">
        <f>P193*Q193</f>
        <v>0</v>
      </c>
      <c r="S193" s="28"/>
      <c r="T193" s="101"/>
    </row>
    <row r="194" spans="1:20" s="4" customFormat="1" ht="30" customHeight="1" x14ac:dyDescent="0.25">
      <c r="A194" s="60" t="s">
        <v>53</v>
      </c>
      <c r="B194" s="10">
        <v>2362</v>
      </c>
      <c r="C194" s="10" t="s">
        <v>10</v>
      </c>
      <c r="D194" s="22" t="s">
        <v>72</v>
      </c>
      <c r="E194" s="17" t="s">
        <v>196</v>
      </c>
      <c r="F194" s="9" t="s">
        <v>155</v>
      </c>
      <c r="G194" s="75"/>
      <c r="H194" s="85">
        <f>($L$26*$K$26)</f>
        <v>0</v>
      </c>
      <c r="I194" s="85">
        <f>G194*H194</f>
        <v>0</v>
      </c>
      <c r="J194" s="74"/>
      <c r="K194" s="27"/>
      <c r="L194" s="27"/>
      <c r="M194" s="27"/>
      <c r="N194" s="107"/>
      <c r="O194" s="9" t="s">
        <v>155</v>
      </c>
      <c r="P194" s="27"/>
      <c r="Q194" s="27"/>
      <c r="R194" s="29">
        <f>P194*Q194</f>
        <v>0</v>
      </c>
      <c r="S194" s="28"/>
      <c r="T194" s="101"/>
    </row>
    <row r="195" spans="1:20" s="4" customFormat="1" ht="30" customHeight="1" thickBot="1" x14ac:dyDescent="0.3">
      <c r="A195" s="61" t="s">
        <v>53</v>
      </c>
      <c r="B195" s="38">
        <v>2362</v>
      </c>
      <c r="C195" s="38" t="s">
        <v>10</v>
      </c>
      <c r="D195" s="54" t="s">
        <v>72</v>
      </c>
      <c r="E195" s="45" t="s">
        <v>197</v>
      </c>
      <c r="F195" s="39" t="s">
        <v>157</v>
      </c>
      <c r="G195" s="79"/>
      <c r="H195" s="86">
        <f>($L$26*$K$26)</f>
        <v>0</v>
      </c>
      <c r="I195" s="86">
        <f>G195*H195</f>
        <v>0</v>
      </c>
      <c r="J195" s="88"/>
      <c r="K195" s="40"/>
      <c r="L195" s="40"/>
      <c r="M195" s="40"/>
      <c r="N195" s="108"/>
      <c r="O195" s="39" t="s">
        <v>157</v>
      </c>
      <c r="P195" s="40"/>
      <c r="Q195" s="40"/>
      <c r="R195" s="71">
        <f>P195*Q195</f>
        <v>0</v>
      </c>
      <c r="S195" s="41"/>
      <c r="T195" s="103"/>
    </row>
    <row r="196" spans="1:20" s="4" customFormat="1" ht="30" customHeight="1" x14ac:dyDescent="0.25">
      <c r="A196" s="6"/>
      <c r="B196" s="5"/>
      <c r="C196" s="5"/>
      <c r="D196" s="8"/>
      <c r="I196" s="8"/>
      <c r="J196" s="5"/>
      <c r="N196" s="25"/>
    </row>
    <row r="197" spans="1:20" s="4" customFormat="1" ht="30" customHeight="1" x14ac:dyDescent="0.25">
      <c r="A197" s="6"/>
      <c r="B197" s="5"/>
      <c r="C197" s="5"/>
      <c r="D197" s="8"/>
      <c r="F197" s="76" t="s">
        <v>122</v>
      </c>
      <c r="I197" s="8"/>
      <c r="J197" s="5"/>
      <c r="N197" s="25"/>
      <c r="O197" s="76" t="s">
        <v>179</v>
      </c>
      <c r="S197" s="89" t="s">
        <v>124</v>
      </c>
      <c r="T197" s="91" t="s">
        <v>123</v>
      </c>
    </row>
    <row r="198" spans="1:20" s="4" customFormat="1" ht="30" customHeight="1" x14ac:dyDescent="0.25">
      <c r="A198" s="6"/>
      <c r="B198" s="5"/>
      <c r="C198" s="5"/>
      <c r="D198" s="8"/>
      <c r="F198" s="17" t="s">
        <v>150</v>
      </c>
      <c r="I198" s="8"/>
      <c r="J198" s="5"/>
      <c r="N198" s="25"/>
      <c r="O198" s="17" t="s">
        <v>150</v>
      </c>
      <c r="S198" s="90" t="s">
        <v>161</v>
      </c>
      <c r="T198" s="17" t="s">
        <v>184</v>
      </c>
    </row>
    <row r="199" spans="1:20" s="4" customFormat="1" ht="30" customHeight="1" x14ac:dyDescent="0.25">
      <c r="A199" s="6"/>
      <c r="B199" s="5"/>
      <c r="C199" s="5"/>
      <c r="D199" s="8"/>
      <c r="F199" s="17" t="s">
        <v>153</v>
      </c>
      <c r="I199" s="8"/>
      <c r="J199" s="5"/>
      <c r="N199" s="25"/>
      <c r="O199" s="17" t="s">
        <v>153</v>
      </c>
      <c r="S199" s="90" t="s">
        <v>162</v>
      </c>
      <c r="T199" s="17" t="s">
        <v>187</v>
      </c>
    </row>
    <row r="200" spans="1:20" s="4" customFormat="1" ht="30" customHeight="1" x14ac:dyDescent="0.25">
      <c r="A200" s="6"/>
      <c r="B200" s="5"/>
      <c r="C200" s="5"/>
      <c r="D200" s="8"/>
      <c r="F200" s="17" t="s">
        <v>152</v>
      </c>
      <c r="I200" s="8"/>
      <c r="J200" s="5"/>
      <c r="N200" s="25"/>
      <c r="O200" s="17" t="s">
        <v>152</v>
      </c>
      <c r="S200" s="90" t="s">
        <v>163</v>
      </c>
      <c r="T200" s="17" t="s">
        <v>186</v>
      </c>
    </row>
    <row r="201" spans="1:20" s="4" customFormat="1" ht="30" customHeight="1" x14ac:dyDescent="0.25">
      <c r="A201" s="6"/>
      <c r="B201" s="5"/>
      <c r="C201" s="5"/>
      <c r="D201" s="8"/>
      <c r="F201" s="17" t="s">
        <v>154</v>
      </c>
      <c r="I201" s="8"/>
      <c r="J201" s="5"/>
      <c r="N201" s="25"/>
      <c r="O201" s="17" t="s">
        <v>154</v>
      </c>
      <c r="S201" s="90" t="s">
        <v>164</v>
      </c>
      <c r="T201" s="17" t="s">
        <v>185</v>
      </c>
    </row>
    <row r="202" spans="1:20" s="4" customFormat="1" ht="30" customHeight="1" x14ac:dyDescent="0.25">
      <c r="A202" s="6"/>
      <c r="B202" s="5"/>
      <c r="C202" s="5"/>
      <c r="D202" s="8"/>
      <c r="F202" s="17" t="s">
        <v>155</v>
      </c>
      <c r="I202" s="8"/>
      <c r="J202" s="5"/>
      <c r="N202" s="25"/>
      <c r="O202" s="17" t="s">
        <v>155</v>
      </c>
      <c r="S202" s="90" t="s">
        <v>165</v>
      </c>
      <c r="T202" s="17" t="s">
        <v>188</v>
      </c>
    </row>
    <row r="203" spans="1:20" s="4" customFormat="1" ht="30" customHeight="1" x14ac:dyDescent="0.25">
      <c r="A203" s="6"/>
      <c r="B203" s="5"/>
      <c r="C203" s="5"/>
      <c r="D203" s="8"/>
      <c r="F203" s="17" t="s">
        <v>156</v>
      </c>
      <c r="I203" s="8"/>
      <c r="J203" s="5"/>
      <c r="N203" s="25"/>
      <c r="O203" s="17" t="s">
        <v>156</v>
      </c>
      <c r="S203" s="90" t="s">
        <v>166</v>
      </c>
      <c r="T203" s="17" t="s">
        <v>189</v>
      </c>
    </row>
    <row r="204" spans="1:20" s="4" customFormat="1" ht="30" customHeight="1" x14ac:dyDescent="0.25">
      <c r="A204" s="6"/>
      <c r="B204" s="5"/>
      <c r="C204" s="5"/>
      <c r="D204" s="8"/>
      <c r="F204" s="17" t="s">
        <v>157</v>
      </c>
      <c r="I204" s="8"/>
      <c r="J204" s="5"/>
      <c r="N204" s="25"/>
      <c r="O204" s="17" t="s">
        <v>157</v>
      </c>
      <c r="S204" s="90" t="s">
        <v>167</v>
      </c>
      <c r="T204" s="17" t="s">
        <v>190</v>
      </c>
    </row>
    <row r="205" spans="1:20" s="4" customFormat="1" ht="30" customHeight="1" x14ac:dyDescent="0.25">
      <c r="A205" s="6"/>
      <c r="B205" s="5"/>
      <c r="C205" s="5"/>
      <c r="D205" s="8"/>
      <c r="F205" s="17" t="s">
        <v>151</v>
      </c>
      <c r="I205" s="8"/>
      <c r="J205" s="5"/>
      <c r="N205" s="25"/>
      <c r="O205" s="17" t="s">
        <v>151</v>
      </c>
      <c r="S205" s="90" t="s">
        <v>168</v>
      </c>
      <c r="T205" s="17" t="s">
        <v>191</v>
      </c>
    </row>
    <row r="206" spans="1:20" s="4" customFormat="1" ht="30" customHeight="1" x14ac:dyDescent="0.25">
      <c r="A206" s="6"/>
      <c r="B206" s="5"/>
      <c r="C206" s="5"/>
      <c r="D206" s="8"/>
      <c r="I206" s="8"/>
      <c r="J206" s="5"/>
      <c r="N206" s="25"/>
      <c r="S206" s="90" t="s">
        <v>169</v>
      </c>
      <c r="T206" s="17" t="s">
        <v>192</v>
      </c>
    </row>
    <row r="207" spans="1:20" s="4" customFormat="1" ht="30" customHeight="1" x14ac:dyDescent="0.25">
      <c r="A207" s="6"/>
      <c r="B207" s="5"/>
      <c r="C207" s="5"/>
      <c r="D207" s="8"/>
      <c r="I207" s="8"/>
      <c r="J207" s="5"/>
      <c r="N207" s="25"/>
      <c r="S207" s="17" t="s">
        <v>170</v>
      </c>
    </row>
    <row r="208" spans="1:20" s="4" customFormat="1" ht="30" customHeight="1" x14ac:dyDescent="0.25">
      <c r="A208" s="6"/>
      <c r="B208" s="5"/>
      <c r="C208" s="5"/>
      <c r="D208" s="8"/>
      <c r="I208" s="8"/>
      <c r="J208" s="5"/>
      <c r="N208" s="25"/>
      <c r="S208" s="17" t="s">
        <v>171</v>
      </c>
    </row>
    <row r="209" spans="1:20" s="4" customFormat="1" ht="30" customHeight="1" x14ac:dyDescent="0.25">
      <c r="A209" s="6"/>
      <c r="B209" s="5"/>
      <c r="C209" s="5"/>
      <c r="D209" s="8"/>
      <c r="I209" s="8"/>
      <c r="J209" s="5"/>
      <c r="N209" s="25"/>
      <c r="S209" s="17" t="s">
        <v>172</v>
      </c>
    </row>
    <row r="210" spans="1:20" s="4" customFormat="1" ht="30" customHeight="1" x14ac:dyDescent="0.25">
      <c r="A210" s="6"/>
      <c r="B210" s="5"/>
      <c r="C210" s="5"/>
      <c r="D210" s="8"/>
      <c r="I210" s="8"/>
      <c r="J210" s="5"/>
      <c r="N210" s="25"/>
      <c r="S210" s="17" t="s">
        <v>173</v>
      </c>
    </row>
    <row r="211" spans="1:20" s="4" customFormat="1" ht="30" customHeight="1" x14ac:dyDescent="0.25">
      <c r="A211" s="6"/>
      <c r="B211" s="5"/>
      <c r="C211" s="5"/>
      <c r="D211" s="8"/>
      <c r="I211" s="8"/>
      <c r="J211" s="5"/>
      <c r="N211" s="25"/>
      <c r="S211" s="17" t="s">
        <v>174</v>
      </c>
    </row>
    <row r="212" spans="1:20" s="4" customFormat="1" ht="30" customHeight="1" x14ac:dyDescent="0.25">
      <c r="A212" s="6"/>
      <c r="B212" s="5"/>
      <c r="C212" s="5"/>
      <c r="D212" s="8"/>
      <c r="I212" s="8"/>
      <c r="J212" s="5"/>
      <c r="N212" s="25"/>
      <c r="S212" s="17" t="s">
        <v>175</v>
      </c>
    </row>
    <row r="213" spans="1:20" s="4" customFormat="1" ht="30" customHeight="1" thickBot="1" x14ac:dyDescent="0.3">
      <c r="A213" s="6"/>
      <c r="B213" s="5"/>
      <c r="C213" s="5"/>
      <c r="D213" s="8"/>
      <c r="H213" s="8"/>
      <c r="I213" s="5"/>
      <c r="M213" s="5"/>
      <c r="N213" s="25"/>
    </row>
    <row r="214" spans="1:20" s="4" customFormat="1" ht="30" customHeight="1" thickBot="1" x14ac:dyDescent="0.3">
      <c r="A214" s="159" t="s">
        <v>121</v>
      </c>
      <c r="B214" s="160"/>
      <c r="C214" s="160"/>
      <c r="D214" s="160"/>
      <c r="E214" s="160"/>
      <c r="F214" s="160"/>
      <c r="G214" s="160"/>
      <c r="H214" s="160"/>
      <c r="I214" s="160"/>
      <c r="J214" s="160"/>
      <c r="K214" s="160"/>
      <c r="L214" s="160"/>
      <c r="M214" s="160"/>
      <c r="N214" s="160"/>
      <c r="O214" s="160"/>
      <c r="P214" s="160"/>
      <c r="Q214" s="160"/>
      <c r="R214" s="160"/>
      <c r="S214" s="160"/>
      <c r="T214" s="161"/>
    </row>
    <row r="215" spans="1:20" s="4" customFormat="1" ht="30" customHeight="1" thickBot="1" x14ac:dyDescent="0.3">
      <c r="A215" s="113" t="s">
        <v>0</v>
      </c>
      <c r="B215" s="114" t="s">
        <v>22</v>
      </c>
      <c r="C215" s="114" t="s">
        <v>23</v>
      </c>
      <c r="D215" s="114" t="s">
        <v>1</v>
      </c>
      <c r="E215" s="115" t="s">
        <v>194</v>
      </c>
      <c r="F215" s="115" t="s">
        <v>122</v>
      </c>
      <c r="G215" s="115" t="s">
        <v>176</v>
      </c>
      <c r="H215" s="115" t="s">
        <v>177</v>
      </c>
      <c r="I215" s="115" t="s">
        <v>159</v>
      </c>
      <c r="J215" s="116" t="s">
        <v>160</v>
      </c>
      <c r="K215" s="116" t="s">
        <v>125</v>
      </c>
      <c r="L215" s="164" t="s">
        <v>127</v>
      </c>
      <c r="M215" s="165"/>
      <c r="N215" s="116" t="s">
        <v>126</v>
      </c>
      <c r="O215" s="115" t="s">
        <v>179</v>
      </c>
      <c r="P215" s="115" t="s">
        <v>180</v>
      </c>
      <c r="Q215" s="115" t="s">
        <v>182</v>
      </c>
      <c r="R215" s="115" t="s">
        <v>181</v>
      </c>
      <c r="S215" s="116" t="s">
        <v>124</v>
      </c>
      <c r="T215" s="117" t="s">
        <v>123</v>
      </c>
    </row>
    <row r="216" spans="1:20" s="4" customFormat="1" ht="30" customHeight="1" x14ac:dyDescent="0.25">
      <c r="A216" s="166" t="s">
        <v>24</v>
      </c>
      <c r="B216" s="146">
        <v>2181</v>
      </c>
      <c r="C216" s="146" t="s">
        <v>10</v>
      </c>
      <c r="D216" s="148" t="s">
        <v>45</v>
      </c>
      <c r="E216" s="148" t="s">
        <v>193</v>
      </c>
      <c r="F216" s="148" t="s">
        <v>153</v>
      </c>
      <c r="G216" s="167"/>
      <c r="H216" s="147">
        <f>($L$88*$K$88)</f>
        <v>6.7</v>
      </c>
      <c r="I216" s="147">
        <f>G216*H216</f>
        <v>0</v>
      </c>
      <c r="J216" s="150"/>
      <c r="K216" s="149"/>
      <c r="L216" s="149"/>
      <c r="M216" s="149"/>
      <c r="N216" s="148" t="s">
        <v>216</v>
      </c>
      <c r="O216" s="148" t="s">
        <v>153</v>
      </c>
      <c r="P216" s="36"/>
      <c r="Q216" s="35">
        <v>5</v>
      </c>
      <c r="R216" s="97">
        <f>P216*Q216</f>
        <v>0</v>
      </c>
      <c r="S216" s="36"/>
      <c r="T216" s="100"/>
    </row>
    <row r="217" spans="1:20" s="4" customFormat="1" ht="30" customHeight="1" x14ac:dyDescent="0.25">
      <c r="A217" s="140"/>
      <c r="B217" s="141"/>
      <c r="C217" s="141"/>
      <c r="D217" s="139"/>
      <c r="E217" s="139"/>
      <c r="F217" s="139"/>
      <c r="G217" s="142"/>
      <c r="H217" s="143"/>
      <c r="I217" s="143"/>
      <c r="J217" s="144"/>
      <c r="K217" s="145"/>
      <c r="L217" s="145"/>
      <c r="M217" s="145"/>
      <c r="N217" s="139"/>
      <c r="O217" s="139"/>
      <c r="P217" s="27"/>
      <c r="Q217" s="9">
        <v>5</v>
      </c>
      <c r="R217" s="30">
        <f>P217*Q217</f>
        <v>0</v>
      </c>
      <c r="S217" s="27"/>
      <c r="T217" s="101"/>
    </row>
    <row r="218" spans="1:20" s="4" customFormat="1" ht="30" customHeight="1" x14ac:dyDescent="0.25">
      <c r="A218" s="63"/>
      <c r="B218" s="20"/>
      <c r="C218" s="20"/>
      <c r="D218" s="21"/>
      <c r="E218" s="19"/>
      <c r="F218" s="19"/>
      <c r="G218" s="21"/>
      <c r="H218" s="110"/>
      <c r="I218" s="110"/>
      <c r="J218" s="110"/>
      <c r="K218" s="105"/>
      <c r="L218" s="105"/>
      <c r="M218" s="105"/>
      <c r="N218" s="105"/>
      <c r="O218" s="19"/>
      <c r="P218" s="19"/>
      <c r="Q218" s="111" t="s">
        <v>211</v>
      </c>
      <c r="R218" s="112">
        <f>SUM(R216:R217)</f>
        <v>0</v>
      </c>
      <c r="S218" s="19"/>
      <c r="T218" s="68"/>
    </row>
    <row r="219" spans="1:20" s="4" customFormat="1" ht="30" customHeight="1" x14ac:dyDescent="0.25">
      <c r="A219" s="140" t="s">
        <v>24</v>
      </c>
      <c r="B219" s="141">
        <v>2181</v>
      </c>
      <c r="C219" s="141" t="s">
        <v>10</v>
      </c>
      <c r="D219" s="139" t="s">
        <v>45</v>
      </c>
      <c r="E219" s="139" t="s">
        <v>195</v>
      </c>
      <c r="F219" s="139" t="s">
        <v>154</v>
      </c>
      <c r="G219" s="142"/>
      <c r="H219" s="143">
        <f>($L$88*$K$88)</f>
        <v>6.7</v>
      </c>
      <c r="I219" s="143">
        <f>G219*H219</f>
        <v>0</v>
      </c>
      <c r="J219" s="144"/>
      <c r="K219" s="145"/>
      <c r="L219" s="145"/>
      <c r="M219" s="145"/>
      <c r="N219" s="139" t="s">
        <v>216</v>
      </c>
      <c r="O219" s="139" t="s">
        <v>154</v>
      </c>
      <c r="P219" s="27"/>
      <c r="Q219" s="27"/>
      <c r="R219" s="30">
        <f>P219*Q219</f>
        <v>0</v>
      </c>
      <c r="S219" s="27"/>
      <c r="T219" s="101"/>
    </row>
    <row r="220" spans="1:20" s="4" customFormat="1" ht="30" customHeight="1" x14ac:dyDescent="0.25">
      <c r="A220" s="140"/>
      <c r="B220" s="141"/>
      <c r="C220" s="141"/>
      <c r="D220" s="139"/>
      <c r="E220" s="139"/>
      <c r="F220" s="139"/>
      <c r="G220" s="142"/>
      <c r="H220" s="143"/>
      <c r="I220" s="143"/>
      <c r="J220" s="144"/>
      <c r="K220" s="145"/>
      <c r="L220" s="145"/>
      <c r="M220" s="145"/>
      <c r="N220" s="139"/>
      <c r="O220" s="139"/>
      <c r="P220" s="27"/>
      <c r="Q220" s="27"/>
      <c r="R220" s="30">
        <f>P220*Q220</f>
        <v>0</v>
      </c>
      <c r="S220" s="27"/>
      <c r="T220" s="101"/>
    </row>
    <row r="221" spans="1:20" s="4" customFormat="1" ht="30" customHeight="1" x14ac:dyDescent="0.25">
      <c r="A221" s="63"/>
      <c r="B221" s="20"/>
      <c r="C221" s="20"/>
      <c r="D221" s="21"/>
      <c r="E221" s="19"/>
      <c r="F221" s="19"/>
      <c r="G221" s="21"/>
      <c r="H221" s="110"/>
      <c r="I221" s="110"/>
      <c r="J221" s="110"/>
      <c r="K221" s="105"/>
      <c r="L221" s="105"/>
      <c r="M221" s="105"/>
      <c r="N221" s="105"/>
      <c r="O221" s="19"/>
      <c r="P221" s="19"/>
      <c r="Q221" s="111" t="s">
        <v>211</v>
      </c>
      <c r="R221" s="112">
        <f>SUM(R219:R220)</f>
        <v>0</v>
      </c>
      <c r="S221" s="19"/>
      <c r="T221" s="68"/>
    </row>
    <row r="222" spans="1:20" s="4" customFormat="1" ht="30" customHeight="1" x14ac:dyDescent="0.25">
      <c r="A222" s="140" t="s">
        <v>24</v>
      </c>
      <c r="B222" s="141">
        <v>2181</v>
      </c>
      <c r="C222" s="141" t="s">
        <v>10</v>
      </c>
      <c r="D222" s="139" t="s">
        <v>45</v>
      </c>
      <c r="E222" s="139" t="s">
        <v>196</v>
      </c>
      <c r="F222" s="139" t="s">
        <v>156</v>
      </c>
      <c r="G222" s="142"/>
      <c r="H222" s="143">
        <f>($L$88*$K$88)</f>
        <v>6.7</v>
      </c>
      <c r="I222" s="143">
        <f t="shared" ref="I222:I225" si="3">G222*H222</f>
        <v>0</v>
      </c>
      <c r="J222" s="144"/>
      <c r="K222" s="145"/>
      <c r="L222" s="145"/>
      <c r="M222" s="145"/>
      <c r="N222" s="139" t="s">
        <v>216</v>
      </c>
      <c r="O222" s="139" t="s">
        <v>156</v>
      </c>
      <c r="P222" s="27"/>
      <c r="Q222" s="27"/>
      <c r="R222" s="30">
        <f>P222*Q222</f>
        <v>0</v>
      </c>
      <c r="S222" s="27"/>
      <c r="T222" s="101"/>
    </row>
    <row r="223" spans="1:20" s="4" customFormat="1" ht="30" customHeight="1" x14ac:dyDescent="0.25">
      <c r="A223" s="140"/>
      <c r="B223" s="141"/>
      <c r="C223" s="141"/>
      <c r="D223" s="139"/>
      <c r="E223" s="139"/>
      <c r="F223" s="139"/>
      <c r="G223" s="142"/>
      <c r="H223" s="143"/>
      <c r="I223" s="143"/>
      <c r="J223" s="144"/>
      <c r="K223" s="145"/>
      <c r="L223" s="145"/>
      <c r="M223" s="145"/>
      <c r="N223" s="139"/>
      <c r="O223" s="139"/>
      <c r="P223" s="27"/>
      <c r="Q223" s="27"/>
      <c r="R223" s="30">
        <f>P223*Q223</f>
        <v>0</v>
      </c>
      <c r="S223" s="27"/>
      <c r="T223" s="101"/>
    </row>
    <row r="224" spans="1:20" s="4" customFormat="1" ht="30" customHeight="1" x14ac:dyDescent="0.25">
      <c r="A224" s="63"/>
      <c r="B224" s="20"/>
      <c r="C224" s="20"/>
      <c r="D224" s="21"/>
      <c r="E224" s="19"/>
      <c r="F224" s="19"/>
      <c r="G224" s="21"/>
      <c r="H224" s="110"/>
      <c r="I224" s="110"/>
      <c r="J224" s="110"/>
      <c r="K224" s="105"/>
      <c r="L224" s="105"/>
      <c r="M224" s="105"/>
      <c r="N224" s="105"/>
      <c r="O224" s="19"/>
      <c r="P224" s="19"/>
      <c r="Q224" s="111" t="s">
        <v>211</v>
      </c>
      <c r="R224" s="112">
        <f>SUM(R222:R223)</f>
        <v>0</v>
      </c>
      <c r="S224" s="19"/>
      <c r="T224" s="68"/>
    </row>
    <row r="225" spans="1:20" s="4" customFormat="1" ht="30" customHeight="1" x14ac:dyDescent="0.25">
      <c r="A225" s="140" t="s">
        <v>24</v>
      </c>
      <c r="B225" s="141">
        <v>2181</v>
      </c>
      <c r="C225" s="141" t="s">
        <v>10</v>
      </c>
      <c r="D225" s="139" t="s">
        <v>45</v>
      </c>
      <c r="E225" s="139" t="s">
        <v>197</v>
      </c>
      <c r="F225" s="139" t="s">
        <v>151</v>
      </c>
      <c r="G225" s="142"/>
      <c r="H225" s="143">
        <f>($L$88*$K$88)</f>
        <v>6.7</v>
      </c>
      <c r="I225" s="143">
        <f t="shared" si="3"/>
        <v>0</v>
      </c>
      <c r="J225" s="144"/>
      <c r="K225" s="145"/>
      <c r="L225" s="145"/>
      <c r="M225" s="145"/>
      <c r="N225" s="139" t="s">
        <v>216</v>
      </c>
      <c r="O225" s="139" t="s">
        <v>151</v>
      </c>
      <c r="P225" s="27"/>
      <c r="Q225" s="27"/>
      <c r="R225" s="30">
        <f>P225*Q225</f>
        <v>0</v>
      </c>
      <c r="S225" s="27"/>
      <c r="T225" s="101"/>
    </row>
    <row r="226" spans="1:20" s="4" customFormat="1" ht="30" customHeight="1" x14ac:dyDescent="0.25">
      <c r="A226" s="140"/>
      <c r="B226" s="141"/>
      <c r="C226" s="141"/>
      <c r="D226" s="139"/>
      <c r="E226" s="139"/>
      <c r="F226" s="139"/>
      <c r="G226" s="142"/>
      <c r="H226" s="143"/>
      <c r="I226" s="143"/>
      <c r="J226" s="144"/>
      <c r="K226" s="145"/>
      <c r="L226" s="145"/>
      <c r="M226" s="145"/>
      <c r="N226" s="139"/>
      <c r="O226" s="139"/>
      <c r="P226" s="27"/>
      <c r="Q226" s="27"/>
      <c r="R226" s="30">
        <f>P226*Q226</f>
        <v>0</v>
      </c>
      <c r="S226" s="27"/>
      <c r="T226" s="101"/>
    </row>
    <row r="227" spans="1:20" s="4" customFormat="1" ht="30" customHeight="1" x14ac:dyDescent="0.25">
      <c r="A227" s="63"/>
      <c r="B227" s="20"/>
      <c r="C227" s="20"/>
      <c r="D227" s="21"/>
      <c r="E227" s="19"/>
      <c r="F227" s="19"/>
      <c r="G227" s="21"/>
      <c r="H227" s="110"/>
      <c r="I227" s="110"/>
      <c r="J227" s="110"/>
      <c r="K227" s="105"/>
      <c r="L227" s="105"/>
      <c r="M227" s="105"/>
      <c r="N227" s="105"/>
      <c r="O227" s="19"/>
      <c r="P227" s="19"/>
      <c r="Q227" s="111" t="s">
        <v>211</v>
      </c>
      <c r="R227" s="112">
        <f>SUM(R225:R226)</f>
        <v>0</v>
      </c>
      <c r="S227" s="19"/>
      <c r="T227" s="68"/>
    </row>
    <row r="228" spans="1:20" s="7" customFormat="1" ht="9.9499999999999993" customHeight="1" x14ac:dyDescent="0.25">
      <c r="A228" s="121"/>
      <c r="B228" s="118"/>
      <c r="C228" s="118"/>
      <c r="D228" s="118"/>
      <c r="E228" s="9"/>
      <c r="F228" s="118"/>
      <c r="G228" s="9"/>
      <c r="H228" s="118"/>
      <c r="I228" s="118"/>
      <c r="J228" s="118"/>
      <c r="K228" s="119"/>
      <c r="L228" s="119"/>
      <c r="M228" s="119"/>
      <c r="N228" s="119"/>
      <c r="O228" s="118"/>
      <c r="P228" s="9"/>
      <c r="Q228" s="9"/>
      <c r="R228" s="118"/>
      <c r="S228" s="118"/>
      <c r="T228" s="122"/>
    </row>
    <row r="229" spans="1:20" s="4" customFormat="1" ht="30" customHeight="1" x14ac:dyDescent="0.25">
      <c r="A229" s="64" t="s">
        <v>26</v>
      </c>
      <c r="B229" s="10">
        <v>2125</v>
      </c>
      <c r="C229" s="10" t="s">
        <v>10</v>
      </c>
      <c r="D229" s="13" t="s">
        <v>27</v>
      </c>
      <c r="E229" s="17" t="s">
        <v>193</v>
      </c>
      <c r="F229" s="9" t="s">
        <v>151</v>
      </c>
      <c r="G229" s="85">
        <v>14.9</v>
      </c>
      <c r="H229" s="13">
        <f>($K$120*$L$120)</f>
        <v>4.1500000000000004</v>
      </c>
      <c r="I229" s="85">
        <f t="shared" ref="I229:I232" si="4">G229*H229</f>
        <v>61.835000000000008</v>
      </c>
      <c r="J229" s="13">
        <v>3.5999999999999997E-2</v>
      </c>
      <c r="K229" s="158" t="s">
        <v>203</v>
      </c>
      <c r="L229" s="158"/>
      <c r="M229" s="158"/>
      <c r="N229" s="158"/>
      <c r="O229" s="9" t="s">
        <v>151</v>
      </c>
      <c r="P229" s="158" t="s">
        <v>204</v>
      </c>
      <c r="Q229" s="158"/>
      <c r="R229" s="30">
        <f>I229</f>
        <v>61.835000000000008</v>
      </c>
      <c r="S229" s="29" t="s">
        <v>175</v>
      </c>
      <c r="T229" s="52" t="s">
        <v>184</v>
      </c>
    </row>
    <row r="230" spans="1:20" s="4" customFormat="1" ht="30" customHeight="1" x14ac:dyDescent="0.25">
      <c r="A230" s="64" t="s">
        <v>26</v>
      </c>
      <c r="B230" s="10">
        <v>2125</v>
      </c>
      <c r="C230" s="10" t="s">
        <v>10</v>
      </c>
      <c r="D230" s="13" t="s">
        <v>27</v>
      </c>
      <c r="E230" s="17" t="s">
        <v>195</v>
      </c>
      <c r="F230" s="9" t="s">
        <v>153</v>
      </c>
      <c r="G230" s="85">
        <v>14.9</v>
      </c>
      <c r="H230" s="13">
        <f>($K$120*$L$120)</f>
        <v>4.1500000000000004</v>
      </c>
      <c r="I230" s="85">
        <f t="shared" si="4"/>
        <v>61.835000000000008</v>
      </c>
      <c r="J230" s="13">
        <v>3.5999999999999997E-2</v>
      </c>
      <c r="K230" s="158"/>
      <c r="L230" s="158"/>
      <c r="M230" s="158"/>
      <c r="N230" s="158"/>
      <c r="O230" s="29" t="s">
        <v>153</v>
      </c>
      <c r="P230" s="158"/>
      <c r="Q230" s="158"/>
      <c r="R230" s="30">
        <f>I230</f>
        <v>61.835000000000008</v>
      </c>
      <c r="S230" s="17" t="s">
        <v>175</v>
      </c>
      <c r="T230" s="42" t="s">
        <v>184</v>
      </c>
    </row>
    <row r="231" spans="1:20" s="4" customFormat="1" ht="30" customHeight="1" x14ac:dyDescent="0.25">
      <c r="A231" s="64" t="s">
        <v>26</v>
      </c>
      <c r="B231" s="10">
        <v>2125</v>
      </c>
      <c r="C231" s="10" t="s">
        <v>10</v>
      </c>
      <c r="D231" s="13" t="s">
        <v>27</v>
      </c>
      <c r="E231" s="17" t="s">
        <v>196</v>
      </c>
      <c r="F231" s="9" t="s">
        <v>154</v>
      </c>
      <c r="G231" s="85">
        <v>14.9</v>
      </c>
      <c r="H231" s="13">
        <f>($K$120*$L$120)</f>
        <v>4.1500000000000004</v>
      </c>
      <c r="I231" s="85">
        <f t="shared" si="4"/>
        <v>61.835000000000008</v>
      </c>
      <c r="J231" s="13">
        <v>3.5999999999999997E-2</v>
      </c>
      <c r="K231" s="158"/>
      <c r="L231" s="158"/>
      <c r="M231" s="158"/>
      <c r="N231" s="158"/>
      <c r="O231" s="29" t="s">
        <v>154</v>
      </c>
      <c r="P231" s="158"/>
      <c r="Q231" s="158"/>
      <c r="R231" s="30">
        <f>I231</f>
        <v>61.835000000000008</v>
      </c>
      <c r="S231" s="17" t="s">
        <v>175</v>
      </c>
      <c r="T231" s="42" t="s">
        <v>192</v>
      </c>
    </row>
    <row r="232" spans="1:20" s="4" customFormat="1" ht="30" customHeight="1" x14ac:dyDescent="0.25">
      <c r="A232" s="64" t="s">
        <v>26</v>
      </c>
      <c r="B232" s="10">
        <v>2125</v>
      </c>
      <c r="C232" s="10" t="s">
        <v>10</v>
      </c>
      <c r="D232" s="13" t="s">
        <v>27</v>
      </c>
      <c r="E232" s="17" t="s">
        <v>197</v>
      </c>
      <c r="F232" s="9" t="s">
        <v>156</v>
      </c>
      <c r="G232" s="85">
        <v>14.9</v>
      </c>
      <c r="H232" s="13">
        <f>($K$120*$L$120)</f>
        <v>4.1500000000000004</v>
      </c>
      <c r="I232" s="85">
        <f t="shared" si="4"/>
        <v>61.835000000000008</v>
      </c>
      <c r="J232" s="13">
        <v>3.5999999999999997E-2</v>
      </c>
      <c r="K232" s="158"/>
      <c r="L232" s="158"/>
      <c r="M232" s="158"/>
      <c r="N232" s="158"/>
      <c r="O232" s="9" t="s">
        <v>156</v>
      </c>
      <c r="P232" s="158"/>
      <c r="Q232" s="158"/>
      <c r="R232" s="30">
        <f>I232</f>
        <v>61.835000000000008</v>
      </c>
      <c r="S232" s="29" t="s">
        <v>175</v>
      </c>
      <c r="T232" s="52" t="s">
        <v>184</v>
      </c>
    </row>
    <row r="233" spans="1:20" s="7" customFormat="1" ht="9.9499999999999993" customHeight="1" x14ac:dyDescent="0.25">
      <c r="A233" s="121"/>
      <c r="B233" s="118"/>
      <c r="C233" s="118"/>
      <c r="D233" s="118"/>
      <c r="E233" s="9"/>
      <c r="F233" s="118"/>
      <c r="G233" s="9"/>
      <c r="H233" s="118"/>
      <c r="I233" s="118"/>
      <c r="J233" s="118"/>
      <c r="K233" s="119"/>
      <c r="L233" s="119"/>
      <c r="M233" s="119"/>
      <c r="N233" s="119"/>
      <c r="O233" s="118"/>
      <c r="P233" s="9"/>
      <c r="Q233" s="9"/>
      <c r="R233" s="118"/>
      <c r="S233" s="118"/>
      <c r="T233" s="122"/>
    </row>
    <row r="234" spans="1:20" s="4" customFormat="1" ht="30" customHeight="1" x14ac:dyDescent="0.25">
      <c r="A234" s="153" t="s">
        <v>26</v>
      </c>
      <c r="B234" s="141">
        <v>2130</v>
      </c>
      <c r="C234" s="141" t="s">
        <v>10</v>
      </c>
      <c r="D234" s="132" t="s">
        <v>28</v>
      </c>
      <c r="E234" s="155" t="s">
        <v>193</v>
      </c>
      <c r="F234" s="158" t="s">
        <v>151</v>
      </c>
      <c r="G234" s="137">
        <v>17.649999999999999</v>
      </c>
      <c r="H234" s="156">
        <f>($K$122*$L$122)</f>
        <v>28.8</v>
      </c>
      <c r="I234" s="156">
        <f t="shared" ref="I234:I244" si="5">G234*H234</f>
        <v>508.32</v>
      </c>
      <c r="J234" s="156">
        <v>0.3</v>
      </c>
      <c r="K234" s="158" t="s">
        <v>208</v>
      </c>
      <c r="L234" s="158" t="s">
        <v>209</v>
      </c>
      <c r="M234" s="158" t="s">
        <v>206</v>
      </c>
      <c r="N234" s="158" t="s">
        <v>207</v>
      </c>
      <c r="O234" s="158" t="s">
        <v>151</v>
      </c>
      <c r="P234" s="29">
        <f>1.5*1.26</f>
        <v>1.8900000000000001</v>
      </c>
      <c r="Q234" s="9">
        <v>63</v>
      </c>
      <c r="R234" s="30">
        <f>P234*Q234</f>
        <v>119.07000000000001</v>
      </c>
      <c r="S234" s="155" t="s">
        <v>210</v>
      </c>
      <c r="T234" s="157"/>
    </row>
    <row r="235" spans="1:20" s="4" customFormat="1" ht="30" customHeight="1" x14ac:dyDescent="0.25">
      <c r="A235" s="153"/>
      <c r="B235" s="141"/>
      <c r="C235" s="141"/>
      <c r="D235" s="132"/>
      <c r="E235" s="155"/>
      <c r="F235" s="158"/>
      <c r="G235" s="137"/>
      <c r="H235" s="156"/>
      <c r="I235" s="156"/>
      <c r="J235" s="156"/>
      <c r="K235" s="158"/>
      <c r="L235" s="158"/>
      <c r="M235" s="158"/>
      <c r="N235" s="158"/>
      <c r="O235" s="158"/>
      <c r="P235" s="29">
        <f>1.5*1.15</f>
        <v>1.7249999999999999</v>
      </c>
      <c r="Q235" s="9">
        <v>2</v>
      </c>
      <c r="R235" s="30">
        <f t="shared" ref="R235:R236" si="6">P235*Q235</f>
        <v>3.4499999999999997</v>
      </c>
      <c r="S235" s="155"/>
      <c r="T235" s="157"/>
    </row>
    <row r="236" spans="1:20" s="4" customFormat="1" ht="30" customHeight="1" x14ac:dyDescent="0.25">
      <c r="A236" s="153"/>
      <c r="B236" s="141"/>
      <c r="C236" s="141"/>
      <c r="D236" s="132"/>
      <c r="E236" s="155"/>
      <c r="F236" s="158"/>
      <c r="G236" s="137"/>
      <c r="H236" s="156"/>
      <c r="I236" s="156"/>
      <c r="J236" s="156"/>
      <c r="K236" s="158"/>
      <c r="L236" s="158"/>
      <c r="M236" s="158"/>
      <c r="N236" s="158"/>
      <c r="O236" s="158"/>
      <c r="P236" s="29">
        <f>1.5*1.6</f>
        <v>2.4000000000000004</v>
      </c>
      <c r="Q236" s="9">
        <v>7</v>
      </c>
      <c r="R236" s="30">
        <f t="shared" si="6"/>
        <v>16.800000000000004</v>
      </c>
      <c r="S236" s="155"/>
      <c r="T236" s="157"/>
    </row>
    <row r="237" spans="1:20" s="4" customFormat="1" ht="30" customHeight="1" x14ac:dyDescent="0.25">
      <c r="A237" s="64"/>
      <c r="B237" s="20"/>
      <c r="C237" s="20"/>
      <c r="D237" s="21"/>
      <c r="E237" s="19"/>
      <c r="F237" s="19"/>
      <c r="G237" s="21"/>
      <c r="H237" s="110"/>
      <c r="I237" s="110"/>
      <c r="J237" s="110"/>
      <c r="K237" s="105"/>
      <c r="L237" s="105"/>
      <c r="M237" s="105"/>
      <c r="N237" s="105"/>
      <c r="O237" s="19"/>
      <c r="P237" s="19"/>
      <c r="Q237" s="111" t="s">
        <v>211</v>
      </c>
      <c r="R237" s="112">
        <f>SUM(R234:R236)</f>
        <v>139.32000000000002</v>
      </c>
      <c r="S237" s="19"/>
      <c r="T237" s="68"/>
    </row>
    <row r="238" spans="1:20" s="4" customFormat="1" ht="30" customHeight="1" x14ac:dyDescent="0.25">
      <c r="A238" s="153" t="s">
        <v>26</v>
      </c>
      <c r="B238" s="141">
        <v>2130</v>
      </c>
      <c r="C238" s="141" t="s">
        <v>10</v>
      </c>
      <c r="D238" s="155" t="s">
        <v>28</v>
      </c>
      <c r="E238" s="155" t="s">
        <v>195</v>
      </c>
      <c r="F238" s="155" t="s">
        <v>153</v>
      </c>
      <c r="G238" s="141">
        <v>83.56</v>
      </c>
      <c r="H238" s="143">
        <f>($K$122*$L$122)</f>
        <v>28.8</v>
      </c>
      <c r="I238" s="143">
        <f t="shared" si="5"/>
        <v>2406.5280000000002</v>
      </c>
      <c r="J238" s="143">
        <v>0.3</v>
      </c>
      <c r="K238" s="155" t="s">
        <v>208</v>
      </c>
      <c r="L238" s="155" t="s">
        <v>209</v>
      </c>
      <c r="M238" s="155" t="s">
        <v>206</v>
      </c>
      <c r="N238" s="155" t="s">
        <v>207</v>
      </c>
      <c r="O238" s="155" t="s">
        <v>153</v>
      </c>
      <c r="P238" s="29">
        <f>(1.32*1.46)+(1.43*0.25)</f>
        <v>2.2847</v>
      </c>
      <c r="Q238" s="9">
        <v>276</v>
      </c>
      <c r="R238" s="30">
        <f>P238*Q238</f>
        <v>630.57719999999995</v>
      </c>
      <c r="S238" s="155" t="s">
        <v>210</v>
      </c>
      <c r="T238" s="154" t="s">
        <v>188</v>
      </c>
    </row>
    <row r="239" spans="1:20" s="4" customFormat="1" ht="30" customHeight="1" x14ac:dyDescent="0.25">
      <c r="A239" s="153"/>
      <c r="B239" s="141"/>
      <c r="C239" s="141"/>
      <c r="D239" s="155"/>
      <c r="E239" s="155"/>
      <c r="F239" s="155"/>
      <c r="G239" s="141"/>
      <c r="H239" s="143"/>
      <c r="I239" s="143"/>
      <c r="J239" s="143"/>
      <c r="K239" s="155"/>
      <c r="L239" s="155"/>
      <c r="M239" s="155"/>
      <c r="N239" s="155"/>
      <c r="O239" s="155"/>
      <c r="P239" s="29">
        <f>0.7*1.65</f>
        <v>1.1549999999999998</v>
      </c>
      <c r="Q239" s="9">
        <v>16</v>
      </c>
      <c r="R239" s="30">
        <f>P239*Q239</f>
        <v>18.479999999999997</v>
      </c>
      <c r="S239" s="155"/>
      <c r="T239" s="154"/>
    </row>
    <row r="240" spans="1:20" s="4" customFormat="1" ht="30" customHeight="1" x14ac:dyDescent="0.25">
      <c r="A240" s="153"/>
      <c r="B240" s="141"/>
      <c r="C240" s="141"/>
      <c r="D240" s="155"/>
      <c r="E240" s="155"/>
      <c r="F240" s="155"/>
      <c r="G240" s="141"/>
      <c r="H240" s="143"/>
      <c r="I240" s="143"/>
      <c r="J240" s="143"/>
      <c r="K240" s="155"/>
      <c r="L240" s="155"/>
      <c r="M240" s="155"/>
      <c r="N240" s="155"/>
      <c r="O240" s="155"/>
      <c r="P240" s="29">
        <f>1.6*1.5</f>
        <v>2.4000000000000004</v>
      </c>
      <c r="Q240" s="9">
        <v>15</v>
      </c>
      <c r="R240" s="30">
        <f>P240*Q240</f>
        <v>36.000000000000007</v>
      </c>
      <c r="S240" s="155"/>
      <c r="T240" s="154"/>
    </row>
    <row r="241" spans="1:20" s="4" customFormat="1" ht="30" customHeight="1" x14ac:dyDescent="0.25">
      <c r="A241" s="64"/>
      <c r="B241" s="20"/>
      <c r="C241" s="20"/>
      <c r="D241" s="21"/>
      <c r="E241" s="19"/>
      <c r="F241" s="19"/>
      <c r="G241" s="21"/>
      <c r="H241" s="110"/>
      <c r="I241" s="110"/>
      <c r="J241" s="110"/>
      <c r="K241" s="105"/>
      <c r="L241" s="105"/>
      <c r="M241" s="105"/>
      <c r="N241" s="105"/>
      <c r="O241" s="19"/>
      <c r="P241" s="19"/>
      <c r="Q241" s="111" t="s">
        <v>211</v>
      </c>
      <c r="R241" s="112">
        <f>SUM(R238:R240)</f>
        <v>685.05719999999997</v>
      </c>
      <c r="S241" s="19"/>
      <c r="T241" s="68"/>
    </row>
    <row r="242" spans="1:20" s="4" customFormat="1" ht="30" customHeight="1" x14ac:dyDescent="0.25">
      <c r="A242" s="64" t="s">
        <v>26</v>
      </c>
      <c r="B242" s="10">
        <v>2130</v>
      </c>
      <c r="C242" s="10" t="s">
        <v>10</v>
      </c>
      <c r="D242" s="13" t="s">
        <v>28</v>
      </c>
      <c r="E242" s="17" t="s">
        <v>196</v>
      </c>
      <c r="F242" s="9" t="s">
        <v>154</v>
      </c>
      <c r="G242" s="13">
        <v>17.649999999999999</v>
      </c>
      <c r="H242" s="85">
        <f>($K$122*$L$122)</f>
        <v>28.8</v>
      </c>
      <c r="I242" s="85">
        <f t="shared" si="5"/>
        <v>508.32</v>
      </c>
      <c r="J242" s="85">
        <v>0.3</v>
      </c>
      <c r="K242" s="109" t="s">
        <v>208</v>
      </c>
      <c r="L242" s="109" t="s">
        <v>209</v>
      </c>
      <c r="M242" s="109" t="s">
        <v>206</v>
      </c>
      <c r="N242" s="109" t="s">
        <v>207</v>
      </c>
      <c r="O242" s="29" t="s">
        <v>154</v>
      </c>
      <c r="P242" s="29">
        <f>(1.32*1.46)+(1.43*0.25)</f>
        <v>2.2847</v>
      </c>
      <c r="Q242" s="9">
        <v>12</v>
      </c>
      <c r="R242" s="30">
        <f>P242*Q242</f>
        <v>27.416399999999999</v>
      </c>
      <c r="S242" s="17" t="s">
        <v>210</v>
      </c>
      <c r="T242" s="101"/>
    </row>
    <row r="243" spans="1:20" s="4" customFormat="1" ht="30" customHeight="1" x14ac:dyDescent="0.25">
      <c r="A243" s="64"/>
      <c r="B243" s="20"/>
      <c r="C243" s="20"/>
      <c r="D243" s="21"/>
      <c r="E243" s="19"/>
      <c r="F243" s="19"/>
      <c r="G243" s="21"/>
      <c r="H243" s="110"/>
      <c r="I243" s="110"/>
      <c r="J243" s="110"/>
      <c r="K243" s="105"/>
      <c r="L243" s="105"/>
      <c r="M243" s="105"/>
      <c r="N243" s="105"/>
      <c r="O243" s="19"/>
      <c r="P243" s="19"/>
      <c r="Q243" s="111" t="s">
        <v>211</v>
      </c>
      <c r="R243" s="112">
        <f>SUM(R242)</f>
        <v>27.416399999999999</v>
      </c>
      <c r="S243" s="19"/>
      <c r="T243" s="68"/>
    </row>
    <row r="244" spans="1:20" s="4" customFormat="1" ht="30" customHeight="1" x14ac:dyDescent="0.25">
      <c r="A244" s="153" t="s">
        <v>26</v>
      </c>
      <c r="B244" s="141">
        <v>2130</v>
      </c>
      <c r="C244" s="141" t="s">
        <v>10</v>
      </c>
      <c r="D244" s="132" t="s">
        <v>28</v>
      </c>
      <c r="E244" s="132" t="s">
        <v>197</v>
      </c>
      <c r="F244" s="132" t="s">
        <v>156</v>
      </c>
      <c r="G244" s="141">
        <v>83.56</v>
      </c>
      <c r="H244" s="143">
        <f>($K$122*$L$122)</f>
        <v>28.8</v>
      </c>
      <c r="I244" s="143">
        <f t="shared" si="5"/>
        <v>2406.5280000000002</v>
      </c>
      <c r="J244" s="143">
        <v>0.3</v>
      </c>
      <c r="K244" s="132" t="s">
        <v>208</v>
      </c>
      <c r="L244" s="132" t="s">
        <v>209</v>
      </c>
      <c r="M244" s="132" t="s">
        <v>206</v>
      </c>
      <c r="N244" s="132" t="s">
        <v>207</v>
      </c>
      <c r="O244" s="132" t="s">
        <v>156</v>
      </c>
      <c r="P244" s="29">
        <f>(1.32*1.46)+(1.43*0.25)</f>
        <v>2.2847</v>
      </c>
      <c r="Q244" s="9">
        <v>273</v>
      </c>
      <c r="R244" s="30">
        <f>P244*Q244</f>
        <v>623.72309999999993</v>
      </c>
      <c r="S244" s="132" t="s">
        <v>210</v>
      </c>
      <c r="T244" s="133" t="s">
        <v>188</v>
      </c>
    </row>
    <row r="245" spans="1:20" s="4" customFormat="1" ht="30" customHeight="1" x14ac:dyDescent="0.25">
      <c r="A245" s="153"/>
      <c r="B245" s="141"/>
      <c r="C245" s="141"/>
      <c r="D245" s="132"/>
      <c r="E245" s="132"/>
      <c r="F245" s="132"/>
      <c r="G245" s="141"/>
      <c r="H245" s="143"/>
      <c r="I245" s="143"/>
      <c r="J245" s="143"/>
      <c r="K245" s="132"/>
      <c r="L245" s="132"/>
      <c r="M245" s="132"/>
      <c r="N245" s="132"/>
      <c r="O245" s="132"/>
      <c r="P245" s="29">
        <f>0.7*1.65</f>
        <v>1.1549999999999998</v>
      </c>
      <c r="Q245" s="9">
        <v>8</v>
      </c>
      <c r="R245" s="30">
        <f>P245*Q245</f>
        <v>9.2399999999999984</v>
      </c>
      <c r="S245" s="132"/>
      <c r="T245" s="133"/>
    </row>
    <row r="246" spans="1:20" s="4" customFormat="1" ht="30" customHeight="1" x14ac:dyDescent="0.25">
      <c r="A246" s="153"/>
      <c r="B246" s="141"/>
      <c r="C246" s="141"/>
      <c r="D246" s="132"/>
      <c r="E246" s="132"/>
      <c r="F246" s="132"/>
      <c r="G246" s="141"/>
      <c r="H246" s="143"/>
      <c r="I246" s="143"/>
      <c r="J246" s="143"/>
      <c r="K246" s="132"/>
      <c r="L246" s="132"/>
      <c r="M246" s="132"/>
      <c r="N246" s="132"/>
      <c r="O246" s="132"/>
      <c r="P246" s="29">
        <f>1.5*1.15</f>
        <v>1.7249999999999999</v>
      </c>
      <c r="Q246" s="9">
        <v>1</v>
      </c>
      <c r="R246" s="30">
        <f>P246*Q246</f>
        <v>1.7249999999999999</v>
      </c>
      <c r="S246" s="132"/>
      <c r="T246" s="133"/>
    </row>
    <row r="247" spans="1:20" s="4" customFormat="1" ht="30" customHeight="1" x14ac:dyDescent="0.25">
      <c r="A247" s="153"/>
      <c r="B247" s="141"/>
      <c r="C247" s="141"/>
      <c r="D247" s="132"/>
      <c r="E247" s="132"/>
      <c r="F247" s="132"/>
      <c r="G247" s="141"/>
      <c r="H247" s="143"/>
      <c r="I247" s="143"/>
      <c r="J247" s="143"/>
      <c r="K247" s="132"/>
      <c r="L247" s="132"/>
      <c r="M247" s="132"/>
      <c r="N247" s="132"/>
      <c r="O247" s="132"/>
      <c r="P247" s="29">
        <f>1.6*1.5</f>
        <v>2.4000000000000004</v>
      </c>
      <c r="Q247" s="9">
        <v>24</v>
      </c>
      <c r="R247" s="30">
        <f>P247*Q247</f>
        <v>57.600000000000009</v>
      </c>
      <c r="S247" s="132"/>
      <c r="T247" s="133"/>
    </row>
    <row r="248" spans="1:20" s="4" customFormat="1" ht="30" customHeight="1" x14ac:dyDescent="0.25">
      <c r="A248" s="64"/>
      <c r="B248" s="20"/>
      <c r="C248" s="20"/>
      <c r="D248" s="21"/>
      <c r="E248" s="19"/>
      <c r="F248" s="19"/>
      <c r="G248" s="21"/>
      <c r="H248" s="110"/>
      <c r="I248" s="110"/>
      <c r="J248" s="110"/>
      <c r="K248" s="105"/>
      <c r="L248" s="105"/>
      <c r="M248" s="105"/>
      <c r="N248" s="105"/>
      <c r="O248" s="19"/>
      <c r="P248" s="19"/>
      <c r="Q248" s="111" t="s">
        <v>211</v>
      </c>
      <c r="R248" s="112">
        <f>SUM(R244:R247)</f>
        <v>692.28809999999999</v>
      </c>
      <c r="S248" s="19"/>
      <c r="T248" s="68"/>
    </row>
    <row r="249" spans="1:20" s="7" customFormat="1" ht="9.9499999999999993" customHeight="1" x14ac:dyDescent="0.25">
      <c r="A249" s="121"/>
      <c r="B249" s="118"/>
      <c r="C249" s="118"/>
      <c r="D249" s="118"/>
      <c r="E249" s="9"/>
      <c r="F249" s="118"/>
      <c r="G249" s="9"/>
      <c r="H249" s="118"/>
      <c r="I249" s="118"/>
      <c r="J249" s="118"/>
      <c r="K249" s="119"/>
      <c r="L249" s="119"/>
      <c r="M249" s="119"/>
      <c r="N249" s="119"/>
      <c r="O249" s="118"/>
      <c r="P249" s="9"/>
      <c r="Q249" s="9"/>
      <c r="R249" s="118"/>
      <c r="S249" s="118"/>
      <c r="T249" s="122"/>
    </row>
    <row r="250" spans="1:20" s="4" customFormat="1" ht="30" customHeight="1" x14ac:dyDescent="0.25">
      <c r="A250" s="64" t="s">
        <v>26</v>
      </c>
      <c r="B250" s="10">
        <v>2134</v>
      </c>
      <c r="C250" s="10" t="s">
        <v>10</v>
      </c>
      <c r="D250" s="13" t="s">
        <v>213</v>
      </c>
      <c r="E250" s="17" t="s">
        <v>193</v>
      </c>
      <c r="F250" s="9" t="s">
        <v>151</v>
      </c>
      <c r="G250" s="75"/>
      <c r="H250" s="85">
        <f>($K$133*$L$133)</f>
        <v>8.5</v>
      </c>
      <c r="I250" s="85">
        <f t="shared" ref="I250:I253" si="7">G250*H250</f>
        <v>0</v>
      </c>
      <c r="J250" s="75"/>
      <c r="K250" s="107"/>
      <c r="L250" s="107"/>
      <c r="M250" s="107"/>
      <c r="N250" s="107"/>
      <c r="O250" s="9" t="s">
        <v>151</v>
      </c>
      <c r="P250" s="27"/>
      <c r="Q250" s="27"/>
      <c r="R250" s="30">
        <f>P250*Q250</f>
        <v>0</v>
      </c>
      <c r="S250" s="28"/>
      <c r="T250" s="101"/>
    </row>
    <row r="251" spans="1:20" s="4" customFormat="1" ht="30" customHeight="1" x14ac:dyDescent="0.25">
      <c r="A251" s="64" t="s">
        <v>26</v>
      </c>
      <c r="B251" s="10">
        <v>2134</v>
      </c>
      <c r="C251" s="10" t="s">
        <v>10</v>
      </c>
      <c r="D251" s="13" t="s">
        <v>213</v>
      </c>
      <c r="E251" s="17" t="s">
        <v>195</v>
      </c>
      <c r="F251" s="9" t="s">
        <v>153</v>
      </c>
      <c r="G251" s="75"/>
      <c r="H251" s="85">
        <f t="shared" ref="H251:H253" si="8">($K$133*$L$133)</f>
        <v>8.5</v>
      </c>
      <c r="I251" s="85">
        <f t="shared" si="7"/>
        <v>0</v>
      </c>
      <c r="J251" s="75"/>
      <c r="K251" s="107"/>
      <c r="L251" s="107"/>
      <c r="M251" s="107"/>
      <c r="N251" s="107"/>
      <c r="O251" s="29" t="s">
        <v>153</v>
      </c>
      <c r="P251" s="27"/>
      <c r="Q251" s="27"/>
      <c r="R251" s="30">
        <f>P251*Q251</f>
        <v>0</v>
      </c>
      <c r="S251" s="27"/>
      <c r="T251" s="101"/>
    </row>
    <row r="252" spans="1:20" s="4" customFormat="1" ht="30" customHeight="1" x14ac:dyDescent="0.25">
      <c r="A252" s="64" t="s">
        <v>26</v>
      </c>
      <c r="B252" s="10">
        <v>2134</v>
      </c>
      <c r="C252" s="10" t="s">
        <v>10</v>
      </c>
      <c r="D252" s="13" t="s">
        <v>213</v>
      </c>
      <c r="E252" s="17" t="s">
        <v>196</v>
      </c>
      <c r="F252" s="9" t="s">
        <v>154</v>
      </c>
      <c r="G252" s="75"/>
      <c r="H252" s="85">
        <f t="shared" si="8"/>
        <v>8.5</v>
      </c>
      <c r="I252" s="85">
        <f t="shared" si="7"/>
        <v>0</v>
      </c>
      <c r="J252" s="75"/>
      <c r="K252" s="107"/>
      <c r="L252" s="107"/>
      <c r="M252" s="107"/>
      <c r="N252" s="107"/>
      <c r="O252" s="29" t="s">
        <v>154</v>
      </c>
      <c r="P252" s="27"/>
      <c r="Q252" s="27"/>
      <c r="R252" s="30">
        <f>P252*Q252</f>
        <v>0</v>
      </c>
      <c r="S252" s="27"/>
      <c r="T252" s="101"/>
    </row>
    <row r="253" spans="1:20" s="4" customFormat="1" ht="30" customHeight="1" x14ac:dyDescent="0.25">
      <c r="A253" s="64" t="s">
        <v>26</v>
      </c>
      <c r="B253" s="10">
        <v>2134</v>
      </c>
      <c r="C253" s="10" t="s">
        <v>10</v>
      </c>
      <c r="D253" s="13" t="s">
        <v>213</v>
      </c>
      <c r="E253" s="17" t="s">
        <v>197</v>
      </c>
      <c r="F253" s="9" t="s">
        <v>156</v>
      </c>
      <c r="G253" s="27"/>
      <c r="H253" s="85">
        <f t="shared" si="8"/>
        <v>8.5</v>
      </c>
      <c r="I253" s="85">
        <f t="shared" si="7"/>
        <v>0</v>
      </c>
      <c r="J253" s="27"/>
      <c r="K253" s="107"/>
      <c r="L253" s="107"/>
      <c r="M253" s="107"/>
      <c r="N253" s="109" t="s">
        <v>214</v>
      </c>
      <c r="O253" s="9" t="s">
        <v>156</v>
      </c>
      <c r="P253" s="27"/>
      <c r="Q253" s="27"/>
      <c r="R253" s="30">
        <f>P253*Q253</f>
        <v>0</v>
      </c>
      <c r="S253" s="28"/>
      <c r="T253" s="101"/>
    </row>
    <row r="254" spans="1:20" s="7" customFormat="1" ht="9.9499999999999993" customHeight="1" x14ac:dyDescent="0.25">
      <c r="A254" s="121"/>
      <c r="B254" s="118"/>
      <c r="C254" s="118"/>
      <c r="D254" s="118"/>
      <c r="E254" s="9"/>
      <c r="F254" s="118"/>
      <c r="G254" s="9"/>
      <c r="H254" s="118"/>
      <c r="I254" s="118"/>
      <c r="J254" s="118"/>
      <c r="K254" s="119"/>
      <c r="L254" s="119"/>
      <c r="M254" s="119"/>
      <c r="N254" s="119"/>
      <c r="O254" s="118"/>
      <c r="P254" s="9"/>
      <c r="Q254" s="9"/>
      <c r="R254" s="118"/>
      <c r="S254" s="118"/>
      <c r="T254" s="122"/>
    </row>
    <row r="255" spans="1:20" s="4" customFormat="1" ht="30" customHeight="1" x14ac:dyDescent="0.25">
      <c r="A255" s="64" t="s">
        <v>26</v>
      </c>
      <c r="B255" s="10">
        <v>2175</v>
      </c>
      <c r="C255" s="10" t="s">
        <v>10</v>
      </c>
      <c r="D255" s="13" t="s">
        <v>37</v>
      </c>
      <c r="E255" s="17" t="s">
        <v>193</v>
      </c>
      <c r="F255" s="9" t="s">
        <v>153</v>
      </c>
      <c r="G255" s="75"/>
      <c r="H255" s="85">
        <f>($K$143*$L$143)</f>
        <v>10.5</v>
      </c>
      <c r="I255" s="85">
        <f t="shared" ref="I255:I258" si="9">G255*H255</f>
        <v>0</v>
      </c>
      <c r="J255" s="75"/>
      <c r="K255" s="107"/>
      <c r="L255" s="107"/>
      <c r="M255" s="107"/>
      <c r="N255" s="109" t="s">
        <v>215</v>
      </c>
      <c r="O255" s="9" t="s">
        <v>153</v>
      </c>
      <c r="P255" s="27"/>
      <c r="Q255" s="27"/>
      <c r="R255" s="30">
        <f>P255*Q255</f>
        <v>0</v>
      </c>
      <c r="S255" s="28"/>
      <c r="T255" s="101"/>
    </row>
    <row r="256" spans="1:20" s="4" customFormat="1" ht="30" customHeight="1" x14ac:dyDescent="0.25">
      <c r="A256" s="64" t="s">
        <v>26</v>
      </c>
      <c r="B256" s="10">
        <v>2175</v>
      </c>
      <c r="C256" s="10" t="s">
        <v>10</v>
      </c>
      <c r="D256" s="13" t="s">
        <v>37</v>
      </c>
      <c r="E256" s="17" t="s">
        <v>195</v>
      </c>
      <c r="F256" s="9" t="s">
        <v>154</v>
      </c>
      <c r="G256" s="75"/>
      <c r="H256" s="85">
        <f t="shared" ref="H256:H258" si="10">($K$143*$L$143)</f>
        <v>10.5</v>
      </c>
      <c r="I256" s="85">
        <f t="shared" si="9"/>
        <v>0</v>
      </c>
      <c r="J256" s="75"/>
      <c r="K256" s="107"/>
      <c r="L256" s="107"/>
      <c r="M256" s="107"/>
      <c r="N256" s="109" t="s">
        <v>215</v>
      </c>
      <c r="O256" s="29" t="s">
        <v>154</v>
      </c>
      <c r="P256" s="27"/>
      <c r="Q256" s="27"/>
      <c r="R256" s="30">
        <f>P256*Q256</f>
        <v>0</v>
      </c>
      <c r="S256" s="27"/>
      <c r="T256" s="101"/>
    </row>
    <row r="257" spans="1:20" s="4" customFormat="1" ht="30" customHeight="1" x14ac:dyDescent="0.25">
      <c r="A257" s="64" t="s">
        <v>26</v>
      </c>
      <c r="B257" s="10">
        <v>2175</v>
      </c>
      <c r="C257" s="10" t="s">
        <v>10</v>
      </c>
      <c r="D257" s="13" t="s">
        <v>37</v>
      </c>
      <c r="E257" s="17" t="s">
        <v>196</v>
      </c>
      <c r="F257" s="9" t="s">
        <v>156</v>
      </c>
      <c r="G257" s="75"/>
      <c r="H257" s="85">
        <f t="shared" si="10"/>
        <v>10.5</v>
      </c>
      <c r="I257" s="85">
        <f t="shared" si="9"/>
        <v>0</v>
      </c>
      <c r="J257" s="75"/>
      <c r="K257" s="107"/>
      <c r="L257" s="107"/>
      <c r="M257" s="107"/>
      <c r="N257" s="109" t="s">
        <v>215</v>
      </c>
      <c r="O257" s="29" t="s">
        <v>156</v>
      </c>
      <c r="P257" s="27"/>
      <c r="Q257" s="27"/>
      <c r="R257" s="30">
        <f>P257*Q257</f>
        <v>0</v>
      </c>
      <c r="S257" s="27"/>
      <c r="T257" s="101"/>
    </row>
    <row r="258" spans="1:20" s="4" customFormat="1" ht="30" customHeight="1" x14ac:dyDescent="0.25">
      <c r="A258" s="64" t="s">
        <v>26</v>
      </c>
      <c r="B258" s="10">
        <v>2175</v>
      </c>
      <c r="C258" s="10" t="s">
        <v>10</v>
      </c>
      <c r="D258" s="13" t="s">
        <v>37</v>
      </c>
      <c r="E258" s="17" t="s">
        <v>197</v>
      </c>
      <c r="F258" s="9" t="s">
        <v>151</v>
      </c>
      <c r="G258" s="27"/>
      <c r="H258" s="85">
        <f t="shared" si="10"/>
        <v>10.5</v>
      </c>
      <c r="I258" s="85">
        <f t="shared" si="9"/>
        <v>0</v>
      </c>
      <c r="J258" s="27"/>
      <c r="K258" s="107"/>
      <c r="L258" s="107"/>
      <c r="M258" s="107"/>
      <c r="N258" s="109" t="s">
        <v>215</v>
      </c>
      <c r="O258" s="9" t="s">
        <v>151</v>
      </c>
      <c r="P258" s="27"/>
      <c r="Q258" s="27"/>
      <c r="R258" s="30">
        <f>P258*Q258</f>
        <v>0</v>
      </c>
      <c r="S258" s="28"/>
      <c r="T258" s="101"/>
    </row>
    <row r="259" spans="1:20" s="7" customFormat="1" ht="9.9499999999999993" customHeight="1" x14ac:dyDescent="0.25">
      <c r="A259" s="121"/>
      <c r="B259" s="118"/>
      <c r="C259" s="118"/>
      <c r="D259" s="118"/>
      <c r="E259" s="9"/>
      <c r="F259" s="118"/>
      <c r="G259" s="9"/>
      <c r="H259" s="118"/>
      <c r="I259" s="118"/>
      <c r="J259" s="118"/>
      <c r="K259" s="119"/>
      <c r="L259" s="119"/>
      <c r="M259" s="119"/>
      <c r="N259" s="119"/>
      <c r="O259" s="118"/>
      <c r="P259" s="9"/>
      <c r="Q259" s="9"/>
      <c r="R259" s="118"/>
      <c r="S259" s="118"/>
      <c r="T259" s="122"/>
    </row>
    <row r="260" spans="1:20" s="4" customFormat="1" ht="30" customHeight="1" x14ac:dyDescent="0.25">
      <c r="A260" s="64" t="s">
        <v>26</v>
      </c>
      <c r="B260" s="10">
        <v>2176</v>
      </c>
      <c r="C260" s="10" t="s">
        <v>10</v>
      </c>
      <c r="D260" s="13" t="s">
        <v>38</v>
      </c>
      <c r="E260" s="17" t="s">
        <v>193</v>
      </c>
      <c r="F260" s="9" t="s">
        <v>153</v>
      </c>
      <c r="G260" s="75"/>
      <c r="H260" s="85">
        <f>($K$145*$L$145)</f>
        <v>17.2</v>
      </c>
      <c r="I260" s="85">
        <f t="shared" ref="I260:I263" si="11">G260*H260</f>
        <v>0</v>
      </c>
      <c r="J260" s="75"/>
      <c r="K260" s="107"/>
      <c r="L260" s="107"/>
      <c r="M260" s="107"/>
      <c r="N260" s="109" t="s">
        <v>215</v>
      </c>
      <c r="O260" s="9" t="s">
        <v>153</v>
      </c>
      <c r="P260" s="27"/>
      <c r="Q260" s="27"/>
      <c r="R260" s="30">
        <f>P260*Q260</f>
        <v>0</v>
      </c>
      <c r="S260" s="28"/>
      <c r="T260" s="101"/>
    </row>
    <row r="261" spans="1:20" s="4" customFormat="1" ht="30" customHeight="1" x14ac:dyDescent="0.25">
      <c r="A261" s="64" t="s">
        <v>26</v>
      </c>
      <c r="B261" s="10">
        <v>2176</v>
      </c>
      <c r="C261" s="10" t="s">
        <v>10</v>
      </c>
      <c r="D261" s="13" t="s">
        <v>38</v>
      </c>
      <c r="E261" s="17" t="s">
        <v>195</v>
      </c>
      <c r="F261" s="9" t="s">
        <v>154</v>
      </c>
      <c r="G261" s="75"/>
      <c r="H261" s="85">
        <f t="shared" ref="H261:H263" si="12">($K$145*$L$145)</f>
        <v>17.2</v>
      </c>
      <c r="I261" s="85">
        <f t="shared" si="11"/>
        <v>0</v>
      </c>
      <c r="J261" s="75"/>
      <c r="K261" s="107"/>
      <c r="L261" s="107"/>
      <c r="M261" s="107"/>
      <c r="N261" s="109" t="s">
        <v>215</v>
      </c>
      <c r="O261" s="29" t="s">
        <v>154</v>
      </c>
      <c r="P261" s="27"/>
      <c r="Q261" s="27"/>
      <c r="R261" s="30">
        <f>P261*Q261</f>
        <v>0</v>
      </c>
      <c r="S261" s="27"/>
      <c r="T261" s="101"/>
    </row>
    <row r="262" spans="1:20" s="4" customFormat="1" ht="30" customHeight="1" x14ac:dyDescent="0.25">
      <c r="A262" s="64" t="s">
        <v>26</v>
      </c>
      <c r="B262" s="10">
        <v>2176</v>
      </c>
      <c r="C262" s="10" t="s">
        <v>10</v>
      </c>
      <c r="D262" s="13" t="s">
        <v>38</v>
      </c>
      <c r="E262" s="17" t="s">
        <v>196</v>
      </c>
      <c r="F262" s="9" t="s">
        <v>156</v>
      </c>
      <c r="G262" s="75"/>
      <c r="H262" s="85">
        <f t="shared" si="12"/>
        <v>17.2</v>
      </c>
      <c r="I262" s="85">
        <f t="shared" si="11"/>
        <v>0</v>
      </c>
      <c r="J262" s="75"/>
      <c r="K262" s="107"/>
      <c r="L262" s="107"/>
      <c r="M262" s="107"/>
      <c r="N262" s="109" t="s">
        <v>215</v>
      </c>
      <c r="O262" s="29" t="s">
        <v>156</v>
      </c>
      <c r="P262" s="27"/>
      <c r="Q262" s="27"/>
      <c r="R262" s="30">
        <f>P262*Q262</f>
        <v>0</v>
      </c>
      <c r="S262" s="27"/>
      <c r="T262" s="101"/>
    </row>
    <row r="263" spans="1:20" s="4" customFormat="1" ht="30" customHeight="1" x14ac:dyDescent="0.25">
      <c r="A263" s="64" t="s">
        <v>26</v>
      </c>
      <c r="B263" s="10">
        <v>2176</v>
      </c>
      <c r="C263" s="10" t="s">
        <v>10</v>
      </c>
      <c r="D263" s="13" t="s">
        <v>38</v>
      </c>
      <c r="E263" s="17" t="s">
        <v>197</v>
      </c>
      <c r="F263" s="9" t="s">
        <v>151</v>
      </c>
      <c r="G263" s="27"/>
      <c r="H263" s="85">
        <f t="shared" si="12"/>
        <v>17.2</v>
      </c>
      <c r="I263" s="85">
        <f t="shared" si="11"/>
        <v>0</v>
      </c>
      <c r="J263" s="27"/>
      <c r="K263" s="107"/>
      <c r="L263" s="107"/>
      <c r="M263" s="107"/>
      <c r="N263" s="109" t="s">
        <v>215</v>
      </c>
      <c r="O263" s="9" t="s">
        <v>151</v>
      </c>
      <c r="P263" s="27"/>
      <c r="Q263" s="27"/>
      <c r="R263" s="30">
        <f>P263*Q263</f>
        <v>0</v>
      </c>
      <c r="S263" s="28"/>
      <c r="T263" s="101"/>
    </row>
    <row r="264" spans="1:20" s="7" customFormat="1" ht="9.9499999999999993" customHeight="1" x14ac:dyDescent="0.25">
      <c r="A264" s="121"/>
      <c r="B264" s="118"/>
      <c r="C264" s="118"/>
      <c r="D264" s="118"/>
      <c r="E264" s="9"/>
      <c r="F264" s="118"/>
      <c r="G264" s="9"/>
      <c r="H264" s="118"/>
      <c r="I264" s="118"/>
      <c r="J264" s="118"/>
      <c r="K264" s="119"/>
      <c r="L264" s="119"/>
      <c r="M264" s="119"/>
      <c r="N264" s="119"/>
      <c r="O264" s="118"/>
      <c r="P264" s="9"/>
      <c r="Q264" s="9"/>
      <c r="R264" s="118"/>
      <c r="S264" s="118"/>
      <c r="T264" s="122"/>
    </row>
    <row r="265" spans="1:20" s="4" customFormat="1" ht="30" customHeight="1" x14ac:dyDescent="0.25">
      <c r="A265" s="151" t="s">
        <v>52</v>
      </c>
      <c r="B265" s="135">
        <v>2315</v>
      </c>
      <c r="C265" s="136" t="s">
        <v>10</v>
      </c>
      <c r="D265" s="132" t="s">
        <v>60</v>
      </c>
      <c r="E265" s="132" t="s">
        <v>193</v>
      </c>
      <c r="F265" s="132" t="s">
        <v>151</v>
      </c>
      <c r="G265" s="142"/>
      <c r="H265" s="136">
        <f>($K$160*$L$160)</f>
        <v>13.200000000000001</v>
      </c>
      <c r="I265" s="136">
        <f t="shared" ref="I265:I292" si="13">G265*H265</f>
        <v>0</v>
      </c>
      <c r="J265" s="136">
        <v>0.6</v>
      </c>
      <c r="K265" s="132" t="s">
        <v>208</v>
      </c>
      <c r="L265" s="131"/>
      <c r="M265" s="131"/>
      <c r="N265" s="132" t="s">
        <v>212</v>
      </c>
      <c r="O265" s="132" t="s">
        <v>151</v>
      </c>
      <c r="P265" s="29">
        <f>2.5*3.5</f>
        <v>8.75</v>
      </c>
      <c r="Q265" s="9">
        <v>1</v>
      </c>
      <c r="R265" s="30">
        <f>P265*Q265</f>
        <v>8.75</v>
      </c>
      <c r="S265" s="132" t="s">
        <v>174</v>
      </c>
      <c r="T265" s="152"/>
    </row>
    <row r="266" spans="1:20" s="4" customFormat="1" ht="30" customHeight="1" x14ac:dyDescent="0.25">
      <c r="A266" s="151"/>
      <c r="B266" s="135"/>
      <c r="C266" s="136"/>
      <c r="D266" s="132"/>
      <c r="E266" s="132"/>
      <c r="F266" s="132"/>
      <c r="G266" s="142"/>
      <c r="H266" s="136"/>
      <c r="I266" s="136"/>
      <c r="J266" s="136"/>
      <c r="K266" s="132"/>
      <c r="L266" s="131"/>
      <c r="M266" s="131"/>
      <c r="N266" s="132"/>
      <c r="O266" s="132"/>
      <c r="P266" s="29">
        <f>13.5*3.75</f>
        <v>50.625</v>
      </c>
      <c r="Q266" s="9">
        <v>1</v>
      </c>
      <c r="R266" s="30">
        <f>P266*Q266</f>
        <v>50.625</v>
      </c>
      <c r="S266" s="132"/>
      <c r="T266" s="152"/>
    </row>
    <row r="267" spans="1:20" s="4" customFormat="1" ht="30" customHeight="1" x14ac:dyDescent="0.25">
      <c r="A267" s="151"/>
      <c r="B267" s="135"/>
      <c r="C267" s="136"/>
      <c r="D267" s="132"/>
      <c r="E267" s="132"/>
      <c r="F267" s="132"/>
      <c r="G267" s="142"/>
      <c r="H267" s="136"/>
      <c r="I267" s="136"/>
      <c r="J267" s="136"/>
      <c r="K267" s="132"/>
      <c r="L267" s="131"/>
      <c r="M267" s="131"/>
      <c r="N267" s="132"/>
      <c r="O267" s="132"/>
      <c r="P267" s="29">
        <f>12*2.1</f>
        <v>25.200000000000003</v>
      </c>
      <c r="Q267" s="9">
        <v>1</v>
      </c>
      <c r="R267" s="30">
        <f t="shared" ref="R267" si="14">P267*Q267</f>
        <v>25.200000000000003</v>
      </c>
      <c r="S267" s="132"/>
      <c r="T267" s="152"/>
    </row>
    <row r="268" spans="1:20" s="4" customFormat="1" ht="30" customHeight="1" x14ac:dyDescent="0.25">
      <c r="A268" s="65"/>
      <c r="B268" s="20"/>
      <c r="C268" s="20"/>
      <c r="D268" s="21"/>
      <c r="E268" s="19"/>
      <c r="F268" s="19"/>
      <c r="G268" s="21"/>
      <c r="H268" s="110"/>
      <c r="I268" s="110"/>
      <c r="J268" s="110"/>
      <c r="K268" s="105"/>
      <c r="L268" s="105"/>
      <c r="M268" s="105"/>
      <c r="N268" s="105"/>
      <c r="O268" s="19"/>
      <c r="P268" s="19"/>
      <c r="Q268" s="111" t="s">
        <v>211</v>
      </c>
      <c r="R268" s="112">
        <f>SUM(R265:R267)</f>
        <v>84.575000000000003</v>
      </c>
      <c r="S268" s="19"/>
      <c r="T268" s="68"/>
    </row>
    <row r="269" spans="1:20" s="4" customFormat="1" ht="30" customHeight="1" x14ac:dyDescent="0.25">
      <c r="A269" s="151" t="s">
        <v>52</v>
      </c>
      <c r="B269" s="135">
        <v>2315</v>
      </c>
      <c r="C269" s="136" t="s">
        <v>10</v>
      </c>
      <c r="D269" s="132" t="s">
        <v>60</v>
      </c>
      <c r="E269" s="132" t="s">
        <v>195</v>
      </c>
      <c r="F269" s="132" t="s">
        <v>153</v>
      </c>
      <c r="G269" s="142"/>
      <c r="H269" s="136">
        <f t="shared" ref="H269:H292" si="15">($K$160*$L$160)</f>
        <v>13.200000000000001</v>
      </c>
      <c r="I269" s="136">
        <f t="shared" ref="I269:I280" si="16">G269*H269</f>
        <v>0</v>
      </c>
      <c r="J269" s="136">
        <v>0.6</v>
      </c>
      <c r="K269" s="132" t="s">
        <v>208</v>
      </c>
      <c r="L269" s="131"/>
      <c r="M269" s="131"/>
      <c r="N269" s="132" t="s">
        <v>212</v>
      </c>
      <c r="O269" s="132" t="s">
        <v>153</v>
      </c>
      <c r="P269" s="29">
        <f>2.1*1</f>
        <v>2.1</v>
      </c>
      <c r="Q269" s="9">
        <v>1</v>
      </c>
      <c r="R269" s="30">
        <f>P269*Q269</f>
        <v>2.1</v>
      </c>
      <c r="S269" s="132" t="s">
        <v>174</v>
      </c>
      <c r="T269" s="152"/>
    </row>
    <row r="270" spans="1:20" s="4" customFormat="1" ht="30" customHeight="1" x14ac:dyDescent="0.25">
      <c r="A270" s="151"/>
      <c r="B270" s="135"/>
      <c r="C270" s="136"/>
      <c r="D270" s="132"/>
      <c r="E270" s="132"/>
      <c r="F270" s="132"/>
      <c r="G270" s="142"/>
      <c r="H270" s="136"/>
      <c r="I270" s="136"/>
      <c r="J270" s="136"/>
      <c r="K270" s="132"/>
      <c r="L270" s="131"/>
      <c r="M270" s="131"/>
      <c r="N270" s="132"/>
      <c r="O270" s="132"/>
      <c r="P270" s="29">
        <f>11.5*2</f>
        <v>23</v>
      </c>
      <c r="Q270" s="9">
        <v>1</v>
      </c>
      <c r="R270" s="30">
        <f t="shared" ref="R270:R271" si="17">P270*Q270</f>
        <v>23</v>
      </c>
      <c r="S270" s="132"/>
      <c r="T270" s="152"/>
    </row>
    <row r="271" spans="1:20" s="4" customFormat="1" ht="30" customHeight="1" x14ac:dyDescent="0.25">
      <c r="A271" s="151"/>
      <c r="B271" s="135"/>
      <c r="C271" s="136"/>
      <c r="D271" s="132"/>
      <c r="E271" s="132"/>
      <c r="F271" s="132"/>
      <c r="G271" s="142"/>
      <c r="H271" s="136"/>
      <c r="I271" s="136"/>
      <c r="J271" s="136"/>
      <c r="K271" s="132"/>
      <c r="L271" s="131"/>
      <c r="M271" s="131"/>
      <c r="N271" s="132"/>
      <c r="O271" s="132"/>
      <c r="P271" s="29">
        <v>75</v>
      </c>
      <c r="Q271" s="9">
        <v>1</v>
      </c>
      <c r="R271" s="30">
        <f t="shared" si="17"/>
        <v>75</v>
      </c>
      <c r="S271" s="132"/>
      <c r="T271" s="152"/>
    </row>
    <row r="272" spans="1:20" s="4" customFormat="1" ht="30" customHeight="1" x14ac:dyDescent="0.25">
      <c r="A272" s="151"/>
      <c r="B272" s="135"/>
      <c r="C272" s="136"/>
      <c r="D272" s="132"/>
      <c r="E272" s="132"/>
      <c r="F272" s="132"/>
      <c r="G272" s="142"/>
      <c r="H272" s="136"/>
      <c r="I272" s="136"/>
      <c r="J272" s="136"/>
      <c r="K272" s="132"/>
      <c r="L272" s="131"/>
      <c r="M272" s="131"/>
      <c r="N272" s="132"/>
      <c r="O272" s="132"/>
      <c r="P272" s="29">
        <v>11.5</v>
      </c>
      <c r="Q272" s="9">
        <v>1</v>
      </c>
      <c r="R272" s="30">
        <f>P272*Q272</f>
        <v>11.5</v>
      </c>
      <c r="S272" s="132"/>
      <c r="T272" s="152"/>
    </row>
    <row r="273" spans="1:20" s="4" customFormat="1" ht="30" customHeight="1" x14ac:dyDescent="0.25">
      <c r="A273" s="151"/>
      <c r="B273" s="135"/>
      <c r="C273" s="136"/>
      <c r="D273" s="132"/>
      <c r="E273" s="132"/>
      <c r="F273" s="132"/>
      <c r="G273" s="142"/>
      <c r="H273" s="136"/>
      <c r="I273" s="136"/>
      <c r="J273" s="136"/>
      <c r="K273" s="132"/>
      <c r="L273" s="131"/>
      <c r="M273" s="131"/>
      <c r="N273" s="132"/>
      <c r="O273" s="132"/>
      <c r="P273" s="29">
        <f>1.25*16</f>
        <v>20</v>
      </c>
      <c r="Q273" s="9">
        <v>1</v>
      </c>
      <c r="R273" s="30">
        <f t="shared" ref="R273:R274" si="18">P273*Q273</f>
        <v>20</v>
      </c>
      <c r="S273" s="132"/>
      <c r="T273" s="152"/>
    </row>
    <row r="274" spans="1:20" s="4" customFormat="1" ht="30" customHeight="1" x14ac:dyDescent="0.25">
      <c r="A274" s="151"/>
      <c r="B274" s="135"/>
      <c r="C274" s="136"/>
      <c r="D274" s="132"/>
      <c r="E274" s="132"/>
      <c r="F274" s="132"/>
      <c r="G274" s="142"/>
      <c r="H274" s="136"/>
      <c r="I274" s="136"/>
      <c r="J274" s="136"/>
      <c r="K274" s="132"/>
      <c r="L274" s="131"/>
      <c r="M274" s="131"/>
      <c r="N274" s="132"/>
      <c r="O274" s="132"/>
      <c r="P274" s="29">
        <f>2.5*16</f>
        <v>40</v>
      </c>
      <c r="Q274" s="9">
        <v>1</v>
      </c>
      <c r="R274" s="30">
        <f t="shared" si="18"/>
        <v>40</v>
      </c>
      <c r="S274" s="132"/>
      <c r="T274" s="152"/>
    </row>
    <row r="275" spans="1:20" s="4" customFormat="1" ht="30" customHeight="1" x14ac:dyDescent="0.25">
      <c r="A275" s="151"/>
      <c r="B275" s="135"/>
      <c r="C275" s="136"/>
      <c r="D275" s="132"/>
      <c r="E275" s="132"/>
      <c r="F275" s="132"/>
      <c r="G275" s="142"/>
      <c r="H275" s="136"/>
      <c r="I275" s="136"/>
      <c r="J275" s="136"/>
      <c r="K275" s="132"/>
      <c r="L275" s="131"/>
      <c r="M275" s="131"/>
      <c r="N275" s="132"/>
      <c r="O275" s="132"/>
      <c r="P275" s="29">
        <f>3.75*15</f>
        <v>56.25</v>
      </c>
      <c r="Q275" s="9">
        <v>1</v>
      </c>
      <c r="R275" s="30">
        <f>P275*Q275</f>
        <v>56.25</v>
      </c>
      <c r="S275" s="132"/>
      <c r="T275" s="152"/>
    </row>
    <row r="276" spans="1:20" s="4" customFormat="1" ht="30" customHeight="1" x14ac:dyDescent="0.25">
      <c r="A276" s="151"/>
      <c r="B276" s="135"/>
      <c r="C276" s="136"/>
      <c r="D276" s="132"/>
      <c r="E276" s="132"/>
      <c r="F276" s="132"/>
      <c r="G276" s="142"/>
      <c r="H276" s="136"/>
      <c r="I276" s="136"/>
      <c r="J276" s="136"/>
      <c r="K276" s="132"/>
      <c r="L276" s="131"/>
      <c r="M276" s="131"/>
      <c r="N276" s="132"/>
      <c r="O276" s="132"/>
      <c r="P276" s="29">
        <f>1.5*3</f>
        <v>4.5</v>
      </c>
      <c r="Q276" s="9">
        <v>1</v>
      </c>
      <c r="R276" s="30">
        <f>P276*Q276</f>
        <v>4.5</v>
      </c>
      <c r="S276" s="132"/>
      <c r="T276" s="152"/>
    </row>
    <row r="277" spans="1:20" s="4" customFormat="1" ht="30" customHeight="1" x14ac:dyDescent="0.25">
      <c r="A277" s="151"/>
      <c r="B277" s="135"/>
      <c r="C277" s="136"/>
      <c r="D277" s="132"/>
      <c r="E277" s="132"/>
      <c r="F277" s="132"/>
      <c r="G277" s="142"/>
      <c r="H277" s="136"/>
      <c r="I277" s="136"/>
      <c r="J277" s="136"/>
      <c r="K277" s="132"/>
      <c r="L277" s="131"/>
      <c r="M277" s="131"/>
      <c r="N277" s="132"/>
      <c r="O277" s="132"/>
      <c r="P277" s="29">
        <f>12.25*2.1</f>
        <v>25.725000000000001</v>
      </c>
      <c r="Q277" s="9">
        <v>1</v>
      </c>
      <c r="R277" s="30">
        <f>P277*Q277</f>
        <v>25.725000000000001</v>
      </c>
      <c r="S277" s="132"/>
      <c r="T277" s="152"/>
    </row>
    <row r="278" spans="1:20" s="4" customFormat="1" ht="30" customHeight="1" x14ac:dyDescent="0.25">
      <c r="A278" s="151"/>
      <c r="B278" s="135"/>
      <c r="C278" s="136"/>
      <c r="D278" s="132"/>
      <c r="E278" s="132"/>
      <c r="F278" s="132"/>
      <c r="G278" s="142"/>
      <c r="H278" s="136"/>
      <c r="I278" s="136"/>
      <c r="J278" s="136"/>
      <c r="K278" s="132"/>
      <c r="L278" s="131"/>
      <c r="M278" s="131"/>
      <c r="N278" s="132"/>
      <c r="O278" s="132"/>
      <c r="P278" s="29">
        <v>40</v>
      </c>
      <c r="Q278" s="9">
        <v>1</v>
      </c>
      <c r="R278" s="30">
        <f>P278*Q278</f>
        <v>40</v>
      </c>
      <c r="S278" s="132"/>
      <c r="T278" s="152"/>
    </row>
    <row r="279" spans="1:20" s="4" customFormat="1" ht="30" customHeight="1" x14ac:dyDescent="0.25">
      <c r="A279" s="65"/>
      <c r="B279" s="20"/>
      <c r="C279" s="20"/>
      <c r="D279" s="21"/>
      <c r="E279" s="19"/>
      <c r="F279" s="19"/>
      <c r="G279" s="21"/>
      <c r="H279" s="110"/>
      <c r="I279" s="110"/>
      <c r="J279" s="110"/>
      <c r="K279" s="105"/>
      <c r="L279" s="105"/>
      <c r="M279" s="105"/>
      <c r="N279" s="105"/>
      <c r="O279" s="19"/>
      <c r="P279" s="19"/>
      <c r="Q279" s="111" t="s">
        <v>211</v>
      </c>
      <c r="R279" s="112">
        <f>SUM(R269:R278)</f>
        <v>298.07499999999999</v>
      </c>
      <c r="S279" s="19"/>
      <c r="T279" s="68"/>
    </row>
    <row r="280" spans="1:20" s="4" customFormat="1" ht="30" customHeight="1" x14ac:dyDescent="0.25">
      <c r="A280" s="151" t="s">
        <v>52</v>
      </c>
      <c r="B280" s="135">
        <v>2315</v>
      </c>
      <c r="C280" s="136" t="s">
        <v>10</v>
      </c>
      <c r="D280" s="132" t="s">
        <v>60</v>
      </c>
      <c r="E280" s="132" t="s">
        <v>196</v>
      </c>
      <c r="F280" s="132" t="s">
        <v>154</v>
      </c>
      <c r="G280" s="142"/>
      <c r="H280" s="136">
        <f t="shared" si="15"/>
        <v>13.200000000000001</v>
      </c>
      <c r="I280" s="136">
        <f t="shared" si="16"/>
        <v>0</v>
      </c>
      <c r="J280" s="136">
        <v>0.6</v>
      </c>
      <c r="K280" s="132" t="s">
        <v>208</v>
      </c>
      <c r="L280" s="131"/>
      <c r="M280" s="131"/>
      <c r="N280" s="132" t="s">
        <v>212</v>
      </c>
      <c r="O280" s="132" t="s">
        <v>154</v>
      </c>
      <c r="P280" s="9">
        <f>2.1*1.8</f>
        <v>3.7800000000000002</v>
      </c>
      <c r="Q280" s="9">
        <v>1</v>
      </c>
      <c r="R280" s="30">
        <f>P280*Q280</f>
        <v>3.7800000000000002</v>
      </c>
      <c r="S280" s="132" t="s">
        <v>174</v>
      </c>
      <c r="T280" s="152"/>
    </row>
    <row r="281" spans="1:20" s="4" customFormat="1" ht="30" customHeight="1" x14ac:dyDescent="0.25">
      <c r="A281" s="151"/>
      <c r="B281" s="135"/>
      <c r="C281" s="136"/>
      <c r="D281" s="132"/>
      <c r="E281" s="132"/>
      <c r="F281" s="132"/>
      <c r="G281" s="142"/>
      <c r="H281" s="136"/>
      <c r="I281" s="136"/>
      <c r="J281" s="136"/>
      <c r="K281" s="132"/>
      <c r="L281" s="131"/>
      <c r="M281" s="131"/>
      <c r="N281" s="132"/>
      <c r="O281" s="132"/>
      <c r="P281" s="9">
        <f>3.3*2.1</f>
        <v>6.93</v>
      </c>
      <c r="Q281" s="9">
        <v>1</v>
      </c>
      <c r="R281" s="30">
        <f>P281*Q281</f>
        <v>6.93</v>
      </c>
      <c r="S281" s="132"/>
      <c r="T281" s="152"/>
    </row>
    <row r="282" spans="1:20" s="4" customFormat="1" ht="30" customHeight="1" x14ac:dyDescent="0.25">
      <c r="A282" s="151"/>
      <c r="B282" s="135"/>
      <c r="C282" s="136"/>
      <c r="D282" s="132"/>
      <c r="E282" s="132"/>
      <c r="F282" s="132"/>
      <c r="G282" s="142"/>
      <c r="H282" s="136"/>
      <c r="I282" s="136"/>
      <c r="J282" s="136"/>
      <c r="K282" s="132"/>
      <c r="L282" s="131"/>
      <c r="M282" s="131"/>
      <c r="N282" s="132"/>
      <c r="O282" s="132"/>
      <c r="P282" s="9">
        <f>7.8*2.1</f>
        <v>16.38</v>
      </c>
      <c r="Q282" s="9">
        <v>1</v>
      </c>
      <c r="R282" s="30">
        <f>P282*Q282</f>
        <v>16.38</v>
      </c>
      <c r="S282" s="132"/>
      <c r="T282" s="152"/>
    </row>
    <row r="283" spans="1:20" s="4" customFormat="1" ht="30" customHeight="1" x14ac:dyDescent="0.25">
      <c r="A283" s="65"/>
      <c r="B283" s="20"/>
      <c r="C283" s="20"/>
      <c r="D283" s="21"/>
      <c r="E283" s="19"/>
      <c r="F283" s="19"/>
      <c r="G283" s="21"/>
      <c r="H283" s="110"/>
      <c r="I283" s="110"/>
      <c r="J283" s="110"/>
      <c r="K283" s="105"/>
      <c r="L283" s="105"/>
      <c r="M283" s="105"/>
      <c r="N283" s="105"/>
      <c r="O283" s="19"/>
      <c r="P283" s="19"/>
      <c r="Q283" s="111" t="s">
        <v>211</v>
      </c>
      <c r="R283" s="112">
        <f>SUM(R280:R282)</f>
        <v>27.09</v>
      </c>
      <c r="S283" s="19"/>
      <c r="T283" s="68"/>
    </row>
    <row r="284" spans="1:20" s="4" customFormat="1" ht="30" customHeight="1" x14ac:dyDescent="0.25">
      <c r="A284" s="151" t="s">
        <v>52</v>
      </c>
      <c r="B284" s="135">
        <v>2315</v>
      </c>
      <c r="C284" s="136" t="s">
        <v>10</v>
      </c>
      <c r="D284" s="132" t="s">
        <v>60</v>
      </c>
      <c r="E284" s="132" t="s">
        <v>197</v>
      </c>
      <c r="F284" s="132" t="s">
        <v>156</v>
      </c>
      <c r="G284" s="142"/>
      <c r="H284" s="136">
        <f t="shared" si="15"/>
        <v>13.200000000000001</v>
      </c>
      <c r="I284" s="136">
        <f t="shared" si="13"/>
        <v>0</v>
      </c>
      <c r="J284" s="136">
        <v>0.6</v>
      </c>
      <c r="K284" s="132" t="s">
        <v>208</v>
      </c>
      <c r="L284" s="131"/>
      <c r="M284" s="131"/>
      <c r="N284" s="132" t="s">
        <v>212</v>
      </c>
      <c r="O284" s="132" t="s">
        <v>156</v>
      </c>
      <c r="P284" s="29">
        <f>1.5*3</f>
        <v>4.5</v>
      </c>
      <c r="Q284" s="9">
        <v>1</v>
      </c>
      <c r="R284" s="30">
        <f>P284*Q284</f>
        <v>4.5</v>
      </c>
      <c r="S284" s="132" t="s">
        <v>174</v>
      </c>
      <c r="T284" s="152"/>
    </row>
    <row r="285" spans="1:20" s="4" customFormat="1" ht="30" customHeight="1" x14ac:dyDescent="0.25">
      <c r="A285" s="151"/>
      <c r="B285" s="135"/>
      <c r="C285" s="136"/>
      <c r="D285" s="132"/>
      <c r="E285" s="132"/>
      <c r="F285" s="132"/>
      <c r="G285" s="142"/>
      <c r="H285" s="136"/>
      <c r="I285" s="136"/>
      <c r="J285" s="136"/>
      <c r="K285" s="132"/>
      <c r="L285" s="131"/>
      <c r="M285" s="131"/>
      <c r="N285" s="132"/>
      <c r="O285" s="132"/>
      <c r="P285" s="29">
        <f>2*2*2.5+2*1*2.5</f>
        <v>15</v>
      </c>
      <c r="Q285" s="9">
        <v>1</v>
      </c>
      <c r="R285" s="30">
        <f>P285*Q285</f>
        <v>15</v>
      </c>
      <c r="S285" s="132"/>
      <c r="T285" s="152"/>
    </row>
    <row r="286" spans="1:20" s="4" customFormat="1" ht="30" customHeight="1" x14ac:dyDescent="0.25">
      <c r="A286" s="151"/>
      <c r="B286" s="135"/>
      <c r="C286" s="136"/>
      <c r="D286" s="132"/>
      <c r="E286" s="132"/>
      <c r="F286" s="132"/>
      <c r="G286" s="142"/>
      <c r="H286" s="136"/>
      <c r="I286" s="136"/>
      <c r="J286" s="136"/>
      <c r="K286" s="132"/>
      <c r="L286" s="131"/>
      <c r="M286" s="131"/>
      <c r="N286" s="132"/>
      <c r="O286" s="132"/>
      <c r="P286" s="29">
        <f>10.8*2.1</f>
        <v>22.680000000000003</v>
      </c>
      <c r="Q286" s="9">
        <v>1</v>
      </c>
      <c r="R286" s="30">
        <f>P286*Q286</f>
        <v>22.680000000000003</v>
      </c>
      <c r="S286" s="132"/>
      <c r="T286" s="152"/>
    </row>
    <row r="287" spans="1:20" s="4" customFormat="1" ht="30" customHeight="1" x14ac:dyDescent="0.25">
      <c r="A287" s="151"/>
      <c r="B287" s="135"/>
      <c r="C287" s="136"/>
      <c r="D287" s="132"/>
      <c r="E287" s="132"/>
      <c r="F287" s="132"/>
      <c r="G287" s="142"/>
      <c r="H287" s="136"/>
      <c r="I287" s="136"/>
      <c r="J287" s="136"/>
      <c r="K287" s="132"/>
      <c r="L287" s="131"/>
      <c r="M287" s="131"/>
      <c r="N287" s="132"/>
      <c r="O287" s="132"/>
      <c r="P287" s="29">
        <f>3.75*2.1</f>
        <v>7.875</v>
      </c>
      <c r="Q287" s="9">
        <v>1</v>
      </c>
      <c r="R287" s="30">
        <f>P287*Q287</f>
        <v>7.875</v>
      </c>
      <c r="S287" s="132"/>
      <c r="T287" s="152"/>
    </row>
    <row r="288" spans="1:20" s="4" customFormat="1" ht="30" customHeight="1" x14ac:dyDescent="0.25">
      <c r="A288" s="65"/>
      <c r="B288" s="20"/>
      <c r="C288" s="20"/>
      <c r="D288" s="21"/>
      <c r="E288" s="19"/>
      <c r="F288" s="19"/>
      <c r="G288" s="21"/>
      <c r="H288" s="110"/>
      <c r="I288" s="110"/>
      <c r="J288" s="110"/>
      <c r="K288" s="105"/>
      <c r="L288" s="105"/>
      <c r="M288" s="105"/>
      <c r="N288" s="105"/>
      <c r="O288" s="19"/>
      <c r="P288" s="19"/>
      <c r="Q288" s="111" t="s">
        <v>211</v>
      </c>
      <c r="R288" s="112">
        <f>SUM(R284:R287)</f>
        <v>50.055000000000007</v>
      </c>
      <c r="S288" s="19"/>
      <c r="T288" s="68"/>
    </row>
    <row r="289" spans="1:20" s="4" customFormat="1" ht="30" customHeight="1" x14ac:dyDescent="0.25">
      <c r="A289" s="151" t="s">
        <v>52</v>
      </c>
      <c r="B289" s="135">
        <v>2315</v>
      </c>
      <c r="C289" s="136" t="s">
        <v>10</v>
      </c>
      <c r="D289" s="132" t="s">
        <v>60</v>
      </c>
      <c r="E289" s="132" t="s">
        <v>198</v>
      </c>
      <c r="F289" s="132" t="s">
        <v>154</v>
      </c>
      <c r="G289" s="142"/>
      <c r="H289" s="136">
        <f t="shared" si="15"/>
        <v>13.200000000000001</v>
      </c>
      <c r="I289" s="136">
        <f t="shared" si="13"/>
        <v>0</v>
      </c>
      <c r="J289" s="136">
        <v>0.6</v>
      </c>
      <c r="K289" s="132" t="s">
        <v>208</v>
      </c>
      <c r="L289" s="131"/>
      <c r="M289" s="131"/>
      <c r="N289" s="132" t="s">
        <v>212</v>
      </c>
      <c r="O289" s="132" t="s">
        <v>154</v>
      </c>
      <c r="P289" s="9">
        <f>3.9*2.5</f>
        <v>9.75</v>
      </c>
      <c r="Q289" s="9">
        <v>1</v>
      </c>
      <c r="R289" s="30">
        <f>P289*Q289</f>
        <v>9.75</v>
      </c>
      <c r="S289" s="132" t="s">
        <v>174</v>
      </c>
      <c r="T289" s="152"/>
    </row>
    <row r="290" spans="1:20" s="4" customFormat="1" ht="30" customHeight="1" x14ac:dyDescent="0.25">
      <c r="A290" s="151"/>
      <c r="B290" s="135"/>
      <c r="C290" s="136"/>
      <c r="D290" s="132"/>
      <c r="E290" s="132"/>
      <c r="F290" s="132"/>
      <c r="G290" s="142"/>
      <c r="H290" s="136"/>
      <c r="I290" s="136"/>
      <c r="J290" s="136"/>
      <c r="K290" s="132"/>
      <c r="L290" s="131"/>
      <c r="M290" s="131"/>
      <c r="N290" s="132"/>
      <c r="O290" s="132"/>
      <c r="P290" s="9">
        <f>4*6.6</f>
        <v>26.4</v>
      </c>
      <c r="Q290" s="9">
        <v>1</v>
      </c>
      <c r="R290" s="30">
        <f>P290*Q290</f>
        <v>26.4</v>
      </c>
      <c r="S290" s="132"/>
      <c r="T290" s="152"/>
    </row>
    <row r="291" spans="1:20" s="4" customFormat="1" ht="30" customHeight="1" x14ac:dyDescent="0.25">
      <c r="A291" s="65"/>
      <c r="B291" s="20"/>
      <c r="C291" s="20"/>
      <c r="D291" s="21"/>
      <c r="E291" s="19"/>
      <c r="F291" s="19"/>
      <c r="G291" s="21"/>
      <c r="H291" s="110"/>
      <c r="I291" s="110"/>
      <c r="J291" s="110"/>
      <c r="K291" s="105"/>
      <c r="L291" s="105"/>
      <c r="M291" s="105"/>
      <c r="N291" s="105"/>
      <c r="O291" s="19"/>
      <c r="P291" s="19"/>
      <c r="Q291" s="111" t="s">
        <v>211</v>
      </c>
      <c r="R291" s="112">
        <f>SUM(R289:R290)</f>
        <v>36.15</v>
      </c>
      <c r="S291" s="19"/>
      <c r="T291" s="68"/>
    </row>
    <row r="292" spans="1:20" s="4" customFormat="1" ht="30" customHeight="1" x14ac:dyDescent="0.25">
      <c r="A292" s="151" t="s">
        <v>52</v>
      </c>
      <c r="B292" s="135">
        <v>2315</v>
      </c>
      <c r="C292" s="136" t="s">
        <v>10</v>
      </c>
      <c r="D292" s="132" t="s">
        <v>60</v>
      </c>
      <c r="E292" s="132" t="s">
        <v>199</v>
      </c>
      <c r="F292" s="132" t="s">
        <v>156</v>
      </c>
      <c r="G292" s="142"/>
      <c r="H292" s="136">
        <f t="shared" si="15"/>
        <v>13.200000000000001</v>
      </c>
      <c r="I292" s="136">
        <f t="shared" si="13"/>
        <v>0</v>
      </c>
      <c r="J292" s="136">
        <v>0.6</v>
      </c>
      <c r="K292" s="132" t="s">
        <v>208</v>
      </c>
      <c r="L292" s="131"/>
      <c r="M292" s="131"/>
      <c r="N292" s="132" t="s">
        <v>212</v>
      </c>
      <c r="O292" s="132" t="s">
        <v>156</v>
      </c>
      <c r="P292" s="29">
        <f>2.1*3</f>
        <v>6.3000000000000007</v>
      </c>
      <c r="Q292" s="9">
        <v>1</v>
      </c>
      <c r="R292" s="30">
        <f t="shared" ref="R292:R298" si="19">P292*Q292</f>
        <v>6.3000000000000007</v>
      </c>
      <c r="S292" s="132" t="s">
        <v>174</v>
      </c>
      <c r="T292" s="133" t="s">
        <v>186</v>
      </c>
    </row>
    <row r="293" spans="1:20" s="4" customFormat="1" ht="30" customHeight="1" x14ac:dyDescent="0.25">
      <c r="A293" s="151"/>
      <c r="B293" s="135"/>
      <c r="C293" s="136"/>
      <c r="D293" s="132"/>
      <c r="E293" s="132"/>
      <c r="F293" s="132"/>
      <c r="G293" s="142"/>
      <c r="H293" s="136"/>
      <c r="I293" s="136"/>
      <c r="J293" s="136"/>
      <c r="K293" s="132"/>
      <c r="L293" s="131"/>
      <c r="M293" s="131"/>
      <c r="N293" s="132"/>
      <c r="O293" s="132"/>
      <c r="P293" s="29">
        <f>2.1*13.3</f>
        <v>27.930000000000003</v>
      </c>
      <c r="Q293" s="9">
        <v>1</v>
      </c>
      <c r="R293" s="30">
        <f t="shared" si="19"/>
        <v>27.930000000000003</v>
      </c>
      <c r="S293" s="132"/>
      <c r="T293" s="133"/>
    </row>
    <row r="294" spans="1:20" s="4" customFormat="1" ht="30" customHeight="1" x14ac:dyDescent="0.25">
      <c r="A294" s="151"/>
      <c r="B294" s="135"/>
      <c r="C294" s="136"/>
      <c r="D294" s="132"/>
      <c r="E294" s="132"/>
      <c r="F294" s="132"/>
      <c r="G294" s="142"/>
      <c r="H294" s="136"/>
      <c r="I294" s="136"/>
      <c r="J294" s="136"/>
      <c r="K294" s="132"/>
      <c r="L294" s="131"/>
      <c r="M294" s="131"/>
      <c r="N294" s="132"/>
      <c r="O294" s="132"/>
      <c r="P294" s="29">
        <f>8.7*2.1</f>
        <v>18.27</v>
      </c>
      <c r="Q294" s="9">
        <v>1</v>
      </c>
      <c r="R294" s="30">
        <f t="shared" si="19"/>
        <v>18.27</v>
      </c>
      <c r="S294" s="132"/>
      <c r="T294" s="133"/>
    </row>
    <row r="295" spans="1:20" s="4" customFormat="1" ht="30" customHeight="1" x14ac:dyDescent="0.25">
      <c r="A295" s="151"/>
      <c r="B295" s="135"/>
      <c r="C295" s="136"/>
      <c r="D295" s="132"/>
      <c r="E295" s="132"/>
      <c r="F295" s="132"/>
      <c r="G295" s="142"/>
      <c r="H295" s="136"/>
      <c r="I295" s="136"/>
      <c r="J295" s="136"/>
      <c r="K295" s="132"/>
      <c r="L295" s="131"/>
      <c r="M295" s="131"/>
      <c r="N295" s="132"/>
      <c r="O295" s="132"/>
      <c r="P295" s="29">
        <f>5.8*6.6</f>
        <v>38.279999999999994</v>
      </c>
      <c r="Q295" s="9">
        <v>1</v>
      </c>
      <c r="R295" s="30">
        <f t="shared" si="19"/>
        <v>38.279999999999994</v>
      </c>
      <c r="S295" s="132"/>
      <c r="T295" s="133"/>
    </row>
    <row r="296" spans="1:20" s="4" customFormat="1" ht="30" customHeight="1" x14ac:dyDescent="0.25">
      <c r="A296" s="151"/>
      <c r="B296" s="135"/>
      <c r="C296" s="136"/>
      <c r="D296" s="132"/>
      <c r="E296" s="132"/>
      <c r="F296" s="132"/>
      <c r="G296" s="142"/>
      <c r="H296" s="136"/>
      <c r="I296" s="136"/>
      <c r="J296" s="136"/>
      <c r="K296" s="132"/>
      <c r="L296" s="131"/>
      <c r="M296" s="131"/>
      <c r="N296" s="132"/>
      <c r="O296" s="132"/>
      <c r="P296" s="29">
        <f>2.5*7.5</f>
        <v>18.75</v>
      </c>
      <c r="Q296" s="9">
        <v>1</v>
      </c>
      <c r="R296" s="30">
        <f t="shared" si="19"/>
        <v>18.75</v>
      </c>
      <c r="S296" s="132"/>
      <c r="T296" s="133"/>
    </row>
    <row r="297" spans="1:20" s="4" customFormat="1" ht="30" customHeight="1" x14ac:dyDescent="0.25">
      <c r="A297" s="151"/>
      <c r="B297" s="135"/>
      <c r="C297" s="136"/>
      <c r="D297" s="132"/>
      <c r="E297" s="132"/>
      <c r="F297" s="132"/>
      <c r="G297" s="142"/>
      <c r="H297" s="136"/>
      <c r="I297" s="136"/>
      <c r="J297" s="136"/>
      <c r="K297" s="132"/>
      <c r="L297" s="131"/>
      <c r="M297" s="131"/>
      <c r="N297" s="132"/>
      <c r="O297" s="132"/>
      <c r="P297" s="29">
        <f>14.4*3.5</f>
        <v>50.4</v>
      </c>
      <c r="Q297" s="9">
        <v>1</v>
      </c>
      <c r="R297" s="30">
        <f t="shared" si="19"/>
        <v>50.4</v>
      </c>
      <c r="S297" s="132"/>
      <c r="T297" s="133"/>
    </row>
    <row r="298" spans="1:20" s="4" customFormat="1" ht="30" customHeight="1" x14ac:dyDescent="0.25">
      <c r="A298" s="151"/>
      <c r="B298" s="135"/>
      <c r="C298" s="136"/>
      <c r="D298" s="132"/>
      <c r="E298" s="132"/>
      <c r="F298" s="132"/>
      <c r="G298" s="142"/>
      <c r="H298" s="136"/>
      <c r="I298" s="136"/>
      <c r="J298" s="136"/>
      <c r="K298" s="132"/>
      <c r="L298" s="131"/>
      <c r="M298" s="131"/>
      <c r="N298" s="132"/>
      <c r="O298" s="132"/>
      <c r="P298" s="29">
        <f>2*2*2.5+2*1*2.5</f>
        <v>15</v>
      </c>
      <c r="Q298" s="9">
        <v>1</v>
      </c>
      <c r="R298" s="30">
        <f t="shared" si="19"/>
        <v>15</v>
      </c>
      <c r="S298" s="132"/>
      <c r="T298" s="133"/>
    </row>
    <row r="299" spans="1:20" s="4" customFormat="1" ht="30" customHeight="1" x14ac:dyDescent="0.25">
      <c r="A299" s="65"/>
      <c r="B299" s="20"/>
      <c r="C299" s="20"/>
      <c r="D299" s="21"/>
      <c r="E299" s="19"/>
      <c r="F299" s="19"/>
      <c r="G299" s="21"/>
      <c r="H299" s="110"/>
      <c r="I299" s="110"/>
      <c r="J299" s="110"/>
      <c r="K299" s="105"/>
      <c r="L299" s="105"/>
      <c r="M299" s="105"/>
      <c r="N299" s="105"/>
      <c r="O299" s="19"/>
      <c r="P299" s="19"/>
      <c r="Q299" s="111" t="s">
        <v>211</v>
      </c>
      <c r="R299" s="112">
        <f>SUM(R292:R298)</f>
        <v>174.93</v>
      </c>
      <c r="S299" s="19"/>
      <c r="T299" s="68"/>
    </row>
    <row r="300" spans="1:20" s="7" customFormat="1" ht="9.9499999999999993" customHeight="1" x14ac:dyDescent="0.25">
      <c r="A300" s="121"/>
      <c r="B300" s="118"/>
      <c r="C300" s="118"/>
      <c r="D300" s="118"/>
      <c r="E300" s="9"/>
      <c r="F300" s="118"/>
      <c r="G300" s="9"/>
      <c r="H300" s="118"/>
      <c r="I300" s="118"/>
      <c r="J300" s="118"/>
      <c r="K300" s="119"/>
      <c r="L300" s="119"/>
      <c r="M300" s="119"/>
      <c r="N300" s="119"/>
      <c r="O300" s="118"/>
      <c r="P300" s="9"/>
      <c r="Q300" s="9"/>
      <c r="R300" s="118"/>
      <c r="S300" s="118"/>
      <c r="T300" s="122"/>
    </row>
    <row r="301" spans="1:20" s="4" customFormat="1" ht="30" customHeight="1" x14ac:dyDescent="0.25">
      <c r="A301" s="134" t="s">
        <v>53</v>
      </c>
      <c r="B301" s="135">
        <v>2090</v>
      </c>
      <c r="C301" s="136" t="s">
        <v>10</v>
      </c>
      <c r="D301" s="132" t="s">
        <v>68</v>
      </c>
      <c r="E301" s="132" t="s">
        <v>193</v>
      </c>
      <c r="F301" s="132" t="s">
        <v>150</v>
      </c>
      <c r="G301" s="137">
        <f>(24*0.43)+(22*2.82)+19.03</f>
        <v>91.39</v>
      </c>
      <c r="H301" s="136">
        <f>($K$168*$L$168)</f>
        <v>12.92</v>
      </c>
      <c r="I301" s="136">
        <f t="shared" ref="I301:I313" si="20">G301*H301</f>
        <v>1180.7588000000001</v>
      </c>
      <c r="J301" s="136">
        <v>0.52</v>
      </c>
      <c r="K301" s="138"/>
      <c r="L301" s="131"/>
      <c r="M301" s="131"/>
      <c r="N301" s="132" t="s">
        <v>215</v>
      </c>
      <c r="O301" s="132" t="s">
        <v>150</v>
      </c>
      <c r="P301" s="29">
        <f>((0.52*1.7*2)+(1.42*1.7))</f>
        <v>4.1819999999999995</v>
      </c>
      <c r="Q301" s="9">
        <v>66</v>
      </c>
      <c r="R301" s="30">
        <f>P301*Q301</f>
        <v>276.01199999999994</v>
      </c>
      <c r="S301" s="132" t="s">
        <v>164</v>
      </c>
      <c r="T301" s="133" t="s">
        <v>184</v>
      </c>
    </row>
    <row r="302" spans="1:20" s="4" customFormat="1" ht="30" customHeight="1" x14ac:dyDescent="0.25">
      <c r="A302" s="134"/>
      <c r="B302" s="135"/>
      <c r="C302" s="136"/>
      <c r="D302" s="132"/>
      <c r="E302" s="132"/>
      <c r="F302" s="132"/>
      <c r="G302" s="137"/>
      <c r="H302" s="136"/>
      <c r="I302" s="136"/>
      <c r="J302" s="136"/>
      <c r="K302" s="138"/>
      <c r="L302" s="131"/>
      <c r="M302" s="131"/>
      <c r="N302" s="132"/>
      <c r="O302" s="132"/>
      <c r="P302" s="29">
        <f>2.6*0.75</f>
        <v>1.9500000000000002</v>
      </c>
      <c r="Q302" s="9">
        <v>22</v>
      </c>
      <c r="R302" s="30">
        <f>P302*Q302</f>
        <v>42.900000000000006</v>
      </c>
      <c r="S302" s="132"/>
      <c r="T302" s="133"/>
    </row>
    <row r="303" spans="1:20" s="4" customFormat="1" ht="30" customHeight="1" x14ac:dyDescent="0.25">
      <c r="A303" s="134"/>
      <c r="B303" s="135"/>
      <c r="C303" s="136"/>
      <c r="D303" s="132"/>
      <c r="E303" s="132"/>
      <c r="F303" s="132"/>
      <c r="G303" s="137"/>
      <c r="H303" s="136"/>
      <c r="I303" s="136"/>
      <c r="J303" s="136"/>
      <c r="K303" s="138"/>
      <c r="L303" s="131"/>
      <c r="M303" s="131"/>
      <c r="N303" s="132"/>
      <c r="O303" s="132"/>
      <c r="P303" s="29">
        <f>19.03*10.82</f>
        <v>205.90460000000002</v>
      </c>
      <c r="Q303" s="9">
        <v>1</v>
      </c>
      <c r="R303" s="30">
        <f>P303*Q303</f>
        <v>205.90460000000002</v>
      </c>
      <c r="S303" s="132"/>
      <c r="T303" s="133"/>
    </row>
    <row r="304" spans="1:20" s="4" customFormat="1" ht="30" customHeight="1" x14ac:dyDescent="0.25">
      <c r="A304" s="60"/>
      <c r="B304" s="20"/>
      <c r="C304" s="20"/>
      <c r="D304" s="21"/>
      <c r="E304" s="19"/>
      <c r="F304" s="19"/>
      <c r="G304" s="21"/>
      <c r="H304" s="110"/>
      <c r="I304" s="110"/>
      <c r="J304" s="110"/>
      <c r="K304" s="105"/>
      <c r="L304" s="105"/>
      <c r="M304" s="105"/>
      <c r="N304" s="105"/>
      <c r="O304" s="19"/>
      <c r="P304" s="19"/>
      <c r="Q304" s="111" t="s">
        <v>211</v>
      </c>
      <c r="R304" s="112">
        <f>SUM(R301:R303)</f>
        <v>524.81659999999988</v>
      </c>
      <c r="S304" s="19"/>
      <c r="T304" s="68"/>
    </row>
    <row r="305" spans="1:20" s="4" customFormat="1" ht="30" customHeight="1" x14ac:dyDescent="0.25">
      <c r="A305" s="134" t="s">
        <v>53</v>
      </c>
      <c r="B305" s="135">
        <v>2090</v>
      </c>
      <c r="C305" s="136" t="s">
        <v>10</v>
      </c>
      <c r="D305" s="132" t="s">
        <v>68</v>
      </c>
      <c r="E305" s="132" t="s">
        <v>195</v>
      </c>
      <c r="F305" s="132" t="s">
        <v>152</v>
      </c>
      <c r="G305" s="137">
        <f>0.81+0.81+6.08+6.08+0.8+1.86</f>
        <v>16.440000000000001</v>
      </c>
      <c r="H305" s="136">
        <f t="shared" ref="H305:H308" si="21">($K$168*$L$168)</f>
        <v>12.92</v>
      </c>
      <c r="I305" s="136">
        <f t="shared" si="20"/>
        <v>212.40480000000002</v>
      </c>
      <c r="J305" s="136">
        <v>0.52</v>
      </c>
      <c r="K305" s="138"/>
      <c r="L305" s="131"/>
      <c r="M305" s="131"/>
      <c r="N305" s="132" t="s">
        <v>215</v>
      </c>
      <c r="O305" s="132" t="s">
        <v>152</v>
      </c>
      <c r="P305" s="29">
        <f>1.75*2.35</f>
        <v>4.1124999999999998</v>
      </c>
      <c r="Q305" s="9">
        <v>4</v>
      </c>
      <c r="R305" s="30">
        <f>P305*Q305</f>
        <v>16.45</v>
      </c>
      <c r="S305" s="132" t="s">
        <v>164</v>
      </c>
      <c r="T305" s="133" t="s">
        <v>184</v>
      </c>
    </row>
    <row r="306" spans="1:20" s="4" customFormat="1" ht="30" customHeight="1" x14ac:dyDescent="0.25">
      <c r="A306" s="134"/>
      <c r="B306" s="135"/>
      <c r="C306" s="136"/>
      <c r="D306" s="132"/>
      <c r="E306" s="132"/>
      <c r="F306" s="132"/>
      <c r="G306" s="137"/>
      <c r="H306" s="136"/>
      <c r="I306" s="136"/>
      <c r="J306" s="136"/>
      <c r="K306" s="138"/>
      <c r="L306" s="131"/>
      <c r="M306" s="131"/>
      <c r="N306" s="132"/>
      <c r="O306" s="132"/>
      <c r="P306" s="9">
        <f>2.5*4.38</f>
        <v>10.95</v>
      </c>
      <c r="Q306" s="9">
        <v>1</v>
      </c>
      <c r="R306" s="30">
        <f>P306*Q306</f>
        <v>10.95</v>
      </c>
      <c r="S306" s="132"/>
      <c r="T306" s="133"/>
    </row>
    <row r="307" spans="1:20" s="4" customFormat="1" ht="30" customHeight="1" x14ac:dyDescent="0.25">
      <c r="A307" s="60"/>
      <c r="B307" s="20"/>
      <c r="C307" s="20"/>
      <c r="D307" s="21"/>
      <c r="E307" s="19"/>
      <c r="F307" s="19"/>
      <c r="G307" s="21"/>
      <c r="H307" s="110"/>
      <c r="I307" s="110"/>
      <c r="J307" s="110"/>
      <c r="K307" s="105"/>
      <c r="L307" s="105"/>
      <c r="M307" s="105"/>
      <c r="N307" s="105"/>
      <c r="O307" s="19"/>
      <c r="P307" s="19"/>
      <c r="Q307" s="111" t="s">
        <v>211</v>
      </c>
      <c r="R307" s="112">
        <f>SUM(R305:R306)</f>
        <v>27.4</v>
      </c>
      <c r="S307" s="19"/>
      <c r="T307" s="68"/>
    </row>
    <row r="308" spans="1:20" s="4" customFormat="1" ht="30" customHeight="1" x14ac:dyDescent="0.25">
      <c r="A308" s="134" t="s">
        <v>53</v>
      </c>
      <c r="B308" s="135">
        <v>2090</v>
      </c>
      <c r="C308" s="136" t="s">
        <v>10</v>
      </c>
      <c r="D308" s="132" t="s">
        <v>68</v>
      </c>
      <c r="E308" s="132" t="s">
        <v>196</v>
      </c>
      <c r="F308" s="132" t="s">
        <v>155</v>
      </c>
      <c r="G308" s="137">
        <v>91.39</v>
      </c>
      <c r="H308" s="136">
        <f t="shared" si="21"/>
        <v>12.92</v>
      </c>
      <c r="I308" s="136">
        <f t="shared" si="20"/>
        <v>1180.7588000000001</v>
      </c>
      <c r="J308" s="136">
        <v>0.52</v>
      </c>
      <c r="K308" s="138"/>
      <c r="L308" s="131"/>
      <c r="M308" s="131"/>
      <c r="N308" s="132" t="s">
        <v>215</v>
      </c>
      <c r="O308" s="132" t="s">
        <v>155</v>
      </c>
      <c r="P308" s="29">
        <f>((0.52*1.7*2)+(1.42*1.7))</f>
        <v>4.1819999999999995</v>
      </c>
      <c r="Q308" s="9">
        <f>47+44</f>
        <v>91</v>
      </c>
      <c r="R308" s="30">
        <f>P308*Q308</f>
        <v>380.56199999999995</v>
      </c>
      <c r="S308" s="132" t="s">
        <v>164</v>
      </c>
      <c r="T308" s="133" t="s">
        <v>186</v>
      </c>
    </row>
    <row r="309" spans="1:20" s="4" customFormat="1" ht="30" customHeight="1" x14ac:dyDescent="0.25">
      <c r="A309" s="134"/>
      <c r="B309" s="135"/>
      <c r="C309" s="136"/>
      <c r="D309" s="132"/>
      <c r="E309" s="132"/>
      <c r="F309" s="132"/>
      <c r="G309" s="137"/>
      <c r="H309" s="136"/>
      <c r="I309" s="136"/>
      <c r="J309" s="136"/>
      <c r="K309" s="138"/>
      <c r="L309" s="131"/>
      <c r="M309" s="131"/>
      <c r="N309" s="132"/>
      <c r="O309" s="132"/>
      <c r="P309" s="29">
        <f>(2.25+1.65)*2.55</f>
        <v>9.9449999999999985</v>
      </c>
      <c r="Q309" s="9">
        <v>10</v>
      </c>
      <c r="R309" s="30">
        <f>P309*Q309</f>
        <v>99.449999999999989</v>
      </c>
      <c r="S309" s="132"/>
      <c r="T309" s="133"/>
    </row>
    <row r="310" spans="1:20" s="4" customFormat="1" ht="30" customHeight="1" x14ac:dyDescent="0.25">
      <c r="A310" s="134"/>
      <c r="B310" s="135"/>
      <c r="C310" s="136"/>
      <c r="D310" s="132"/>
      <c r="E310" s="132"/>
      <c r="F310" s="132"/>
      <c r="G310" s="137"/>
      <c r="H310" s="136"/>
      <c r="I310" s="136"/>
      <c r="J310" s="136"/>
      <c r="K310" s="138"/>
      <c r="L310" s="131"/>
      <c r="M310" s="131"/>
      <c r="N310" s="132"/>
      <c r="O310" s="132"/>
      <c r="P310" s="9">
        <f>5*2.55</f>
        <v>12.75</v>
      </c>
      <c r="Q310" s="9">
        <v>6</v>
      </c>
      <c r="R310" s="30">
        <f>P310*Q310</f>
        <v>76.5</v>
      </c>
      <c r="S310" s="132"/>
      <c r="T310" s="133"/>
    </row>
    <row r="311" spans="1:20" s="4" customFormat="1" ht="30" customHeight="1" x14ac:dyDescent="0.25">
      <c r="A311" s="134"/>
      <c r="B311" s="135"/>
      <c r="C311" s="136"/>
      <c r="D311" s="132"/>
      <c r="E311" s="132"/>
      <c r="F311" s="132"/>
      <c r="G311" s="137"/>
      <c r="H311" s="136"/>
      <c r="I311" s="136"/>
      <c r="J311" s="136"/>
      <c r="K311" s="138"/>
      <c r="L311" s="131"/>
      <c r="M311" s="131"/>
      <c r="N311" s="132"/>
      <c r="O311" s="132"/>
      <c r="P311" s="29">
        <f>2.55*1.55</f>
        <v>3.9524999999999997</v>
      </c>
      <c r="Q311" s="9">
        <v>6</v>
      </c>
      <c r="R311" s="30">
        <f>P311*Q311</f>
        <v>23.714999999999996</v>
      </c>
      <c r="S311" s="132"/>
      <c r="T311" s="133"/>
    </row>
    <row r="312" spans="1:20" s="4" customFormat="1" ht="30" customHeight="1" x14ac:dyDescent="0.25">
      <c r="A312" s="60"/>
      <c r="B312" s="20"/>
      <c r="C312" s="20"/>
      <c r="D312" s="21"/>
      <c r="E312" s="19"/>
      <c r="F312" s="19"/>
      <c r="G312" s="21"/>
      <c r="H312" s="110"/>
      <c r="I312" s="110"/>
      <c r="J312" s="110"/>
      <c r="K312" s="105"/>
      <c r="L312" s="105"/>
      <c r="M312" s="105"/>
      <c r="N312" s="105"/>
      <c r="O312" s="19"/>
      <c r="P312" s="19"/>
      <c r="Q312" s="111" t="s">
        <v>211</v>
      </c>
      <c r="R312" s="112">
        <f>SUM(R308:R311)</f>
        <v>580.22699999999998</v>
      </c>
      <c r="S312" s="19"/>
      <c r="T312" s="68"/>
    </row>
    <row r="313" spans="1:20" s="4" customFormat="1" ht="30" customHeight="1" x14ac:dyDescent="0.25">
      <c r="A313" s="134" t="s">
        <v>53</v>
      </c>
      <c r="B313" s="135">
        <v>2090</v>
      </c>
      <c r="C313" s="136" t="s">
        <v>10</v>
      </c>
      <c r="D313" s="132" t="s">
        <v>68</v>
      </c>
      <c r="E313" s="132" t="s">
        <v>197</v>
      </c>
      <c r="F313" s="132" t="s">
        <v>157</v>
      </c>
      <c r="G313" s="137">
        <v>16.440000000000001</v>
      </c>
      <c r="H313" s="136">
        <f>($K$168*$L$168)</f>
        <v>12.92</v>
      </c>
      <c r="I313" s="136">
        <f t="shared" si="20"/>
        <v>212.40480000000002</v>
      </c>
      <c r="J313" s="136">
        <v>0.52</v>
      </c>
      <c r="K313" s="138"/>
      <c r="L313" s="131"/>
      <c r="M313" s="131"/>
      <c r="N313" s="132" t="s">
        <v>215</v>
      </c>
      <c r="O313" s="132" t="s">
        <v>157</v>
      </c>
      <c r="P313" s="29">
        <f>1.75*2.35</f>
        <v>4.1124999999999998</v>
      </c>
      <c r="Q313" s="9">
        <v>4</v>
      </c>
      <c r="R313" s="30">
        <f>P313*Q313</f>
        <v>16.45</v>
      </c>
      <c r="S313" s="132" t="s">
        <v>164</v>
      </c>
      <c r="T313" s="133" t="s">
        <v>184</v>
      </c>
    </row>
    <row r="314" spans="1:20" s="4" customFormat="1" ht="30" customHeight="1" x14ac:dyDescent="0.25">
      <c r="A314" s="134"/>
      <c r="B314" s="135"/>
      <c r="C314" s="136"/>
      <c r="D314" s="132"/>
      <c r="E314" s="132"/>
      <c r="F314" s="132"/>
      <c r="G314" s="137"/>
      <c r="H314" s="136"/>
      <c r="I314" s="136"/>
      <c r="J314" s="136"/>
      <c r="K314" s="138"/>
      <c r="L314" s="131"/>
      <c r="M314" s="131"/>
      <c r="N314" s="132"/>
      <c r="O314" s="132"/>
      <c r="P314" s="9">
        <f>2.5*4.38</f>
        <v>10.95</v>
      </c>
      <c r="Q314" s="9">
        <v>1</v>
      </c>
      <c r="R314" s="30">
        <f>P314*Q314</f>
        <v>10.95</v>
      </c>
      <c r="S314" s="132"/>
      <c r="T314" s="133"/>
    </row>
    <row r="315" spans="1:20" s="4" customFormat="1" ht="30" customHeight="1" thickBot="1" x14ac:dyDescent="0.3">
      <c r="A315" s="61"/>
      <c r="B315" s="123"/>
      <c r="C315" s="123"/>
      <c r="D315" s="124"/>
      <c r="E315" s="125"/>
      <c r="F315" s="125"/>
      <c r="G315" s="124"/>
      <c r="H315" s="126"/>
      <c r="I315" s="126"/>
      <c r="J315" s="126"/>
      <c r="K315" s="127"/>
      <c r="L315" s="127"/>
      <c r="M315" s="127"/>
      <c r="N315" s="127"/>
      <c r="O315" s="125"/>
      <c r="P315" s="125"/>
      <c r="Q315" s="128" t="s">
        <v>211</v>
      </c>
      <c r="R315" s="129">
        <f>SUM(R313:R314)</f>
        <v>27.4</v>
      </c>
      <c r="S315" s="125"/>
      <c r="T315" s="130"/>
    </row>
    <row r="316" spans="1:20" s="4" customFormat="1" ht="30" customHeight="1" x14ac:dyDescent="0.25">
      <c r="A316" s="6"/>
      <c r="B316" s="5"/>
      <c r="C316" s="5"/>
      <c r="D316" s="8"/>
      <c r="G316" s="8"/>
      <c r="H316" s="5"/>
      <c r="K316" s="5"/>
      <c r="L316" s="5"/>
    </row>
    <row r="317" spans="1:20" s="4" customFormat="1" ht="30" customHeight="1" x14ac:dyDescent="0.25">
      <c r="A317" s="6"/>
      <c r="B317" s="5"/>
      <c r="C317" s="5"/>
      <c r="D317" s="8"/>
      <c r="F317" s="76" t="s">
        <v>122</v>
      </c>
      <c r="I317" s="8"/>
      <c r="J317" s="5"/>
      <c r="N317" s="5"/>
      <c r="O317" s="76" t="s">
        <v>179</v>
      </c>
      <c r="S317" s="89" t="s">
        <v>124</v>
      </c>
      <c r="T317" s="91" t="s">
        <v>123</v>
      </c>
    </row>
    <row r="318" spans="1:20" s="4" customFormat="1" ht="30" customHeight="1" x14ac:dyDescent="0.25">
      <c r="A318" s="6"/>
      <c r="B318" s="5"/>
      <c r="C318" s="5"/>
      <c r="D318" s="8"/>
      <c r="F318" s="17" t="s">
        <v>150</v>
      </c>
      <c r="I318" s="8"/>
      <c r="J318" s="5"/>
      <c r="N318" s="5"/>
      <c r="O318" s="17" t="s">
        <v>150</v>
      </c>
      <c r="S318" s="90" t="s">
        <v>161</v>
      </c>
      <c r="T318" s="17" t="s">
        <v>184</v>
      </c>
    </row>
    <row r="319" spans="1:20" s="4" customFormat="1" ht="30" customHeight="1" x14ac:dyDescent="0.25">
      <c r="A319" s="6"/>
      <c r="B319" s="5"/>
      <c r="C319" s="5"/>
      <c r="D319" s="8"/>
      <c r="F319" s="17" t="s">
        <v>153</v>
      </c>
      <c r="I319" s="8"/>
      <c r="J319" s="5"/>
      <c r="N319" s="5"/>
      <c r="O319" s="17" t="s">
        <v>153</v>
      </c>
      <c r="S319" s="90" t="s">
        <v>162</v>
      </c>
      <c r="T319" s="17" t="s">
        <v>187</v>
      </c>
    </row>
    <row r="320" spans="1:20" s="4" customFormat="1" ht="30" customHeight="1" x14ac:dyDescent="0.25">
      <c r="A320" s="6"/>
      <c r="B320" s="5"/>
      <c r="C320" s="5"/>
      <c r="D320" s="8"/>
      <c r="F320" s="17" t="s">
        <v>152</v>
      </c>
      <c r="I320" s="8"/>
      <c r="J320" s="5"/>
      <c r="N320" s="5"/>
      <c r="O320" s="17" t="s">
        <v>152</v>
      </c>
      <c r="S320" s="90" t="s">
        <v>163</v>
      </c>
      <c r="T320" s="17" t="s">
        <v>186</v>
      </c>
    </row>
    <row r="321" spans="1:20" s="4" customFormat="1" ht="30" customHeight="1" x14ac:dyDescent="0.25">
      <c r="A321" s="6"/>
      <c r="B321" s="5"/>
      <c r="C321" s="5"/>
      <c r="D321" s="8"/>
      <c r="F321" s="17" t="s">
        <v>154</v>
      </c>
      <c r="I321" s="8"/>
      <c r="J321" s="5"/>
      <c r="N321" s="5"/>
      <c r="O321" s="17" t="s">
        <v>154</v>
      </c>
      <c r="S321" s="90" t="s">
        <v>164</v>
      </c>
      <c r="T321" s="17" t="s">
        <v>185</v>
      </c>
    </row>
    <row r="322" spans="1:20" s="4" customFormat="1" ht="30" customHeight="1" x14ac:dyDescent="0.25">
      <c r="A322" s="6"/>
      <c r="B322" s="5"/>
      <c r="C322" s="5"/>
      <c r="D322" s="8"/>
      <c r="F322" s="17" t="s">
        <v>155</v>
      </c>
      <c r="I322" s="8"/>
      <c r="J322" s="5"/>
      <c r="N322" s="5"/>
      <c r="O322" s="17" t="s">
        <v>155</v>
      </c>
      <c r="S322" s="90" t="s">
        <v>165</v>
      </c>
      <c r="T322" s="17" t="s">
        <v>188</v>
      </c>
    </row>
    <row r="323" spans="1:20" s="4" customFormat="1" ht="30" customHeight="1" x14ac:dyDescent="0.25">
      <c r="A323" s="6"/>
      <c r="B323" s="5"/>
      <c r="C323" s="5"/>
      <c r="D323" s="8"/>
      <c r="F323" s="17" t="s">
        <v>156</v>
      </c>
      <c r="I323" s="8"/>
      <c r="J323" s="5"/>
      <c r="N323" s="5"/>
      <c r="O323" s="17" t="s">
        <v>156</v>
      </c>
      <c r="S323" s="90" t="s">
        <v>166</v>
      </c>
      <c r="T323" s="17" t="s">
        <v>189</v>
      </c>
    </row>
    <row r="324" spans="1:20" s="4" customFormat="1" ht="30" customHeight="1" x14ac:dyDescent="0.25">
      <c r="A324" s="6"/>
      <c r="B324" s="5"/>
      <c r="C324" s="5"/>
      <c r="D324" s="8"/>
      <c r="F324" s="17" t="s">
        <v>157</v>
      </c>
      <c r="I324" s="8"/>
      <c r="J324" s="5"/>
      <c r="N324" s="5"/>
      <c r="O324" s="17" t="s">
        <v>157</v>
      </c>
      <c r="S324" s="90" t="s">
        <v>167</v>
      </c>
      <c r="T324" s="17" t="s">
        <v>190</v>
      </c>
    </row>
    <row r="325" spans="1:20" s="4" customFormat="1" ht="30" customHeight="1" x14ac:dyDescent="0.25">
      <c r="A325" s="6"/>
      <c r="B325" s="5"/>
      <c r="C325" s="5"/>
      <c r="D325" s="8"/>
      <c r="F325" s="17" t="s">
        <v>151</v>
      </c>
      <c r="I325" s="8"/>
      <c r="J325" s="5"/>
      <c r="N325" s="5"/>
      <c r="O325" s="17" t="s">
        <v>151</v>
      </c>
      <c r="S325" s="90" t="s">
        <v>168</v>
      </c>
      <c r="T325" s="17" t="s">
        <v>191</v>
      </c>
    </row>
    <row r="326" spans="1:20" s="4" customFormat="1" ht="30" customHeight="1" x14ac:dyDescent="0.25">
      <c r="A326" s="6"/>
      <c r="B326" s="5"/>
      <c r="C326" s="5"/>
      <c r="D326" s="8"/>
      <c r="I326" s="8"/>
      <c r="J326" s="5"/>
      <c r="N326" s="5"/>
      <c r="S326" s="90" t="s">
        <v>169</v>
      </c>
      <c r="T326" s="17" t="s">
        <v>192</v>
      </c>
    </row>
    <row r="327" spans="1:20" s="4" customFormat="1" ht="30" customHeight="1" x14ac:dyDescent="0.25">
      <c r="A327" s="6"/>
      <c r="B327" s="5"/>
      <c r="C327" s="5"/>
      <c r="D327" s="8"/>
      <c r="I327" s="8"/>
      <c r="J327" s="5"/>
      <c r="N327" s="5"/>
      <c r="S327" s="17" t="s">
        <v>170</v>
      </c>
    </row>
    <row r="328" spans="1:20" s="4" customFormat="1" ht="30" customHeight="1" x14ac:dyDescent="0.25">
      <c r="A328" s="6"/>
      <c r="B328" s="5"/>
      <c r="C328" s="5"/>
      <c r="D328" s="8"/>
      <c r="I328" s="8"/>
      <c r="J328" s="5"/>
      <c r="N328" s="5"/>
      <c r="S328" s="17" t="s">
        <v>171</v>
      </c>
    </row>
    <row r="329" spans="1:20" s="4" customFormat="1" ht="30" customHeight="1" x14ac:dyDescent="0.25">
      <c r="A329" s="6"/>
      <c r="B329" s="5"/>
      <c r="C329" s="5"/>
      <c r="D329" s="8"/>
      <c r="I329" s="8"/>
      <c r="J329" s="5"/>
      <c r="N329" s="5"/>
      <c r="S329" s="17" t="s">
        <v>172</v>
      </c>
    </row>
    <row r="330" spans="1:20" s="4" customFormat="1" ht="30" customHeight="1" x14ac:dyDescent="0.25">
      <c r="A330" s="6"/>
      <c r="B330" s="5"/>
      <c r="C330" s="5"/>
      <c r="D330" s="8"/>
      <c r="I330" s="8"/>
      <c r="J330" s="5"/>
      <c r="N330" s="5"/>
      <c r="S330" s="17" t="s">
        <v>173</v>
      </c>
    </row>
    <row r="331" spans="1:20" s="4" customFormat="1" ht="30" customHeight="1" x14ac:dyDescent="0.25">
      <c r="A331" s="6"/>
      <c r="B331" s="5"/>
      <c r="C331" s="5"/>
      <c r="D331" s="8"/>
      <c r="I331" s="8"/>
      <c r="J331" s="5"/>
      <c r="N331" s="5"/>
      <c r="S331" s="17" t="s">
        <v>174</v>
      </c>
    </row>
    <row r="332" spans="1:20" s="4" customFormat="1" ht="30" customHeight="1" x14ac:dyDescent="0.25">
      <c r="A332" s="6"/>
      <c r="B332" s="5"/>
      <c r="C332" s="5"/>
      <c r="D332" s="8"/>
      <c r="I332" s="8"/>
      <c r="J332" s="5"/>
      <c r="N332" s="5"/>
      <c r="S332" s="17" t="s">
        <v>175</v>
      </c>
    </row>
    <row r="333" spans="1:20" x14ac:dyDescent="0.25">
      <c r="F333" s="2"/>
      <c r="G333" s="14"/>
      <c r="H333" s="1"/>
      <c r="J333" s="2"/>
      <c r="K333" s="1"/>
      <c r="L333" s="1"/>
    </row>
    <row r="334" spans="1:20" x14ac:dyDescent="0.25">
      <c r="F334" s="2"/>
      <c r="G334" s="14"/>
      <c r="H334" s="1"/>
      <c r="J334" s="2"/>
      <c r="K334" s="1"/>
      <c r="L334" s="1"/>
    </row>
    <row r="335" spans="1:20" x14ac:dyDescent="0.25">
      <c r="F335" s="2"/>
      <c r="G335" s="14"/>
      <c r="H335" s="1"/>
      <c r="J335" s="2"/>
      <c r="K335" s="1"/>
      <c r="L335" s="1"/>
    </row>
  </sheetData>
  <mergeCells count="307">
    <mergeCell ref="N100:N101"/>
    <mergeCell ref="N170:N171"/>
    <mergeCell ref="N107:N109"/>
    <mergeCell ref="N111:N113"/>
    <mergeCell ref="N115:N118"/>
    <mergeCell ref="N155:N156"/>
    <mergeCell ref="N162:N164"/>
    <mergeCell ref="K229:N232"/>
    <mergeCell ref="P229:Q232"/>
    <mergeCell ref="A1:T1"/>
    <mergeCell ref="A41:Q41"/>
    <mergeCell ref="L183:M183"/>
    <mergeCell ref="L215:M215"/>
    <mergeCell ref="A182:T182"/>
    <mergeCell ref="A214:T214"/>
    <mergeCell ref="A216:A217"/>
    <mergeCell ref="G216:G217"/>
    <mergeCell ref="A219:A220"/>
    <mergeCell ref="B219:B220"/>
    <mergeCell ref="C219:C220"/>
    <mergeCell ref="N124:N127"/>
    <mergeCell ref="N3:N4"/>
    <mergeCell ref="N16:N17"/>
    <mergeCell ref="N19:N20"/>
    <mergeCell ref="N51:N53"/>
    <mergeCell ref="N58:N60"/>
    <mergeCell ref="N62:N64"/>
    <mergeCell ref="N55:N56"/>
    <mergeCell ref="N66:N72"/>
    <mergeCell ref="N92:N95"/>
    <mergeCell ref="N97:N98"/>
    <mergeCell ref="T234:T236"/>
    <mergeCell ref="O234:O236"/>
    <mergeCell ref="M234:M236"/>
    <mergeCell ref="N234:N236"/>
    <mergeCell ref="L234:L236"/>
    <mergeCell ref="K234:K236"/>
    <mergeCell ref="J234:J236"/>
    <mergeCell ref="F234:F236"/>
    <mergeCell ref="E234:E236"/>
    <mergeCell ref="G234:G236"/>
    <mergeCell ref="H234:H236"/>
    <mergeCell ref="I234:I236"/>
    <mergeCell ref="S238:S240"/>
    <mergeCell ref="O238:O240"/>
    <mergeCell ref="N238:N240"/>
    <mergeCell ref="M238:M240"/>
    <mergeCell ref="K238:K240"/>
    <mergeCell ref="L238:L240"/>
    <mergeCell ref="A234:A236"/>
    <mergeCell ref="B234:B236"/>
    <mergeCell ref="S234:S236"/>
    <mergeCell ref="D234:D236"/>
    <mergeCell ref="C234:C236"/>
    <mergeCell ref="G238:G240"/>
    <mergeCell ref="H238:H240"/>
    <mergeCell ref="I238:I240"/>
    <mergeCell ref="J238:J240"/>
    <mergeCell ref="T238:T240"/>
    <mergeCell ref="F238:F240"/>
    <mergeCell ref="E238:E240"/>
    <mergeCell ref="D238:D240"/>
    <mergeCell ref="A238:A240"/>
    <mergeCell ref="B238:B240"/>
    <mergeCell ref="C238:C240"/>
    <mergeCell ref="A244:A247"/>
    <mergeCell ref="C244:C247"/>
    <mergeCell ref="D244:D247"/>
    <mergeCell ref="E244:E247"/>
    <mergeCell ref="F244:F247"/>
    <mergeCell ref="B244:B247"/>
    <mergeCell ref="G244:G247"/>
    <mergeCell ref="H244:H247"/>
    <mergeCell ref="I244:I247"/>
    <mergeCell ref="L265:L267"/>
    <mergeCell ref="S244:S247"/>
    <mergeCell ref="T244:T247"/>
    <mergeCell ref="D265:D267"/>
    <mergeCell ref="F265:F267"/>
    <mergeCell ref="E265:E267"/>
    <mergeCell ref="K265:K267"/>
    <mergeCell ref="N265:N267"/>
    <mergeCell ref="O265:O267"/>
    <mergeCell ref="S265:S267"/>
    <mergeCell ref="T265:T267"/>
    <mergeCell ref="J265:J267"/>
    <mergeCell ref="I265:I267"/>
    <mergeCell ref="H265:H267"/>
    <mergeCell ref="M265:M267"/>
    <mergeCell ref="K244:K247"/>
    <mergeCell ref="L244:L247"/>
    <mergeCell ref="M244:M247"/>
    <mergeCell ref="N244:N247"/>
    <mergeCell ref="O244:O247"/>
    <mergeCell ref="J244:J247"/>
    <mergeCell ref="I269:I278"/>
    <mergeCell ref="J269:J278"/>
    <mergeCell ref="A269:A278"/>
    <mergeCell ref="B269:B278"/>
    <mergeCell ref="C269:C278"/>
    <mergeCell ref="D269:D278"/>
    <mergeCell ref="E269:E278"/>
    <mergeCell ref="B265:B267"/>
    <mergeCell ref="C265:C267"/>
    <mergeCell ref="A265:A267"/>
    <mergeCell ref="G265:G267"/>
    <mergeCell ref="S269:S278"/>
    <mergeCell ref="T269:T278"/>
    <mergeCell ref="A280:A282"/>
    <mergeCell ref="B280:B282"/>
    <mergeCell ref="C280:C282"/>
    <mergeCell ref="D280:D282"/>
    <mergeCell ref="E280:E282"/>
    <mergeCell ref="F280:F282"/>
    <mergeCell ref="G280:G282"/>
    <mergeCell ref="H280:H282"/>
    <mergeCell ref="I280:I282"/>
    <mergeCell ref="J280:J282"/>
    <mergeCell ref="K280:K282"/>
    <mergeCell ref="L280:L282"/>
    <mergeCell ref="M280:M282"/>
    <mergeCell ref="N280:N282"/>
    <mergeCell ref="K269:K278"/>
    <mergeCell ref="L269:L278"/>
    <mergeCell ref="M269:M278"/>
    <mergeCell ref="N269:N278"/>
    <mergeCell ref="O269:O278"/>
    <mergeCell ref="F269:F278"/>
    <mergeCell ref="G269:G278"/>
    <mergeCell ref="H269:H278"/>
    <mergeCell ref="O280:O282"/>
    <mergeCell ref="S280:S282"/>
    <mergeCell ref="T280:T282"/>
    <mergeCell ref="A284:A287"/>
    <mergeCell ref="B284:B287"/>
    <mergeCell ref="C284:C287"/>
    <mergeCell ref="D284:D287"/>
    <mergeCell ref="E284:E287"/>
    <mergeCell ref="F284:F287"/>
    <mergeCell ref="G284:G287"/>
    <mergeCell ref="H284:H287"/>
    <mergeCell ref="I284:I287"/>
    <mergeCell ref="J284:J287"/>
    <mergeCell ref="K284:K287"/>
    <mergeCell ref="L284:L287"/>
    <mergeCell ref="M284:M287"/>
    <mergeCell ref="O289:O290"/>
    <mergeCell ref="S289:S290"/>
    <mergeCell ref="T289:T290"/>
    <mergeCell ref="N284:N287"/>
    <mergeCell ref="O284:O287"/>
    <mergeCell ref="S284:S287"/>
    <mergeCell ref="T284:T287"/>
    <mergeCell ref="A289:A290"/>
    <mergeCell ref="B289:B290"/>
    <mergeCell ref="C289:C290"/>
    <mergeCell ref="D289:D290"/>
    <mergeCell ref="E289:E290"/>
    <mergeCell ref="F289:F290"/>
    <mergeCell ref="G289:G290"/>
    <mergeCell ref="H289:H290"/>
    <mergeCell ref="I289:I290"/>
    <mergeCell ref="J289:J290"/>
    <mergeCell ref="K289:K290"/>
    <mergeCell ref="L289:L290"/>
    <mergeCell ref="I292:I298"/>
    <mergeCell ref="J292:J298"/>
    <mergeCell ref="A292:A298"/>
    <mergeCell ref="B292:B298"/>
    <mergeCell ref="C292:C298"/>
    <mergeCell ref="D292:D298"/>
    <mergeCell ref="E292:E298"/>
    <mergeCell ref="M289:M290"/>
    <mergeCell ref="N289:N290"/>
    <mergeCell ref="G219:G220"/>
    <mergeCell ref="H219:H220"/>
    <mergeCell ref="S292:S298"/>
    <mergeCell ref="T292:T298"/>
    <mergeCell ref="B216:B217"/>
    <mergeCell ref="C216:C217"/>
    <mergeCell ref="H216:H217"/>
    <mergeCell ref="I216:I217"/>
    <mergeCell ref="D216:D217"/>
    <mergeCell ref="E216:E217"/>
    <mergeCell ref="F216:F217"/>
    <mergeCell ref="N216:N217"/>
    <mergeCell ref="O216:O217"/>
    <mergeCell ref="M216:M217"/>
    <mergeCell ref="L216:L217"/>
    <mergeCell ref="K216:K217"/>
    <mergeCell ref="J216:J217"/>
    <mergeCell ref="K292:K298"/>
    <mergeCell ref="L292:L298"/>
    <mergeCell ref="M292:M298"/>
    <mergeCell ref="N292:N298"/>
    <mergeCell ref="O292:O298"/>
    <mergeCell ref="F292:F298"/>
    <mergeCell ref="G292:G298"/>
    <mergeCell ref="N219:N220"/>
    <mergeCell ref="O219:O220"/>
    <mergeCell ref="A222:A223"/>
    <mergeCell ref="B222:B223"/>
    <mergeCell ref="C222:C223"/>
    <mergeCell ref="D222:D223"/>
    <mergeCell ref="E222:E223"/>
    <mergeCell ref="F222:F223"/>
    <mergeCell ref="G222:G223"/>
    <mergeCell ref="H222:H223"/>
    <mergeCell ref="I222:I223"/>
    <mergeCell ref="J222:J223"/>
    <mergeCell ref="K222:K223"/>
    <mergeCell ref="L222:L223"/>
    <mergeCell ref="M222:M223"/>
    <mergeCell ref="N222:N223"/>
    <mergeCell ref="I219:I220"/>
    <mergeCell ref="J219:J220"/>
    <mergeCell ref="K219:K220"/>
    <mergeCell ref="L219:L220"/>
    <mergeCell ref="M219:M220"/>
    <mergeCell ref="D219:D220"/>
    <mergeCell ref="E219:E220"/>
    <mergeCell ref="F219:F220"/>
    <mergeCell ref="I301:I303"/>
    <mergeCell ref="J301:J303"/>
    <mergeCell ref="A301:A303"/>
    <mergeCell ref="B301:B303"/>
    <mergeCell ref="C301:C303"/>
    <mergeCell ref="D301:D303"/>
    <mergeCell ref="E301:E303"/>
    <mergeCell ref="O222:O223"/>
    <mergeCell ref="A225:A226"/>
    <mergeCell ref="B225:B226"/>
    <mergeCell ref="C225:C226"/>
    <mergeCell ref="D225:D226"/>
    <mergeCell ref="E225:E226"/>
    <mergeCell ref="F225:F226"/>
    <mergeCell ref="G225:G226"/>
    <mergeCell ref="H225:H226"/>
    <mergeCell ref="I225:I226"/>
    <mergeCell ref="J225:J226"/>
    <mergeCell ref="K225:K226"/>
    <mergeCell ref="L225:L226"/>
    <mergeCell ref="M225:M226"/>
    <mergeCell ref="N225:N226"/>
    <mergeCell ref="O225:O226"/>
    <mergeCell ref="H292:H298"/>
    <mergeCell ref="S301:S303"/>
    <mergeCell ref="T301:T303"/>
    <mergeCell ref="A305:A306"/>
    <mergeCell ref="B305:B306"/>
    <mergeCell ref="C305:C306"/>
    <mergeCell ref="D305:D306"/>
    <mergeCell ref="E305:E306"/>
    <mergeCell ref="F305:F306"/>
    <mergeCell ref="G305:G306"/>
    <mergeCell ref="H305:H306"/>
    <mergeCell ref="I305:I306"/>
    <mergeCell ref="J305:J306"/>
    <mergeCell ref="K305:K306"/>
    <mergeCell ref="L305:L306"/>
    <mergeCell ref="M305:M306"/>
    <mergeCell ref="N305:N306"/>
    <mergeCell ref="K301:K303"/>
    <mergeCell ref="L301:L303"/>
    <mergeCell ref="M301:M303"/>
    <mergeCell ref="N301:N303"/>
    <mergeCell ref="O301:O303"/>
    <mergeCell ref="F301:F303"/>
    <mergeCell ref="G301:G303"/>
    <mergeCell ref="H301:H303"/>
    <mergeCell ref="J313:J314"/>
    <mergeCell ref="K313:K314"/>
    <mergeCell ref="L313:L314"/>
    <mergeCell ref="O305:O306"/>
    <mergeCell ref="S305:S306"/>
    <mergeCell ref="T305:T306"/>
    <mergeCell ref="A308:A311"/>
    <mergeCell ref="B308:B311"/>
    <mergeCell ref="C308:C311"/>
    <mergeCell ref="D308:D311"/>
    <mergeCell ref="E308:E311"/>
    <mergeCell ref="F308:F311"/>
    <mergeCell ref="G308:G311"/>
    <mergeCell ref="H308:H311"/>
    <mergeCell ref="I308:I311"/>
    <mergeCell ref="J308:J311"/>
    <mergeCell ref="K308:K311"/>
    <mergeCell ref="L308:L311"/>
    <mergeCell ref="M308:M311"/>
    <mergeCell ref="A313:A314"/>
    <mergeCell ref="B313:B314"/>
    <mergeCell ref="C313:C314"/>
    <mergeCell ref="D313:D314"/>
    <mergeCell ref="E313:E314"/>
    <mergeCell ref="F313:F314"/>
    <mergeCell ref="G313:G314"/>
    <mergeCell ref="H313:H314"/>
    <mergeCell ref="I313:I314"/>
    <mergeCell ref="M313:M314"/>
    <mergeCell ref="N313:N314"/>
    <mergeCell ref="O313:O314"/>
    <mergeCell ref="S313:S314"/>
    <mergeCell ref="T313:T314"/>
    <mergeCell ref="N308:N311"/>
    <mergeCell ref="O308:O311"/>
    <mergeCell ref="S308:S311"/>
    <mergeCell ref="T308:T311"/>
  </mergeCells>
  <dataValidations count="19">
    <dataValidation type="list" allowBlank="1" showInputMessage="1" showErrorMessage="1" sqref="E43:E171">
      <formula1>$E$174:$E$180</formula1>
    </dataValidation>
    <dataValidation type="list" allowBlank="1" showInputMessage="1" showErrorMessage="1" sqref="E3:E30">
      <formula1>$E$33:$E$39</formula1>
    </dataValidation>
    <dataValidation type="list" allowBlank="1" showInputMessage="1" showErrorMessage="1" sqref="O3:O30">
      <formula1>$O$33:$O$35</formula1>
    </dataValidation>
    <dataValidation type="list" allowBlank="1" showInputMessage="1" showErrorMessage="1" sqref="P3:P30">
      <formula1>$P$33:$P$34</formula1>
    </dataValidation>
    <dataValidation type="list" allowBlank="1" showInputMessage="1" showErrorMessage="1" sqref="Q3:Q30">
      <formula1>$Q$33:$Q$36</formula1>
    </dataValidation>
    <dataValidation type="list" allowBlank="1" showInputMessage="1" showErrorMessage="1" sqref="R3:R30">
      <formula1>$R$33:$R$34</formula1>
    </dataValidation>
    <dataValidation type="list" allowBlank="1" showInputMessage="1" showErrorMessage="1" sqref="S3:S30">
      <formula1>$S$33:$S$36</formula1>
    </dataValidation>
    <dataValidation type="list" allowBlank="1" showInputMessage="1" showErrorMessage="1" sqref="T3:T30">
      <formula1>$T$33:$T$34</formula1>
    </dataValidation>
    <dataValidation type="list" allowBlank="1" showInputMessage="1" showErrorMessage="1" sqref="O43:O171">
      <formula1>$O$174:$O$176</formula1>
    </dataValidation>
    <dataValidation type="list" allowBlank="1" showInputMessage="1" showErrorMessage="1" sqref="P43:P171">
      <formula1>$P$174:$P$176</formula1>
    </dataValidation>
    <dataValidation type="list" allowBlank="1" showInputMessage="1" showErrorMessage="1" sqref="Q43:Q171">
      <formula1>$Q$174:$Q$175</formula1>
    </dataValidation>
    <dataValidation type="list" allowBlank="1" showInputMessage="1" showErrorMessage="1" sqref="F184:F195">
      <formula1>$F$198:$F$205</formula1>
    </dataValidation>
    <dataValidation type="list" allowBlank="1" showInputMessage="1" showErrorMessage="1" sqref="O184:O195">
      <formula1>$O$198:$O$205</formula1>
    </dataValidation>
    <dataValidation type="list" allowBlank="1" showInputMessage="1" showErrorMessage="1" sqref="S184:S195">
      <formula1>$S$198:$S$212</formula1>
    </dataValidation>
    <dataValidation type="list" allowBlank="1" showInputMessage="1" showErrorMessage="1" sqref="T184:T195">
      <formula1>$T$198:$T$206</formula1>
    </dataValidation>
    <dataValidation type="list" allowBlank="1" showInputMessage="1" showErrorMessage="1" sqref="S249:S267 S313:S314 S305:S306 S222:S223 S289:S290 S280:S282 S228:S233 S284:S287 S292:S298 S216:S217 S219:S220 S225:S226 S300:S303 S308:S311 S269:S278">
      <formula1>$S$318:$S$332</formula1>
    </dataValidation>
    <dataValidation type="list" allowBlank="1" showInputMessage="1" showErrorMessage="1" sqref="T216:T234 T237:T315">
      <formula1>$T$318:$T$326</formula1>
    </dataValidation>
    <dataValidation type="list" allowBlank="1" showInputMessage="1" showErrorMessage="1" sqref="O216:O234 O237:O315">
      <formula1>$O$318:$O$325</formula1>
    </dataValidation>
    <dataValidation type="list" allowBlank="1" showInputMessage="1" showErrorMessage="1" sqref="F216:F234 F237:F315">
      <formula1>$F$318:$F$325</formula1>
    </dataValidation>
  </dataValidations>
  <pageMargins left="0.7" right="0.7" top="0.78740157499999996" bottom="0.78740157499999996" header="0.3" footer="0.3"/>
  <pageSetup paperSize="9" scale="46" orientation="landscape" horizontalDpi="4294967293" verticalDpi="0" r:id="rId1"/>
  <rowBreaks count="6" manualBreakCount="6">
    <brk id="40" max="16383" man="1"/>
    <brk id="75" max="16383" man="1"/>
    <brk id="110" max="18" man="1"/>
    <brk id="181" max="16383" man="1"/>
    <brk id="213" max="16383" man="1"/>
    <brk id="2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Bjoern</dc:creator>
  <cp:lastModifiedBy>lena</cp:lastModifiedBy>
  <cp:lastPrinted>2015-07-10T05:32:00Z</cp:lastPrinted>
  <dcterms:created xsi:type="dcterms:W3CDTF">2015-07-09T07:32:36Z</dcterms:created>
  <dcterms:modified xsi:type="dcterms:W3CDTF">2016-03-06T12:30:53Z</dcterms:modified>
</cp:coreProperties>
</file>