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F1B4D191-57CB-4F4E-89E9-0855D60D763E}" xr6:coauthVersionLast="47" xr6:coauthVersionMax="47" xr10:uidLastSave="{00000000-0000-0000-0000-000000000000}"/>
  <bookViews>
    <workbookView xWindow="3360" yWindow="500" windowWidth="23600" windowHeight="15180" activeTab="2" xr2:uid="{7C4D7752-87F6-D74B-989F-4854CE9FBA7F}"/>
  </bookViews>
  <sheets>
    <sheet name="CF_Conservative" sheetId="1" r:id="rId1"/>
    <sheet name="CF_Moderate" sheetId="4" r:id="rId2"/>
    <sheet name="CF_Aggressive" sheetId="5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5" l="1"/>
  <c r="D37" i="5"/>
  <c r="M36" i="5"/>
  <c r="L36" i="5"/>
  <c r="K36" i="5"/>
  <c r="J36" i="5"/>
  <c r="E36" i="5"/>
  <c r="D36" i="5"/>
  <c r="M35" i="5"/>
  <c r="L35" i="5"/>
  <c r="K35" i="5"/>
  <c r="J35" i="5"/>
  <c r="B15" i="5" a="1"/>
  <c r="B15" i="5" s="1"/>
  <c r="G4" i="5"/>
  <c r="F4" i="5"/>
  <c r="E4" i="5"/>
  <c r="D4" i="5"/>
  <c r="C4" i="5"/>
  <c r="C1" i="5"/>
  <c r="C7" i="5" s="1"/>
  <c r="C13" i="5" s="1"/>
  <c r="D4" i="1"/>
  <c r="E4" i="1"/>
  <c r="F4" i="1"/>
  <c r="G4" i="1"/>
  <c r="C4" i="1"/>
  <c r="D4" i="4"/>
  <c r="E4" i="4"/>
  <c r="F4" i="4"/>
  <c r="G4" i="4"/>
  <c r="C4" i="4"/>
  <c r="D36" i="4"/>
  <c r="J35" i="4"/>
  <c r="E37" i="4"/>
  <c r="D37" i="4"/>
  <c r="M36" i="4"/>
  <c r="L36" i="4"/>
  <c r="K36" i="4"/>
  <c r="J36" i="4"/>
  <c r="E36" i="4"/>
  <c r="M35" i="4"/>
  <c r="L35" i="4"/>
  <c r="K35" i="4"/>
  <c r="B15" i="4" a="1"/>
  <c r="B15" i="4" s="1"/>
  <c r="C1" i="4"/>
  <c r="C14" i="4" s="1"/>
  <c r="M36" i="1"/>
  <c r="M35" i="1"/>
  <c r="L36" i="1"/>
  <c r="L35" i="1"/>
  <c r="K36" i="1"/>
  <c r="K35" i="1"/>
  <c r="J36" i="1"/>
  <c r="J35" i="1"/>
  <c r="E37" i="1"/>
  <c r="D37" i="1"/>
  <c r="E36" i="1"/>
  <c r="D36" i="1"/>
  <c r="B17" i="5" l="1"/>
  <c r="C6" i="5"/>
  <c r="C8" i="5" s="1"/>
  <c r="C10" i="5" s="1"/>
  <c r="C5" i="5" a="1"/>
  <c r="C5" i="5" s="1"/>
  <c r="C9" i="5"/>
  <c r="C14" i="5"/>
  <c r="D1" i="5"/>
  <c r="B17" i="4"/>
  <c r="D1" i="4"/>
  <c r="C7" i="4"/>
  <c r="C13" i="4" s="1"/>
  <c r="C5" i="4" a="1"/>
  <c r="C5" i="4" s="1"/>
  <c r="C6" i="4" s="1"/>
  <c r="C8" i="4" s="1"/>
  <c r="C10" i="4" s="1"/>
  <c r="C9" i="4"/>
  <c r="C1" i="1"/>
  <c r="C9" i="1" s="1"/>
  <c r="C11" i="5" l="1"/>
  <c r="C12" i="5" s="1"/>
  <c r="E1" i="5"/>
  <c r="D14" i="5"/>
  <c r="D9" i="5"/>
  <c r="D5" i="5" a="1"/>
  <c r="D5" i="5" s="1"/>
  <c r="D6" i="5" s="1"/>
  <c r="D8" i="5" s="1"/>
  <c r="D10" i="5" s="1"/>
  <c r="D7" i="5"/>
  <c r="D13" i="5" s="1"/>
  <c r="C11" i="4"/>
  <c r="C12" i="4" s="1"/>
  <c r="D14" i="4"/>
  <c r="D9" i="4"/>
  <c r="D5" i="4" a="1"/>
  <c r="D5" i="4" s="1"/>
  <c r="D6" i="4" s="1"/>
  <c r="D7" i="4"/>
  <c r="D13" i="4" s="1"/>
  <c r="E1" i="4"/>
  <c r="C14" i="1"/>
  <c r="B15" i="1" a="1"/>
  <c r="B15" i="1" s="1"/>
  <c r="B17" i="1" s="1"/>
  <c r="D1" i="1"/>
  <c r="C5" i="1" a="1"/>
  <c r="C5" i="1" s="1"/>
  <c r="C6" i="1" s="1"/>
  <c r="C7" i="1"/>
  <c r="C13" i="1" s="1"/>
  <c r="C15" i="5" l="1"/>
  <c r="D11" i="5"/>
  <c r="D12" i="5" s="1"/>
  <c r="E14" i="5"/>
  <c r="E5" i="5" a="1"/>
  <c r="E5" i="5" s="1"/>
  <c r="E6" i="5" s="1"/>
  <c r="E8" i="5" s="1"/>
  <c r="E10" i="5" s="1"/>
  <c r="E9" i="5"/>
  <c r="E7" i="5"/>
  <c r="E13" i="5" s="1"/>
  <c r="F1" i="5"/>
  <c r="C15" i="4"/>
  <c r="E14" i="4"/>
  <c r="E5" i="4" a="1"/>
  <c r="E5" i="4" s="1"/>
  <c r="E6" i="4" s="1"/>
  <c r="E9" i="4"/>
  <c r="E7" i="4"/>
  <c r="E13" i="4" s="1"/>
  <c r="F1" i="4"/>
  <c r="D8" i="4"/>
  <c r="D10" i="4" s="1"/>
  <c r="C8" i="1"/>
  <c r="C10" i="1" s="1"/>
  <c r="C11" i="1" s="1"/>
  <c r="C12" i="1" s="1"/>
  <c r="C15" i="1" s="1"/>
  <c r="E1" i="1"/>
  <c r="D7" i="1"/>
  <c r="D13" i="1" s="1"/>
  <c r="D14" i="1"/>
  <c r="D5" i="1" a="1"/>
  <c r="D5" i="1" s="1"/>
  <c r="D6" i="1" s="1"/>
  <c r="D9" i="1"/>
  <c r="D15" i="5" l="1"/>
  <c r="E11" i="5"/>
  <c r="E12" i="5" s="1"/>
  <c r="E15" i="5" s="1"/>
  <c r="F14" i="5"/>
  <c r="F9" i="5"/>
  <c r="F5" i="5" a="1"/>
  <c r="F5" i="5" s="1"/>
  <c r="F6" i="5" s="1"/>
  <c r="F7" i="5"/>
  <c r="F13" i="5" s="1"/>
  <c r="G1" i="5"/>
  <c r="C17" i="5"/>
  <c r="E8" i="4"/>
  <c r="E10" i="4" s="1"/>
  <c r="D11" i="4"/>
  <c r="D12" i="4" s="1"/>
  <c r="F14" i="4"/>
  <c r="F9" i="4"/>
  <c r="F7" i="4"/>
  <c r="F13" i="4" s="1"/>
  <c r="G1" i="4"/>
  <c r="F5" i="4" a="1"/>
  <c r="F5" i="4" s="1"/>
  <c r="F6" i="4" s="1"/>
  <c r="C17" i="4"/>
  <c r="D8" i="1"/>
  <c r="D10" i="1" s="1"/>
  <c r="F1" i="1"/>
  <c r="E14" i="1"/>
  <c r="E5" i="1" a="1"/>
  <c r="E5" i="1" s="1"/>
  <c r="E6" i="1" s="1"/>
  <c r="E9" i="1"/>
  <c r="E7" i="1"/>
  <c r="E13" i="1" s="1"/>
  <c r="C17" i="1"/>
  <c r="B22" i="5" l="1" a="1"/>
  <c r="B22" i="5" s="1"/>
  <c r="D17" i="5"/>
  <c r="E17" i="5" s="1"/>
  <c r="F8" i="5"/>
  <c r="F10" i="5" s="1"/>
  <c r="G9" i="5"/>
  <c r="G7" i="5"/>
  <c r="G13" i="5" s="1"/>
  <c r="G14" i="5"/>
  <c r="G5" i="5" a="1"/>
  <c r="G5" i="5" s="1"/>
  <c r="G6" i="5" s="1"/>
  <c r="F8" i="4"/>
  <c r="F10" i="4" s="1"/>
  <c r="G9" i="4"/>
  <c r="G7" i="4"/>
  <c r="G13" i="4" s="1"/>
  <c r="G5" i="4" a="1"/>
  <c r="G5" i="4" s="1"/>
  <c r="G6" i="4" s="1"/>
  <c r="G8" i="4" s="1"/>
  <c r="G10" i="4" s="1"/>
  <c r="G14" i="4"/>
  <c r="D15" i="4"/>
  <c r="E11" i="4"/>
  <c r="E12" i="4" s="1"/>
  <c r="E15" i="4" s="1"/>
  <c r="G1" i="1"/>
  <c r="F14" i="1"/>
  <c r="F5" i="1" a="1"/>
  <c r="F5" i="1" s="1"/>
  <c r="F6" i="1" s="1"/>
  <c r="F7" i="1"/>
  <c r="F13" i="1" s="1"/>
  <c r="F9" i="1"/>
  <c r="D11" i="1"/>
  <c r="D12" i="1" s="1"/>
  <c r="E8" i="1"/>
  <c r="E10" i="1" s="1"/>
  <c r="E11" i="1" s="1"/>
  <c r="E12" i="1" s="1"/>
  <c r="E15" i="1" s="1"/>
  <c r="F11" i="5" l="1"/>
  <c r="F12" i="5" s="1"/>
  <c r="G8" i="5"/>
  <c r="G10" i="5" s="1"/>
  <c r="D17" i="4"/>
  <c r="G11" i="4"/>
  <c r="G12" i="4" s="1"/>
  <c r="G15" i="4" s="1"/>
  <c r="F11" i="4"/>
  <c r="F12" i="4" s="1"/>
  <c r="D15" i="1"/>
  <c r="F8" i="1"/>
  <c r="F10" i="1" s="1"/>
  <c r="F11" i="1" s="1"/>
  <c r="F12" i="1" s="1"/>
  <c r="F15" i="1" s="1"/>
  <c r="G7" i="1"/>
  <c r="G13" i="1" s="1"/>
  <c r="G5" i="1" a="1"/>
  <c r="G5" i="1" s="1"/>
  <c r="G6" i="1" s="1"/>
  <c r="G14" i="1"/>
  <c r="G9" i="1"/>
  <c r="F15" i="5" l="1"/>
  <c r="G11" i="5"/>
  <c r="G12" i="5" s="1"/>
  <c r="G15" i="5" s="1"/>
  <c r="E17" i="4"/>
  <c r="F15" i="4"/>
  <c r="B21" i="4"/>
  <c r="G8" i="1"/>
  <c r="G10" i="1" s="1"/>
  <c r="G11" i="1" s="1"/>
  <c r="G12" i="1" s="1"/>
  <c r="G15" i="1" s="1"/>
  <c r="D17" i="1"/>
  <c r="B21" i="5" l="1"/>
  <c r="B19" i="5" a="1"/>
  <c r="B19" i="5" s="1"/>
  <c r="B20" i="5"/>
  <c r="F17" i="5"/>
  <c r="G17" i="5" s="1"/>
  <c r="F17" i="4"/>
  <c r="G17" i="4" s="1"/>
  <c r="B22" i="4" a="1"/>
  <c r="B22" i="4" s="1"/>
  <c r="B19" i="4" a="1"/>
  <c r="B19" i="4" s="1"/>
  <c r="B20" i="4"/>
  <c r="B19" i="1" a="1"/>
  <c r="B19" i="1" s="1"/>
  <c r="C37" i="1" s="1"/>
  <c r="B20" i="1"/>
  <c r="B21" i="1"/>
  <c r="E17" i="1"/>
  <c r="F17" i="1" s="1"/>
  <c r="G17" i="1" s="1"/>
  <c r="B22" i="1" a="1"/>
  <c r="B22" i="1" s="1"/>
  <c r="G27" i="5" l="1"/>
  <c r="C27" i="5"/>
  <c r="F27" i="5"/>
  <c r="C36" i="5"/>
  <c r="B37" i="5"/>
  <c r="B36" i="5"/>
  <c r="B27" i="5"/>
  <c r="C37" i="5"/>
  <c r="B27" i="4"/>
  <c r="B36" i="4"/>
  <c r="G27" i="4"/>
  <c r="C27" i="4"/>
  <c r="F27" i="4"/>
  <c r="C37" i="4"/>
  <c r="C36" i="4"/>
  <c r="B37" i="4"/>
  <c r="C27" i="1"/>
  <c r="G27" i="1"/>
  <c r="B37" i="1"/>
  <c r="C36" i="1"/>
  <c r="F27" i="1"/>
  <c r="B36" i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tc={95EFAD43-04F6-A74D-A69C-4F78BDB1E99F}</author>
    <author>tc={E1FE58F2-E999-1441-B1CF-5BCC1600FC2A}</author>
  </authors>
  <commentList>
    <comment ref="A5" authorId="0" shapeId="0" xr:uid="{95EFAD43-04F6-A74D-A69C-4F78BDB1E9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E1FE58F2-E999-1441-B1CF-5BCC1600FC2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tc={05B6E52B-EF4F-3746-B4A2-10B7B25A4576}</author>
    <author>tc={0DCF5D2B-33D3-7640-A777-9E62A3CCBD11}</author>
  </authors>
  <commentList>
    <comment ref="A5" authorId="0" shapeId="0" xr:uid="{05B6E52B-EF4F-3746-B4A2-10B7B25A4576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0DCF5D2B-33D3-7640-A777-9E62A3CCBD11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tc={CFDCFA05-B37F-E045-BF3E-3441CE7E5B64}</author>
    <author>tc={4E215FE6-7C4B-2F48-874E-F150C26D7AD9}</author>
  </authors>
  <commentList>
    <comment ref="A5" authorId="0" shapeId="0" xr:uid="{CFDCFA05-B37F-E045-BF3E-3441CE7E5B64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for inflation each year</t>
      </text>
    </comment>
    <comment ref="A22" authorId="1" shapeId="0" xr:uid="{4E215FE6-7C4B-2F48-874E-F150C26D7AD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years until cumulative cash flow is positive - not expected to be immediate, values are likely off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<sst xmlns="http://schemas.openxmlformats.org/spreadsheetml/2006/main" count="138" uniqueCount="44">
  <si>
    <t>variable_cost_savings</t>
  </si>
  <si>
    <t>scenario</t>
  </si>
  <si>
    <t>fixed_opex</t>
  </si>
  <si>
    <t>ebitda</t>
  </si>
  <si>
    <t>depreciation</t>
  </si>
  <si>
    <t>ebit</t>
  </si>
  <si>
    <t>interest_expense</t>
  </si>
  <si>
    <t>ebt</t>
  </si>
  <si>
    <t>corp_tax_rate</t>
  </si>
  <si>
    <t>conservative</t>
  </si>
  <si>
    <t>net_income</t>
  </si>
  <si>
    <t>depreciation_total</t>
  </si>
  <si>
    <t>principal_repayment</t>
  </si>
  <si>
    <t>free_cash_flow</t>
  </si>
  <si>
    <t>cumulative_fcf</t>
  </si>
  <si>
    <t>npv</t>
  </si>
  <si>
    <t>irr</t>
  </si>
  <si>
    <t>roi</t>
  </si>
  <si>
    <t>pay_back</t>
  </si>
  <si>
    <t>aggressive</t>
  </si>
  <si>
    <t>moderate</t>
  </si>
  <si>
    <t>year</t>
  </si>
  <si>
    <t>ebita = earnings before interest, taxes, and amortization</t>
  </si>
  <si>
    <t>NPV</t>
  </si>
  <si>
    <t>IRR</t>
  </si>
  <si>
    <t>unit_rate_scalar</t>
  </si>
  <si>
    <t>improvement_adj_pp</t>
  </si>
  <si>
    <t>unit_rate</t>
  </si>
  <si>
    <t>improvement_adj</t>
  </si>
  <si>
    <t>helper table</t>
  </si>
  <si>
    <t>driver</t>
  </si>
  <si>
    <t>low NPV</t>
  </si>
  <si>
    <t>high NPV</t>
  </si>
  <si>
    <t>change in NPV low</t>
  </si>
  <si>
    <t>change in NPV high</t>
  </si>
  <si>
    <t>sensitivity table</t>
  </si>
  <si>
    <t>unit rate scalar</t>
  </si>
  <si>
    <t>improvement ad pp</t>
  </si>
  <si>
    <t>low input</t>
  </si>
  <si>
    <t>high input</t>
  </si>
  <si>
    <t>NPV @ low</t>
  </si>
  <si>
    <t>NPV @ high</t>
  </si>
  <si>
    <t>IRR @ low</t>
  </si>
  <si>
    <t>IRR @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</si>
</sst>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Sensitivity - </a:t>
            </a:r>
            <a:r>
              <a:rPr lang="en-US" sz="1400" b="0" i="0" u="none" strike="noStrike" baseline="0">
                <a:effectLst/>
              </a:rPr>
              <a:t>±20% unit cost, ±5pp improvement</a:t>
            </a:r>
            <a:r>
              <a:rPr lang="en-US"/>
              <a:t> 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CF_Conservative!$A$36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CF_Conservative!$B$35:$C$35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CF_Conservative!$B$36:$C$36</c:f>
              <c:numCache>
                <c:formatCode>"$"#,##0.00_);[Red]\("$"#,##0.00\)</c:formatCode>
                <c:ptCount val="2"/>
                <c:pt idx="0">
                  <c:v>-32753215.815289542</c:v>
                </c:pt>
                <c:pt idx="1">
                  <c:v>32753215.815289497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B-B545-9036-AF4647D5D624}"/>
            </c:ext>
          </c:extLst>
        </c:ser>
        <c:ser>
          <c:idx val="1"/>
          <c:order val="1"/>
          <c:tx>
            <c:strRef>
              <c:f>CF_Conservative!$A$37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CF_Conservative!$B$35:$C$35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CF_Conservative!$B$37:$C$37</c:f>
              <c:numCache>
                <c:formatCode>"$"#,##0.00_);[Red]\("$"#,##0.00\)</c:formatCode>
                <c:ptCount val="2"/>
                <c:pt idx="0">
                  <c:v>-8188303.9538224041</c:v>
                </c:pt>
                <c:pt idx="1">
                  <c:v>8188303.9538223743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B-B545-9036-AF4647D5D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2880112"/>
        <c:axId val="895726464"/>
      </c:barChart>
      <c:catAx>
        <c:axId val="143288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26464"/>
        <c:crosses val="autoZero"/>
        <c:auto val="1"/>
        <c:lblAlgn val="ctr"/>
        <c:lblOffset val="100"/>
        <c:noMultiLvlLbl val="0"/>
      </c:catAx>
      <c:valAx>
        <c:axId val="89572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8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NPV Sensitivity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±20% unit cost, ±5pp improvement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CF_Moderate!$A$36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CF_Moderate!$B$35:$C$35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CF_Moderate!$B$36:$C$36</c:f>
              <c:numCache>
                <c:formatCode>"$"#,##0.00_);[Red]\("$"#,##0.00\)</c:formatCode>
                <c:ptCount val="2"/>
                <c:pt idx="0">
                  <c:v>-31002895.157908961</c:v>
                </c:pt>
                <c:pt idx="1">
                  <c:v>31002895.157908976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2-5F4E-B09C-991D59ED792A}"/>
            </c:ext>
          </c:extLst>
        </c:ser>
        <c:ser>
          <c:idx val="1"/>
          <c:order val="1"/>
          <c:tx>
            <c:strRef>
              <c:f>CF_Moderate!$A$37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CF_Moderate!$B$35:$C$35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CF_Moderate!$B$37:$C$37</c:f>
              <c:numCache>
                <c:formatCode>"$"#,##0.00_);[Red]\("$"#,##0.00\)</c:formatCode>
                <c:ptCount val="2"/>
                <c:pt idx="0">
                  <c:v>-7750723.7894772291</c:v>
                </c:pt>
                <c:pt idx="1">
                  <c:v>7750723.7894772291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2-5F4E-B09C-991D59ED7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751136"/>
        <c:axId val="971681888"/>
      </c:barChart>
      <c:catAx>
        <c:axId val="49075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681888"/>
        <c:crosses val="autoZero"/>
        <c:auto val="1"/>
        <c:lblAlgn val="ctr"/>
        <c:lblOffset val="100"/>
        <c:noMultiLvlLbl val="0"/>
      </c:catAx>
      <c:valAx>
        <c:axId val="9716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5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NPV Sensitivity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±20% unit cost, ±5pp improvement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CF_Aggressive!$A$36</c:f>
              <c:strCache>
                <c:ptCount val="1"/>
                <c:pt idx="0">
                  <c:v>unit_rate_scalar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CF_Aggressive!$B$35:$C$35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CF_Aggressive!$B$36:$C$36</c:f>
              <c:numCache>
                <c:formatCode>"$"#,##0.00_);[Red]\("$"#,##0.00\)</c:formatCode>
                <c:ptCount val="2"/>
                <c:pt idx="0">
                  <c:v>-28071422.735692397</c:v>
                </c:pt>
                <c:pt idx="1">
                  <c:v>28071422.735692441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7-2145-9AA7-731F23EECB3B}"/>
            </c:ext>
          </c:extLst>
        </c:ser>
        <c:ser>
          <c:idx val="1"/>
          <c:order val="1"/>
          <c:tx>
            <c:strRef>
              <c:f>CF_Aggressive!$A$37</c:f>
              <c:strCache>
                <c:ptCount val="1"/>
                <c:pt idx="0">
                  <c:v>improvement_adj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CF_Aggressive!$B$35:$C$35</c:f>
              <c:strCache>
                <c:ptCount val="2"/>
                <c:pt idx="0">
                  <c:v>change in NPV low</c:v>
                </c:pt>
                <c:pt idx="1">
                  <c:v>change in NPV high</c:v>
                </c:pt>
              </c:strCache>
            </c:strRef>
          </c:cat>
          <c:val>
            <c:numRef>
              <c:f>CF_Aggressive!$B$37:$C$37</c:f>
              <c:numCache>
                <c:formatCode>"$"#,##0.00_);[Red]\("$"#,##0.00\)</c:formatCode>
                <c:ptCount val="2"/>
                <c:pt idx="0">
                  <c:v>-7017855.6839231104</c:v>
                </c:pt>
                <c:pt idx="1">
                  <c:v>7017855.6839231253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7-2145-9AA7-731F23EEC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3641008"/>
        <c:axId val="572158016"/>
      </c:barChart>
      <c:catAx>
        <c:axId val="643641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8016"/>
        <c:crosses val="autoZero"/>
        <c:auto val="1"/>
        <c:lblAlgn val="ctr"/>
        <c:lblOffset val="100"/>
        <c:noMultiLvlLbl val="0"/>
      </c:catAx>
      <c:valAx>
        <c:axId val="57215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39</xdr:row>
      <xdr:rowOff>170542</xdr:rowOff>
    </xdr:from>
    <xdr:to>
      <xdr:col>5</xdr:col>
      <xdr:colOff>865276</xdr:colOff>
      <xdr:row>57</xdr:row>
      <xdr:rowOff>111647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0B496-E290-AAD1-4D00-9F81A3E42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728132</xdr:colOff>
      <xdr:row>39</xdr:row>
      <xdr:rowOff>101601</xdr:rowOff>
    </xdr:from>
    <xdr:to>
      <xdr:col>6</xdr:col>
      <xdr:colOff>1066800</xdr:colOff>
      <xdr:row>58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9398AC-9ACA-1D2B-149F-8AE1E7FAF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727880</xdr:colOff>
      <xdr:row>39</xdr:row>
      <xdr:rowOff>201683</xdr:rowOff>
    </xdr:from>
    <xdr:to>
      <xdr:col>7</xdr:col>
      <xdr:colOff>284328</xdr:colOff>
      <xdr:row>59</xdr:row>
      <xdr:rowOff>94776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4DB44-CA3C-75C6-990C-C060AEC8D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ai_scenario_simulation/Cost_Savings_Summary.xlsx" TargetMode="External"/><Relationship Id="rId1" Type="http://schemas.openxmlformats.org/officeDocument/2006/relationships/externalLinkPath" Target="/Users/lucymalmud/Desktop/hazira-port/ai_scenario_simulation/Cost_Savings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5yr_CashFlow_Hazira.xlsx" TargetMode="External"/><Relationship Id="rId1" Type="http://schemas.openxmlformats.org/officeDocument/2006/relationships/externalLinkPath" Target="5yr_CashFlow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vings_by_subprocess"/>
      <sheetName val="KPI_changes"/>
      <sheetName val="Totals"/>
    </sheetNames>
    <sheetDataSet>
      <sheetData sheetId="0"/>
      <sheetData sheetId="1"/>
      <sheetData sheetId="2">
        <row r="1">
          <cell r="C1" t="str">
            <v>savings_delta</v>
          </cell>
          <cell r="F1" t="str">
            <v>scenario</v>
          </cell>
        </row>
        <row r="2">
          <cell r="C2">
            <v>49367804</v>
          </cell>
          <cell r="F2" t="str">
            <v>aggressive</v>
          </cell>
        </row>
        <row r="3">
          <cell r="C3">
            <v>54523237.600000001</v>
          </cell>
          <cell r="F3" t="str">
            <v>moderate</v>
          </cell>
        </row>
        <row r="4">
          <cell r="C4">
            <v>57601438.799999997</v>
          </cell>
          <cell r="F4" t="str">
            <v>conservative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</sheetNames>
    <definedNames>
      <definedName name="discount_rate" refersTo="='Assumptions'!$C$14"/>
      <definedName name="fixed_opex" refersTo="='Capex'!$H$5"/>
      <definedName name="inflation" refersTo="='Assumptions'!$C$7"/>
      <definedName name="subtotal_capex" refersTo="='Capex'!$D$5"/>
    </definedNames>
    <sheetDataSet>
      <sheetData sheetId="0">
        <row r="5">
          <cell r="D5">
            <v>2030</v>
          </cell>
          <cell r="H5">
            <v>17.632999999999999</v>
          </cell>
        </row>
      </sheetData>
      <sheetData sheetId="1">
        <row r="5">
          <cell r="C5">
            <v>0.25</v>
          </cell>
          <cell r="D5" t="str">
            <v>decimal</v>
          </cell>
        </row>
        <row r="7">
          <cell r="C7">
            <v>0.04</v>
          </cell>
        </row>
        <row r="14">
          <cell r="C14">
            <v>0.1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preciation_Schedule"/>
      <sheetName val="Debt_Amortisation"/>
    </sheetNames>
    <sheetDataSet>
      <sheetData sheetId="0">
        <row r="1">
          <cell r="A1" t="str">
            <v>year</v>
          </cell>
          <cell r="K1" t="str">
            <v>total_depreciation</v>
          </cell>
        </row>
        <row r="2">
          <cell r="A2">
            <v>0</v>
          </cell>
          <cell r="K2">
            <v>0</v>
          </cell>
        </row>
        <row r="3">
          <cell r="A3">
            <v>1</v>
          </cell>
          <cell r="K3">
            <v>99.275000000000006</v>
          </cell>
        </row>
        <row r="4">
          <cell r="A4">
            <v>2</v>
          </cell>
          <cell r="K4">
            <v>99.275000000000006</v>
          </cell>
        </row>
        <row r="5">
          <cell r="A5">
            <v>3</v>
          </cell>
          <cell r="K5">
            <v>99.275000000000006</v>
          </cell>
        </row>
        <row r="6">
          <cell r="A6">
            <v>4</v>
          </cell>
          <cell r="K6">
            <v>99.275000000000006</v>
          </cell>
        </row>
        <row r="7">
          <cell r="A7">
            <v>5</v>
          </cell>
          <cell r="K7">
            <v>99.275000000000006</v>
          </cell>
        </row>
        <row r="8">
          <cell r="A8">
            <v>6</v>
          </cell>
          <cell r="K8">
            <v>99.275000000000006</v>
          </cell>
        </row>
        <row r="9">
          <cell r="A9">
            <v>7</v>
          </cell>
          <cell r="K9">
            <v>99.275000000000006</v>
          </cell>
        </row>
        <row r="10">
          <cell r="A10">
            <v>8</v>
          </cell>
          <cell r="K10">
            <v>99.275000000000006</v>
          </cell>
        </row>
        <row r="11">
          <cell r="A11">
            <v>9</v>
          </cell>
          <cell r="K11">
            <v>99.275000000000006</v>
          </cell>
        </row>
        <row r="12">
          <cell r="A12">
            <v>10</v>
          </cell>
          <cell r="K12">
            <v>93.574999999999989</v>
          </cell>
        </row>
        <row r="13">
          <cell r="A13">
            <v>11</v>
          </cell>
          <cell r="K13">
            <v>93.574999999999989</v>
          </cell>
        </row>
        <row r="14">
          <cell r="A14">
            <v>12</v>
          </cell>
          <cell r="K14">
            <v>93.574999999999989</v>
          </cell>
        </row>
        <row r="15">
          <cell r="A15">
            <v>13</v>
          </cell>
          <cell r="K15">
            <v>93.574999999999989</v>
          </cell>
        </row>
        <row r="16">
          <cell r="A16">
            <v>14</v>
          </cell>
          <cell r="K16">
            <v>93.574999999999989</v>
          </cell>
        </row>
        <row r="17">
          <cell r="A17">
            <v>15</v>
          </cell>
          <cell r="K17">
            <v>93.574999999999989</v>
          </cell>
        </row>
        <row r="18">
          <cell r="A18">
            <v>16</v>
          </cell>
          <cell r="K18">
            <v>93.574999999999989</v>
          </cell>
        </row>
        <row r="19">
          <cell r="A19">
            <v>17</v>
          </cell>
          <cell r="K19">
            <v>93.574999999999989</v>
          </cell>
        </row>
        <row r="20">
          <cell r="A20">
            <v>18</v>
          </cell>
          <cell r="K20">
            <v>93.574999999999989</v>
          </cell>
        </row>
        <row r="21">
          <cell r="A21">
            <v>19</v>
          </cell>
          <cell r="K21">
            <v>93.574999999999989</v>
          </cell>
        </row>
        <row r="22">
          <cell r="A22">
            <v>20</v>
          </cell>
          <cell r="K22">
            <v>93.574999999999989</v>
          </cell>
        </row>
      </sheetData>
      <sheetData sheetId="1">
        <row r="1">
          <cell r="A1" t="str">
            <v>year</v>
          </cell>
          <cell r="C1" t="str">
            <v>interest</v>
          </cell>
          <cell r="E1" t="str">
            <v>principal_repaid</v>
          </cell>
        </row>
        <row r="2">
          <cell r="A2">
            <v>0</v>
          </cell>
        </row>
        <row r="3">
          <cell r="A3">
            <v>1</v>
          </cell>
          <cell r="C3">
            <v>134.995</v>
          </cell>
          <cell r="E3">
            <v>91.322201514115136</v>
          </cell>
        </row>
        <row r="4">
          <cell r="A4">
            <v>2</v>
          </cell>
          <cell r="C4">
            <v>126.31939085615907</v>
          </cell>
          <cell r="E4">
            <v>99.997810657956066</v>
          </cell>
        </row>
        <row r="5">
          <cell r="A5">
            <v>3</v>
          </cell>
          <cell r="C5">
            <v>116.81959884365325</v>
          </cell>
          <cell r="E5">
            <v>109.49760267046189</v>
          </cell>
        </row>
        <row r="6">
          <cell r="A6">
            <v>4</v>
          </cell>
          <cell r="C6">
            <v>106.41732658995937</v>
          </cell>
          <cell r="E6">
            <v>119.89987492415577</v>
          </cell>
        </row>
        <row r="7">
          <cell r="A7">
            <v>5</v>
          </cell>
          <cell r="C7">
            <v>95.02683847216457</v>
          </cell>
          <cell r="E7">
            <v>131.29036304195057</v>
          </cell>
        </row>
        <row r="8">
          <cell r="A8">
            <v>6</v>
          </cell>
          <cell r="C8">
            <v>82.554253983179279</v>
          </cell>
          <cell r="E8">
            <v>143.76294753093586</v>
          </cell>
        </row>
        <row r="9">
          <cell r="A9">
            <v>7</v>
          </cell>
          <cell r="C9">
            <v>68.896773967740373</v>
          </cell>
          <cell r="E9">
            <v>157.42042754637475</v>
          </cell>
        </row>
        <row r="10">
          <cell r="A10">
            <v>8</v>
          </cell>
          <cell r="C10">
            <v>53.941833350834763</v>
          </cell>
          <cell r="E10">
            <v>172.37536816328037</v>
          </cell>
        </row>
        <row r="11">
          <cell r="A11">
            <v>9</v>
          </cell>
          <cell r="C11">
            <v>37.566173375323132</v>
          </cell>
          <cell r="E11">
            <v>188.75102813879201</v>
          </cell>
        </row>
        <row r="12">
          <cell r="A12">
            <v>10</v>
          </cell>
          <cell r="C12">
            <v>19.634825702137888</v>
          </cell>
          <cell r="E12">
            <v>206.68237581197724</v>
          </cell>
        </row>
        <row r="13">
          <cell r="E13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C378310-F3DF-C348-A1DB-126FD613D66D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95EFAD43-04F6-A74D-A69C-4F78BDB1E99F}">
    <text>Adjusted for inflation each year</text>
  </threadedComment>
  <threadedComment ref="A22" dT="2025-05-29T13:00:34.58" personId="{5C378310-F3DF-C348-A1DB-126FD613D66D}" id="{E1FE58F2-E999-1441-B1CF-5BCC1600FC2A}">
    <text>Number of years until cumulative cash flow is positive - not expected to be immediate, values are likely off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05B6E52B-EF4F-3746-B4A2-10B7B25A4576}">
    <text>Adjusted for inflation each year</text>
  </threadedComment>
  <threadedComment ref="A22" dT="2025-05-29T13:00:34.58" personId="{5C378310-F3DF-C348-A1DB-126FD613D66D}" id="{0DCF5D2B-33D3-7640-A777-9E62A3CCBD11}">
    <text>Number of years until cumulative cash flow is positive - not expected to be immediate, values are likely off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dT="2025-05-29T12:32:05.50" personId="{5C378310-F3DF-C348-A1DB-126FD613D66D}" id="{CFDCFA05-B37F-E045-BF3E-3441CE7E5B64}">
    <text>Adjusted for inflation each year</text>
  </threadedComment>
  <threadedComment ref="A22" dT="2025-05-29T13:00:34.58" personId="{5C378310-F3DF-C348-A1DB-126FD613D66D}" id="{4E215FE6-7C4B-2F48-874E-F150C26D7AD9}">
    <text>Number of years until cumulative cash flow is positive - not expected to be immediate, values are likely 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F95-0133-9445-9436-4C25E3326ACC}">
  <dimension ref="A1:M37"/>
  <sheetViews>
    <sheetView topLeftCell="D28" zoomScale="142" workbookViewId="0">
      <selection activeCell="H36" sqref="H36"/>
    </sheetView>
  </sheetViews>
  <sheetFormatPr baseColWidth="10" defaultRowHeight="16" x14ac:dyDescent="0.2"/>
  <cols>
    <col min="1" max="1" width="21.6640625" customWidth="1"/>
    <col min="2" max="2" width="22.83203125" customWidth="1"/>
    <col min="3" max="3" width="20.1640625" customWidth="1"/>
    <col min="4" max="4" width="16.5" customWidth="1"/>
    <col min="5" max="5" width="20.6640625" customWidth="1"/>
    <col min="6" max="6" width="19.33203125" customWidth="1"/>
    <col min="7" max="7" width="16.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9</v>
      </c>
    </row>
    <row r="4" spans="1:7" x14ac:dyDescent="0.2">
      <c r="A4" t="s">
        <v>0</v>
      </c>
      <c r="C4">
        <f>_xlfn.XLOOKUP($B$2,[1]Totals!$F:$F,[1]Totals!$C:$C) * $B$31 * (1+$B$32)</f>
        <v>57601438.799999997</v>
      </c>
      <c r="D4">
        <f>_xlfn.XLOOKUP($B$2,[1]Totals!$F:$F,[1]Totals!$C:$C) * $B$31 * (1+$B$32)</f>
        <v>57601438.799999997</v>
      </c>
      <c r="E4">
        <f>_xlfn.XLOOKUP($B$2,[1]Totals!$F:$F,[1]Totals!$C:$C) * $B$31 * (1+$B$32)</f>
        <v>57601438.799999997</v>
      </c>
      <c r="F4">
        <f>_xlfn.XLOOKUP($B$2,[1]Totals!$F:$F,[1]Totals!$C:$C) * $B$31 * (1+$B$32)</f>
        <v>57601438.799999997</v>
      </c>
      <c r="G4">
        <f>_xlfn.XLOOKUP($B$2,[1]Totals!$F:$F,[1]Totals!$C:$C) * $B$31 * (1+$B$32)</f>
        <v>57601438.799999997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57601421.166999996</v>
      </c>
      <c r="D6">
        <f t="shared" ref="D6:G6" si="1">D4-D5</f>
        <v>57601420.461679995</v>
      </c>
      <c r="E6">
        <f t="shared" si="1"/>
        <v>57601419.728147194</v>
      </c>
      <c r="F6">
        <f t="shared" si="1"/>
        <v>57601418.965273082</v>
      </c>
      <c r="G6">
        <f t="shared" si="1"/>
        <v>57601418.171884008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57601321.891999997</v>
      </c>
      <c r="D8">
        <f t="shared" ref="D8:F8" si="2">D6-D7</f>
        <v>57601321.186679997</v>
      </c>
      <c r="E8">
        <f t="shared" si="2"/>
        <v>57601320.453147195</v>
      </c>
      <c r="F8">
        <f t="shared" si="2"/>
        <v>57601319.690273084</v>
      </c>
      <c r="G8">
        <f>G6-G7</f>
        <v>57601318.896884009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57601186.897</v>
      </c>
      <c r="D10">
        <f t="shared" ref="D10:G10" si="3">D8-D9</f>
        <v>57601194.867289141</v>
      </c>
      <c r="E10">
        <f t="shared" si="3"/>
        <v>57601203.633548349</v>
      </c>
      <c r="F10">
        <f t="shared" si="3"/>
        <v>57601213.272946492</v>
      </c>
      <c r="G10">
        <f t="shared" si="3"/>
        <v>57601223.870045535</v>
      </c>
    </row>
    <row r="11" spans="1:7" x14ac:dyDescent="0.2">
      <c r="A11" t="s">
        <v>8</v>
      </c>
      <c r="C11">
        <f>MAX(0, C10*[2]Assumptions!$C$5)</f>
        <v>14400296.72425</v>
      </c>
      <c r="D11">
        <f>MAX(0, D10*[2]Assumptions!$C$5)</f>
        <v>14400298.716822285</v>
      </c>
      <c r="E11">
        <f>MAX(0, E10*[2]Assumptions!$C$5)</f>
        <v>14400300.908387087</v>
      </c>
      <c r="F11">
        <f>MAX(0, F10*[2]Assumptions!$C$5)</f>
        <v>14400303.318236623</v>
      </c>
      <c r="G11">
        <f>MAX(0, G10*[2]Assumptions!$C$5)</f>
        <v>14400305.967511384</v>
      </c>
    </row>
    <row r="12" spans="1:7" x14ac:dyDescent="0.2">
      <c r="A12" t="s">
        <v>10</v>
      </c>
      <c r="C12">
        <f>C10-C11</f>
        <v>43200890.172749996</v>
      </c>
      <c r="D12">
        <f t="shared" ref="D12:G12" si="4">D10-D11</f>
        <v>43200896.150466859</v>
      </c>
      <c r="E12">
        <f t="shared" si="4"/>
        <v>43200902.725161262</v>
      </c>
      <c r="F12">
        <f t="shared" si="4"/>
        <v>43200909.954709873</v>
      </c>
      <c r="G12">
        <f t="shared" si="4"/>
        <v>43200917.90253415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43200898.125548482</v>
      </c>
      <c r="D15">
        <f t="shared" ref="D15:G15" si="6">D12+D13-D14</f>
        <v>43200895.427656204</v>
      </c>
      <c r="E15">
        <f t="shared" si="6"/>
        <v>43200892.502558589</v>
      </c>
      <c r="F15">
        <f t="shared" si="6"/>
        <v>43200889.329834945</v>
      </c>
      <c r="G15">
        <f t="shared" si="6"/>
        <v>43200885.887171105</v>
      </c>
    </row>
    <row r="17" spans="1:7" x14ac:dyDescent="0.2">
      <c r="A17" t="s">
        <v>14</v>
      </c>
      <c r="B17">
        <f>B15</f>
        <v>-2030</v>
      </c>
      <c r="C17">
        <f>B17+C15</f>
        <v>43198868.125548482</v>
      </c>
      <c r="D17">
        <f t="shared" ref="D17:G17" si="7">C17+D15</f>
        <v>86399763.553204685</v>
      </c>
      <c r="E17">
        <f t="shared" si="7"/>
        <v>129600656.05576327</v>
      </c>
      <c r="F17">
        <f t="shared" si="7"/>
        <v>172801545.38559821</v>
      </c>
      <c r="G17">
        <f t="shared" si="7"/>
        <v>216002431.27276933</v>
      </c>
    </row>
    <row r="19" spans="1:7" x14ac:dyDescent="0.2">
      <c r="A19" t="s">
        <v>15</v>
      </c>
      <c r="B19" s="1" cm="1">
        <f t="array" ref="B19">NPV([2]!discount_rate, C15:G15)</f>
        <v>163765372.97993264</v>
      </c>
    </row>
    <row r="20" spans="1:7" x14ac:dyDescent="0.2">
      <c r="A20" t="s">
        <v>16</v>
      </c>
      <c r="B20" s="2">
        <f>IRR(B15:G15)</f>
        <v>21281.230603672837</v>
      </c>
    </row>
    <row r="21" spans="1:7" x14ac:dyDescent="0.2">
      <c r="A21" t="s">
        <v>17</v>
      </c>
      <c r="B21">
        <f>SUM(C12:G12)/-B15</f>
        <v>106406.16596336066</v>
      </c>
    </row>
    <row r="22" spans="1:7" x14ac:dyDescent="0.2">
      <c r="A22" t="s">
        <v>18</v>
      </c>
      <c r="B22" cm="1">
        <f t="array" ref="B22">MATCH(TRUE, C17:G17&gt;0, 0)</f>
        <v>1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163765372.97993264</v>
      </c>
      <c r="C27" s="2">
        <f>B20</f>
        <v>21281.230603672837</v>
      </c>
      <c r="F27" s="1">
        <f>B19</f>
        <v>163765372.97993264</v>
      </c>
      <c r="G27" s="2">
        <f>B20</f>
        <v>21281.230603672837</v>
      </c>
    </row>
    <row r="28" spans="1:7" x14ac:dyDescent="0.2">
      <c r="A28">
        <v>0.8</v>
      </c>
      <c r="B28">
        <f t="dataTable" ref="B28:C29" dt2D="0" dtr="0" r1="B31"/>
        <v>131012157.16464309</v>
      </c>
      <c r="C28">
        <v>17024.966652897419</v>
      </c>
      <c r="E28">
        <v>-0.05</v>
      </c>
      <c r="F28">
        <f t="dataTable" ref="F28:G29" dt2D="0" dtr="0" r1="B32" ca="1"/>
        <v>155577069.02611023</v>
      </c>
      <c r="G28">
        <v>20217.164615956342</v>
      </c>
    </row>
    <row r="29" spans="1:7" x14ac:dyDescent="0.2">
      <c r="A29">
        <v>1.2</v>
      </c>
      <c r="B29">
        <v>196518588.79522213</v>
      </c>
      <c r="C29">
        <v>25537.494554382007</v>
      </c>
      <c r="E29">
        <v>0.05</v>
      </c>
      <c r="F29">
        <v>171953676.93375501</v>
      </c>
      <c r="G29">
        <v>22345.296591362476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131012157.16464309</v>
      </c>
      <c r="K35">
        <f>B29</f>
        <v>196518588.79522213</v>
      </c>
      <c r="L35">
        <f>C28</f>
        <v>17024.966652897419</v>
      </c>
      <c r="M35">
        <f>C29</f>
        <v>25537.494554382007</v>
      </c>
    </row>
    <row r="36" spans="1:13" x14ac:dyDescent="0.2">
      <c r="A36" t="s">
        <v>25</v>
      </c>
      <c r="B36" s="1">
        <f>D36-B19</f>
        <v>-32753215.815289542</v>
      </c>
      <c r="C36" s="1">
        <f>E36-B19</f>
        <v>32753215.815289497</v>
      </c>
      <c r="D36">
        <f>B28</f>
        <v>131012157.16464309</v>
      </c>
      <c r="E36">
        <f>B29</f>
        <v>196518588.79522213</v>
      </c>
      <c r="G36" t="s">
        <v>37</v>
      </c>
      <c r="H36">
        <v>-0.05</v>
      </c>
      <c r="I36">
        <v>0.05</v>
      </c>
      <c r="J36">
        <f>F28</f>
        <v>155577069.02611023</v>
      </c>
      <c r="K36">
        <f>F29</f>
        <v>171953676.93375501</v>
      </c>
      <c r="L36">
        <f>G28</f>
        <v>20217.164615956342</v>
      </c>
      <c r="M36">
        <f>G29</f>
        <v>22345.296591362476</v>
      </c>
    </row>
    <row r="37" spans="1:13" x14ac:dyDescent="0.2">
      <c r="A37" t="s">
        <v>28</v>
      </c>
      <c r="B37" s="1">
        <f>D37-B19</f>
        <v>-8188303.9538224041</v>
      </c>
      <c r="C37" s="1">
        <f>E37-B19</f>
        <v>8188303.9538223743</v>
      </c>
      <c r="D37">
        <f>F28</f>
        <v>155577069.02611023</v>
      </c>
      <c r="E37">
        <f>F29</f>
        <v>171953676.93375501</v>
      </c>
    </row>
  </sheetData>
  <pageMargins left="0.7" right="0.7" top="0.75" bottom="0.75" header="0.3" footer="0.3"/>
  <ignoredErrors>
    <ignoredError sqref="C7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4F39-5E44-984E-B8C7-CCAE3B9A3DD2}">
  <dimension ref="A1:M37"/>
  <sheetViews>
    <sheetView topLeftCell="A26" zoomScale="75" workbookViewId="0">
      <selection activeCell="G34" sqref="G34:M36"/>
    </sheetView>
  </sheetViews>
  <sheetFormatPr baseColWidth="10" defaultRowHeight="16" x14ac:dyDescent="0.2"/>
  <cols>
    <col min="1" max="1" width="20" customWidth="1"/>
    <col min="2" max="2" width="27.1640625" customWidth="1"/>
    <col min="3" max="3" width="19" customWidth="1"/>
    <col min="6" max="6" width="16.6640625" customWidth="1"/>
    <col min="7" max="7" width="16.83203125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20</v>
      </c>
    </row>
    <row r="4" spans="1:7" x14ac:dyDescent="0.2">
      <c r="A4" t="s">
        <v>0</v>
      </c>
      <c r="C4">
        <f>_xlfn.XLOOKUP($B$2,[1]Totals!$F:$F,[1]Totals!$C:$C) * $B$31 * (1+$B$32)</f>
        <v>54523237.600000001</v>
      </c>
      <c r="D4">
        <f>_xlfn.XLOOKUP($B$2,[1]Totals!$F:$F,[1]Totals!$C:$C) * $B$31 * (1+$B$32)</f>
        <v>54523237.600000001</v>
      </c>
      <c r="E4">
        <f>_xlfn.XLOOKUP($B$2,[1]Totals!$F:$F,[1]Totals!$C:$C) * $B$31 * (1+$B$32)</f>
        <v>54523237.600000001</v>
      </c>
      <c r="F4">
        <f>_xlfn.XLOOKUP($B$2,[1]Totals!$F:$F,[1]Totals!$C:$C) * $B$31 * (1+$B$32)</f>
        <v>54523237.600000001</v>
      </c>
      <c r="G4">
        <f>_xlfn.XLOOKUP($B$2,[1]Totals!$F:$F,[1]Totals!$C:$C) * $B$31 * (1+$B$32)</f>
        <v>54523237.600000001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54523219.967</v>
      </c>
      <c r="D6">
        <f t="shared" ref="D6:G6" si="1">D4-D5</f>
        <v>54523219.26168</v>
      </c>
      <c r="E6">
        <f t="shared" si="1"/>
        <v>54523218.528147198</v>
      </c>
      <c r="F6">
        <f t="shared" si="1"/>
        <v>54523217.765273087</v>
      </c>
      <c r="G6">
        <f t="shared" si="1"/>
        <v>54523216.971884012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54523120.692000002</v>
      </c>
      <c r="D8">
        <f t="shared" ref="D8:F8" si="2">D6-D7</f>
        <v>54523119.986680001</v>
      </c>
      <c r="E8">
        <f t="shared" si="2"/>
        <v>54523119.2531472</v>
      </c>
      <c r="F8">
        <f t="shared" si="2"/>
        <v>54523118.490273088</v>
      </c>
      <c r="G8">
        <f>G6-G7</f>
        <v>54523117.696884014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54522985.697000004</v>
      </c>
      <c r="D10">
        <f t="shared" ref="D10:G10" si="3">D8-D9</f>
        <v>54522993.667289145</v>
      </c>
      <c r="E10">
        <f t="shared" si="3"/>
        <v>54523002.433548354</v>
      </c>
      <c r="F10">
        <f t="shared" si="3"/>
        <v>54523012.072946496</v>
      </c>
      <c r="G10">
        <f t="shared" si="3"/>
        <v>54523022.67004554</v>
      </c>
    </row>
    <row r="11" spans="1:7" x14ac:dyDescent="0.2">
      <c r="A11" t="s">
        <v>8</v>
      </c>
      <c r="C11">
        <f>MAX(0, C10*[2]Assumptions!$C$5)</f>
        <v>13630746.424250001</v>
      </c>
      <c r="D11">
        <f>MAX(0, D10*[2]Assumptions!$C$5)</f>
        <v>13630748.416822286</v>
      </c>
      <c r="E11">
        <f>MAX(0, E10*[2]Assumptions!$C$5)</f>
        <v>13630750.608387088</v>
      </c>
      <c r="F11">
        <f>MAX(0, F10*[2]Assumptions!$C$5)</f>
        <v>13630753.018236624</v>
      </c>
      <c r="G11">
        <f>MAX(0, G10*[2]Assumptions!$C$5)</f>
        <v>13630755.667511385</v>
      </c>
    </row>
    <row r="12" spans="1:7" x14ac:dyDescent="0.2">
      <c r="A12" t="s">
        <v>10</v>
      </c>
      <c r="C12">
        <f>C10-C11</f>
        <v>40892239.272750005</v>
      </c>
      <c r="D12">
        <f t="shared" ref="D12:G12" si="4">D10-D11</f>
        <v>40892245.250466861</v>
      </c>
      <c r="E12">
        <f t="shared" si="4"/>
        <v>40892251.825161263</v>
      </c>
      <c r="F12">
        <f t="shared" si="4"/>
        <v>40892259.054709874</v>
      </c>
      <c r="G12">
        <f t="shared" si="4"/>
        <v>40892267.002534151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40892247.225548491</v>
      </c>
      <c r="D15">
        <f t="shared" ref="D15:G15" si="6">D12+D13-D14</f>
        <v>40892244.527656205</v>
      </c>
      <c r="E15">
        <f t="shared" si="6"/>
        <v>40892241.60255859</v>
      </c>
      <c r="F15">
        <f t="shared" si="6"/>
        <v>40892238.429834947</v>
      </c>
      <c r="G15">
        <f t="shared" si="6"/>
        <v>40892234.987171106</v>
      </c>
    </row>
    <row r="17" spans="1:7" x14ac:dyDescent="0.2">
      <c r="A17" t="s">
        <v>14</v>
      </c>
      <c r="B17">
        <f>B15</f>
        <v>-2030</v>
      </c>
      <c r="C17">
        <f>B17+C15</f>
        <v>40890217.225548491</v>
      </c>
      <c r="D17">
        <f t="shared" ref="D17:G17" si="7">C17+D15</f>
        <v>81782461.753204703</v>
      </c>
      <c r="E17">
        <f t="shared" si="7"/>
        <v>122674703.35576329</v>
      </c>
      <c r="F17">
        <f t="shared" si="7"/>
        <v>163566941.78559822</v>
      </c>
      <c r="G17">
        <f t="shared" si="7"/>
        <v>204459176.77276933</v>
      </c>
    </row>
    <row r="19" spans="1:7" x14ac:dyDescent="0.2">
      <c r="A19" t="s">
        <v>15</v>
      </c>
      <c r="B19" s="1" cm="1">
        <f t="array" ref="B19">NPV([2]!discount_rate, C15:G15)</f>
        <v>155013769.69302973</v>
      </c>
    </row>
    <row r="20" spans="1:7" x14ac:dyDescent="0.2">
      <c r="A20" t="s">
        <v>16</v>
      </c>
      <c r="B20" s="2">
        <f>IRR(B15:G15)</f>
        <v>20143.964150451942</v>
      </c>
    </row>
    <row r="21" spans="1:7" x14ac:dyDescent="0.2">
      <c r="A21" t="s">
        <v>17</v>
      </c>
      <c r="B21">
        <f>SUM(C12:G12)/-B15</f>
        <v>100719.83369735081</v>
      </c>
    </row>
    <row r="22" spans="1:7" x14ac:dyDescent="0.2">
      <c r="A22" t="s">
        <v>18</v>
      </c>
      <c r="B22" cm="1">
        <f t="array" ref="B22">MATCH(TRUE, C17:G17&gt;0, 0)</f>
        <v>1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155013769.69302973</v>
      </c>
      <c r="C27" s="2">
        <f>B20</f>
        <v>20143.964150451942</v>
      </c>
      <c r="F27" s="1">
        <f>B19</f>
        <v>155013769.69302973</v>
      </c>
      <c r="G27" s="2">
        <f>B20</f>
        <v>20143.964150451942</v>
      </c>
    </row>
    <row r="28" spans="1:7" x14ac:dyDescent="0.2">
      <c r="A28">
        <v>0.8</v>
      </c>
      <c r="B28">
        <f t="dataTable" ref="B28:C29" dt2D="0" dtr="0" r1="B31" ca="1"/>
        <v>124010874.53512077</v>
      </c>
      <c r="C28">
        <v>16115.153490336432</v>
      </c>
      <c r="E28">
        <v>-0.05</v>
      </c>
      <c r="F28">
        <f t="dataTable" ref="F28:G29" dt2D="0" dtr="0" r1="B32"/>
        <v>147263045.9035525</v>
      </c>
      <c r="G28">
        <v>19136.761485405248</v>
      </c>
    </row>
    <row r="29" spans="1:7" x14ac:dyDescent="0.2">
      <c r="A29">
        <v>1.2</v>
      </c>
      <c r="B29">
        <v>186016664.85093871</v>
      </c>
      <c r="C29">
        <v>24172.774810539202</v>
      </c>
      <c r="E29">
        <v>0.05</v>
      </c>
      <c r="F29">
        <v>162764493.48250696</v>
      </c>
      <c r="G29">
        <v>21151.166815489818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124010874.53512077</v>
      </c>
      <c r="K35">
        <f>B29</f>
        <v>186016664.85093871</v>
      </c>
      <c r="L35">
        <f>C28</f>
        <v>16115.153490336432</v>
      </c>
      <c r="M35">
        <f>C29</f>
        <v>24172.774810539202</v>
      </c>
    </row>
    <row r="36" spans="1:13" x14ac:dyDescent="0.2">
      <c r="A36" t="s">
        <v>25</v>
      </c>
      <c r="B36" s="1">
        <f>D36-B19</f>
        <v>-31002895.157908961</v>
      </c>
      <c r="C36" s="1">
        <f>E36-B19</f>
        <v>31002895.157908976</v>
      </c>
      <c r="D36">
        <f>B28</f>
        <v>124010874.53512077</v>
      </c>
      <c r="E36">
        <f>B29</f>
        <v>186016664.85093871</v>
      </c>
      <c r="G36" t="s">
        <v>37</v>
      </c>
      <c r="H36">
        <v>-0.05</v>
      </c>
      <c r="I36">
        <v>0.05</v>
      </c>
      <c r="J36">
        <f>F28</f>
        <v>147263045.9035525</v>
      </c>
      <c r="K36">
        <f>F29</f>
        <v>162764493.48250696</v>
      </c>
      <c r="L36">
        <f>G28</f>
        <v>19136.761485405248</v>
      </c>
      <c r="M36">
        <f>G29</f>
        <v>21151.166815489818</v>
      </c>
    </row>
    <row r="37" spans="1:13" x14ac:dyDescent="0.2">
      <c r="A37" t="s">
        <v>28</v>
      </c>
      <c r="B37" s="1">
        <f>D37-B19</f>
        <v>-7750723.7894772291</v>
      </c>
      <c r="C37" s="1">
        <f>E37-B19</f>
        <v>7750723.7894772291</v>
      </c>
      <c r="D37">
        <f>F28</f>
        <v>147263045.9035525</v>
      </c>
      <c r="E37">
        <f>F29</f>
        <v>162764493.48250696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6CA4-3E9F-D243-87CE-D7568CEC2E0C}">
  <dimension ref="A1:M37"/>
  <sheetViews>
    <sheetView tabSelected="1" topLeftCell="A9" zoomScale="67" workbookViewId="0">
      <selection activeCell="G34" sqref="G34:M36"/>
    </sheetView>
  </sheetViews>
  <sheetFormatPr baseColWidth="10" defaultRowHeight="16" x14ac:dyDescent="0.2"/>
  <cols>
    <col min="1" max="1" width="19.5" customWidth="1"/>
    <col min="2" max="2" width="24" customWidth="1"/>
    <col min="3" max="3" width="15.1640625" bestFit="1" customWidth="1"/>
    <col min="4" max="5" width="13" bestFit="1" customWidth="1"/>
    <col min="6" max="6" width="19.33203125" customWidth="1"/>
    <col min="7" max="7" width="13" bestFit="1" customWidth="1"/>
    <col min="8" max="9" width="11" bestFit="1" customWidth="1"/>
    <col min="10" max="11" width="13" bestFit="1" customWidth="1"/>
    <col min="12" max="13" width="11" bestFit="1" customWidth="1"/>
  </cols>
  <sheetData>
    <row r="1" spans="1:7" x14ac:dyDescent="0.2">
      <c r="A1" t="s">
        <v>21</v>
      </c>
      <c r="B1">
        <v>0</v>
      </c>
      <c r="C1">
        <f>B1+1</f>
        <v>1</v>
      </c>
      <c r="D1">
        <f t="shared" ref="D1:G1" si="0">C1+1</f>
        <v>2</v>
      </c>
      <c r="E1">
        <f t="shared" si="0"/>
        <v>3</v>
      </c>
      <c r="F1">
        <f t="shared" si="0"/>
        <v>4</v>
      </c>
      <c r="G1">
        <f t="shared" si="0"/>
        <v>5</v>
      </c>
    </row>
    <row r="2" spans="1:7" x14ac:dyDescent="0.2">
      <c r="A2" t="s">
        <v>1</v>
      </c>
      <c r="B2" t="s">
        <v>19</v>
      </c>
    </row>
    <row r="4" spans="1:7" x14ac:dyDescent="0.2">
      <c r="A4" t="s">
        <v>0</v>
      </c>
      <c r="C4">
        <f>_xlfn.XLOOKUP($B$2,[1]Totals!$F:$F,[1]Totals!$C:$C) * $B$31 * (1+$B$32)</f>
        <v>49367804</v>
      </c>
      <c r="D4">
        <f>_xlfn.XLOOKUP($B$2,[1]Totals!$F:$F,[1]Totals!$C:$C) * $B$31 * (1+$B$32)</f>
        <v>49367804</v>
      </c>
      <c r="E4">
        <f>_xlfn.XLOOKUP($B$2,[1]Totals!$F:$F,[1]Totals!$C:$C) * $B$31 * (1+$B$32)</f>
        <v>49367804</v>
      </c>
      <c r="F4">
        <f>_xlfn.XLOOKUP($B$2,[1]Totals!$F:$F,[1]Totals!$C:$C) * $B$31 * (1+$B$32)</f>
        <v>49367804</v>
      </c>
      <c r="G4">
        <f>_xlfn.XLOOKUP($B$2,[1]Totals!$F:$F,[1]Totals!$C:$C) * $B$31 * (1+$B$32)</f>
        <v>49367804</v>
      </c>
    </row>
    <row r="5" spans="1:7" x14ac:dyDescent="0.2">
      <c r="A5" t="s">
        <v>2</v>
      </c>
      <c r="C5" cm="1">
        <f t="array" ref="C5">[2]!fixed_opex*(1+[2]!inflation)^(C1-1)</f>
        <v>17.632999999999999</v>
      </c>
      <c r="D5" cm="1">
        <f t="array" ref="D5">[2]!fixed_opex*(1+[2]!inflation)^(D1-1)</f>
        <v>18.33832</v>
      </c>
      <c r="E5" cm="1">
        <f t="array" ref="E5">[2]!fixed_opex*(1+[2]!inflation)^(E1-1)</f>
        <v>19.071852800000002</v>
      </c>
      <c r="F5" cm="1">
        <f t="array" ref="F5">[2]!fixed_opex*(1+[2]!inflation)^(F1-1)</f>
        <v>19.834726912000001</v>
      </c>
      <c r="G5" cm="1">
        <f t="array" ref="G5">[2]!fixed_opex*(1+[2]!inflation)^(G1-1)</f>
        <v>20.628115988480001</v>
      </c>
    </row>
    <row r="6" spans="1:7" x14ac:dyDescent="0.2">
      <c r="A6" t="s">
        <v>3</v>
      </c>
      <c r="C6">
        <f>C4-C5</f>
        <v>49367786.366999999</v>
      </c>
      <c r="D6">
        <f t="shared" ref="D6:G6" si="1">D4-D5</f>
        <v>49367785.661679998</v>
      </c>
      <c r="E6">
        <f t="shared" si="1"/>
        <v>49367784.928147197</v>
      </c>
      <c r="F6">
        <f t="shared" si="1"/>
        <v>49367784.165273085</v>
      </c>
      <c r="G6">
        <f t="shared" si="1"/>
        <v>49367783.371884011</v>
      </c>
    </row>
    <row r="7" spans="1:7" x14ac:dyDescent="0.2">
      <c r="A7" t="s">
        <v>11</v>
      </c>
      <c r="C7">
        <f>_xlfn.XLOOKUP(C1,[3]Depreciation_Schedule!$A:$A,[3]Depreciation_Schedule!$K:$K)</f>
        <v>99.275000000000006</v>
      </c>
      <c r="D7">
        <f>_xlfn.XLOOKUP(D1,[3]Depreciation_Schedule!$A:$A,[3]Depreciation_Schedule!$K:$K)</f>
        <v>99.275000000000006</v>
      </c>
      <c r="E7">
        <f>_xlfn.XLOOKUP(E1,[3]Depreciation_Schedule!$A:$A,[3]Depreciation_Schedule!$K:$K)</f>
        <v>99.275000000000006</v>
      </c>
      <c r="F7">
        <f>_xlfn.XLOOKUP(F1,[3]Depreciation_Schedule!$A:$A,[3]Depreciation_Schedule!$K:$K)</f>
        <v>99.275000000000006</v>
      </c>
      <c r="G7">
        <f>_xlfn.XLOOKUP(G1,[3]Depreciation_Schedule!$A:$A,[3]Depreciation_Schedule!$K:$K)</f>
        <v>99.275000000000006</v>
      </c>
    </row>
    <row r="8" spans="1:7" x14ac:dyDescent="0.2">
      <c r="A8" t="s">
        <v>5</v>
      </c>
      <c r="C8">
        <f>C6-C7</f>
        <v>49367687.092</v>
      </c>
      <c r="D8">
        <f t="shared" ref="D8:F8" si="2">D6-D7</f>
        <v>49367686.38668</v>
      </c>
      <c r="E8">
        <f t="shared" si="2"/>
        <v>49367685.653147198</v>
      </c>
      <c r="F8">
        <f t="shared" si="2"/>
        <v>49367684.890273087</v>
      </c>
      <c r="G8">
        <f>G6-G7</f>
        <v>49367684.096884012</v>
      </c>
    </row>
    <row r="9" spans="1:7" x14ac:dyDescent="0.2">
      <c r="A9" t="s">
        <v>6</v>
      </c>
      <c r="C9">
        <f>_xlfn.XLOOKUP(C1,[3]Debt_Amortisation!$A:$A,[3]Debt_Amortisation!$C:$C)</f>
        <v>134.995</v>
      </c>
      <c r="D9">
        <f>_xlfn.XLOOKUP(D1,[3]Debt_Amortisation!$A:$A,[3]Debt_Amortisation!$C:$C)</f>
        <v>126.31939085615907</v>
      </c>
      <c r="E9">
        <f>_xlfn.XLOOKUP(E1,[3]Debt_Amortisation!$A:$A,[3]Debt_Amortisation!$C:$C)</f>
        <v>116.81959884365325</v>
      </c>
      <c r="F9">
        <f>_xlfn.XLOOKUP(F1,[3]Debt_Amortisation!$A:$A,[3]Debt_Amortisation!$C:$C)</f>
        <v>106.41732658995937</v>
      </c>
      <c r="G9">
        <f>_xlfn.XLOOKUP(G1,[3]Debt_Amortisation!$A:$A,[3]Debt_Amortisation!$C:$C)</f>
        <v>95.02683847216457</v>
      </c>
    </row>
    <row r="10" spans="1:7" x14ac:dyDescent="0.2">
      <c r="A10" t="s">
        <v>7</v>
      </c>
      <c r="C10">
        <f>C8-C9</f>
        <v>49367552.097000003</v>
      </c>
      <c r="D10">
        <f t="shared" ref="D10:G10" si="3">D8-D9</f>
        <v>49367560.067289144</v>
      </c>
      <c r="E10">
        <f t="shared" si="3"/>
        <v>49367568.833548352</v>
      </c>
      <c r="F10">
        <f t="shared" si="3"/>
        <v>49367578.472946495</v>
      </c>
      <c r="G10">
        <f t="shared" si="3"/>
        <v>49367589.070045538</v>
      </c>
    </row>
    <row r="11" spans="1:7" x14ac:dyDescent="0.2">
      <c r="A11" t="s">
        <v>8</v>
      </c>
      <c r="C11">
        <f>MAX(0, C10*[2]Assumptions!$C$5)</f>
        <v>12341888.024250001</v>
      </c>
      <c r="D11">
        <f>MAX(0, D10*[2]Assumptions!$C$5)</f>
        <v>12341890.016822286</v>
      </c>
      <c r="E11">
        <f>MAX(0, E10*[2]Assumptions!$C$5)</f>
        <v>12341892.208387088</v>
      </c>
      <c r="F11">
        <f>MAX(0, F10*[2]Assumptions!$C$5)</f>
        <v>12341894.618236624</v>
      </c>
      <c r="G11">
        <f>MAX(0, G10*[2]Assumptions!$C$5)</f>
        <v>12341897.267511385</v>
      </c>
    </row>
    <row r="12" spans="1:7" x14ac:dyDescent="0.2">
      <c r="A12" t="s">
        <v>10</v>
      </c>
      <c r="C12">
        <f>C10-C11</f>
        <v>37025664.072750002</v>
      </c>
      <c r="D12">
        <f t="shared" ref="D12:G12" si="4">D10-D11</f>
        <v>37025670.050466858</v>
      </c>
      <c r="E12">
        <f t="shared" si="4"/>
        <v>37025676.62516126</v>
      </c>
      <c r="F12">
        <f t="shared" si="4"/>
        <v>37025683.854709871</v>
      </c>
      <c r="G12">
        <f t="shared" si="4"/>
        <v>37025691.802534156</v>
      </c>
    </row>
    <row r="13" spans="1:7" x14ac:dyDescent="0.2">
      <c r="A13" t="s">
        <v>4</v>
      </c>
      <c r="C13">
        <f>C7</f>
        <v>99.275000000000006</v>
      </c>
      <c r="D13">
        <f t="shared" ref="D13:G13" si="5">D7</f>
        <v>99.275000000000006</v>
      </c>
      <c r="E13">
        <f t="shared" si="5"/>
        <v>99.275000000000006</v>
      </c>
      <c r="F13">
        <f t="shared" si="5"/>
        <v>99.275000000000006</v>
      </c>
      <c r="G13">
        <f t="shared" si="5"/>
        <v>99.275000000000006</v>
      </c>
    </row>
    <row r="14" spans="1:7" x14ac:dyDescent="0.2">
      <c r="A14" t="s">
        <v>12</v>
      </c>
      <c r="C14">
        <f>_xlfn.XLOOKUP(C1,[3]Debt_Amortisation!$A:$A,[3]Debt_Amortisation!$E:$E)</f>
        <v>91.322201514115136</v>
      </c>
      <c r="D14">
        <f>_xlfn.XLOOKUP(D1,[3]Debt_Amortisation!$A:$A,[3]Debt_Amortisation!$E:$E)</f>
        <v>99.997810657956066</v>
      </c>
      <c r="E14">
        <f>_xlfn.XLOOKUP(E1,[3]Debt_Amortisation!$A:$A,[3]Debt_Amortisation!$E:$E)</f>
        <v>109.49760267046189</v>
      </c>
      <c r="F14">
        <f>_xlfn.XLOOKUP(F1,[3]Debt_Amortisation!$A:$A,[3]Debt_Amortisation!$E:$E)</f>
        <v>119.89987492415577</v>
      </c>
      <c r="G14">
        <f>_xlfn.XLOOKUP(G1,[3]Debt_Amortisation!$A:$A,[3]Debt_Amortisation!$E:$E)</f>
        <v>131.29036304195057</v>
      </c>
    </row>
    <row r="15" spans="1:7" x14ac:dyDescent="0.2">
      <c r="A15" t="s">
        <v>13</v>
      </c>
      <c r="B15" cm="1">
        <f t="array" ref="B15">-[2]!subtotal_capex</f>
        <v>-2030</v>
      </c>
      <c r="C15">
        <f>C12+C13-C14</f>
        <v>37025672.025548488</v>
      </c>
      <c r="D15">
        <f t="shared" ref="D15:G15" si="6">D12+D13-D14</f>
        <v>37025669.327656202</v>
      </c>
      <c r="E15">
        <f t="shared" si="6"/>
        <v>37025666.402558587</v>
      </c>
      <c r="F15">
        <f t="shared" si="6"/>
        <v>37025663.229834944</v>
      </c>
      <c r="G15">
        <f t="shared" si="6"/>
        <v>37025659.787171111</v>
      </c>
    </row>
    <row r="17" spans="1:7" x14ac:dyDescent="0.2">
      <c r="A17" t="s">
        <v>14</v>
      </c>
      <c r="B17">
        <f>B15</f>
        <v>-2030</v>
      </c>
      <c r="C17">
        <f>B17+C15</f>
        <v>37023642.025548488</v>
      </c>
      <c r="D17">
        <f t="shared" ref="D17:G17" si="7">C17+D15</f>
        <v>74049311.353204697</v>
      </c>
      <c r="E17">
        <f t="shared" si="7"/>
        <v>111074977.75576329</v>
      </c>
      <c r="F17">
        <f t="shared" si="7"/>
        <v>148100640.98559824</v>
      </c>
      <c r="G17">
        <f t="shared" si="7"/>
        <v>185126300.77276933</v>
      </c>
    </row>
    <row r="19" spans="1:7" x14ac:dyDescent="0.2">
      <c r="A19" t="s">
        <v>15</v>
      </c>
      <c r="B19" s="1" cm="1">
        <f t="array" ref="B19">NPV([2]!discount_rate, C15:G15)</f>
        <v>140356407.58194691</v>
      </c>
    </row>
    <row r="20" spans="1:7" x14ac:dyDescent="0.2">
      <c r="A20" t="s">
        <v>16</v>
      </c>
      <c r="B20" s="2">
        <f>IRR(B15:G15)</f>
        <v>18239.247303166576</v>
      </c>
    </row>
    <row r="21" spans="1:7" x14ac:dyDescent="0.2">
      <c r="A21" t="s">
        <v>17</v>
      </c>
      <c r="B21">
        <f>SUM(C12:G12)/-B15</f>
        <v>91196.249460897612</v>
      </c>
    </row>
    <row r="22" spans="1:7" x14ac:dyDescent="0.2">
      <c r="A22" t="s">
        <v>18</v>
      </c>
      <c r="B22" cm="1">
        <f t="array" ref="B22">MATCH(TRUE, C17:G17&gt;0, 0)</f>
        <v>1</v>
      </c>
    </row>
    <row r="24" spans="1:7" x14ac:dyDescent="0.2">
      <c r="A24" t="s">
        <v>22</v>
      </c>
    </row>
    <row r="26" spans="1:7" x14ac:dyDescent="0.2">
      <c r="A26" t="s">
        <v>27</v>
      </c>
      <c r="B26" t="s">
        <v>23</v>
      </c>
      <c r="C26" t="s">
        <v>24</v>
      </c>
      <c r="E26" t="s">
        <v>28</v>
      </c>
      <c r="F26" t="s">
        <v>23</v>
      </c>
      <c r="G26" t="s">
        <v>24</v>
      </c>
    </row>
    <row r="27" spans="1:7" x14ac:dyDescent="0.2">
      <c r="B27" s="1">
        <f>B19</f>
        <v>140356407.58194691</v>
      </c>
      <c r="C27" s="2">
        <f>B20</f>
        <v>18239.247303166576</v>
      </c>
      <c r="F27" s="1">
        <f>B19</f>
        <v>140356407.58194691</v>
      </c>
      <c r="G27" s="2">
        <f>B20</f>
        <v>18239.247303166576</v>
      </c>
    </row>
    <row r="28" spans="1:7" x14ac:dyDescent="0.2">
      <c r="A28">
        <v>0.8</v>
      </c>
      <c r="B28">
        <f t="dataTable" ref="B28:C29" dt2D="0" dtr="0" r1="B31" ca="1"/>
        <v>112284984.84625451</v>
      </c>
      <c r="C28">
        <v>14591.380012486705</v>
      </c>
      <c r="E28">
        <v>-0.05</v>
      </c>
      <c r="F28">
        <f t="dataTable" ref="F28:G29" dt2D="0" dtr="0" r1="B32"/>
        <v>133338551.8980238</v>
      </c>
      <c r="G28">
        <v>17327.280480486115</v>
      </c>
    </row>
    <row r="29" spans="1:7" x14ac:dyDescent="0.2">
      <c r="A29">
        <v>1.2</v>
      </c>
      <c r="B29">
        <v>168427830.31763935</v>
      </c>
      <c r="C29">
        <v>21887.114593789356</v>
      </c>
      <c r="E29">
        <v>0.05</v>
      </c>
      <c r="F29">
        <v>147374263.26587003</v>
      </c>
      <c r="G29">
        <v>19151.21412582108</v>
      </c>
    </row>
    <row r="31" spans="1:7" x14ac:dyDescent="0.2">
      <c r="A31" t="s">
        <v>25</v>
      </c>
      <c r="B31">
        <v>1</v>
      </c>
    </row>
    <row r="32" spans="1:7" x14ac:dyDescent="0.2">
      <c r="A32" t="s">
        <v>26</v>
      </c>
      <c r="B32">
        <v>0</v>
      </c>
    </row>
    <row r="34" spans="1:13" x14ac:dyDescent="0.2">
      <c r="A34" s="3" t="s">
        <v>29</v>
      </c>
      <c r="G34" s="3" t="s">
        <v>35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</row>
    <row r="35" spans="1:13" x14ac:dyDescent="0.2">
      <c r="A35" t="s">
        <v>30</v>
      </c>
      <c r="B35" t="s">
        <v>33</v>
      </c>
      <c r="C35" t="s">
        <v>34</v>
      </c>
      <c r="D35" t="s">
        <v>31</v>
      </c>
      <c r="E35" t="s">
        <v>32</v>
      </c>
      <c r="G35" t="s">
        <v>36</v>
      </c>
      <c r="H35">
        <v>0.8</v>
      </c>
      <c r="I35">
        <v>1.2</v>
      </c>
      <c r="J35">
        <f>B28</f>
        <v>112284984.84625451</v>
      </c>
      <c r="K35">
        <f>B29</f>
        <v>168427830.31763935</v>
      </c>
      <c r="L35">
        <f>C28</f>
        <v>14591.380012486705</v>
      </c>
      <c r="M35">
        <f>C29</f>
        <v>21887.114593789356</v>
      </c>
    </row>
    <row r="36" spans="1:13" x14ac:dyDescent="0.2">
      <c r="A36" t="s">
        <v>25</v>
      </c>
      <c r="B36" s="1">
        <f>D36-B19</f>
        <v>-28071422.735692397</v>
      </c>
      <c r="C36" s="1">
        <f>E36-B19</f>
        <v>28071422.735692441</v>
      </c>
      <c r="D36">
        <f>B28</f>
        <v>112284984.84625451</v>
      </c>
      <c r="E36">
        <f>B29</f>
        <v>168427830.31763935</v>
      </c>
      <c r="G36" t="s">
        <v>37</v>
      </c>
      <c r="H36">
        <v>-0.05</v>
      </c>
      <c r="I36">
        <v>0.05</v>
      </c>
      <c r="J36">
        <f>F28</f>
        <v>133338551.8980238</v>
      </c>
      <c r="K36">
        <f>F29</f>
        <v>147374263.26587003</v>
      </c>
      <c r="L36">
        <f>G28</f>
        <v>17327.280480486115</v>
      </c>
      <c r="M36">
        <f>G29</f>
        <v>19151.21412582108</v>
      </c>
    </row>
    <row r="37" spans="1:13" x14ac:dyDescent="0.2">
      <c r="A37" t="s">
        <v>28</v>
      </c>
      <c r="B37" s="1">
        <f>D37-B19</f>
        <v>-7017855.6839231104</v>
      </c>
      <c r="C37" s="1">
        <f>E37-B19</f>
        <v>7017855.6839231253</v>
      </c>
      <c r="D37">
        <f>F28</f>
        <v>133338551.8980238</v>
      </c>
      <c r="E37">
        <f>F29</f>
        <v>147374263.26587003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CF_Conservative</vt:lpstr>
      <vt:lpstr>CF_Moderate</vt:lpstr>
      <vt:lpstr>CF_Aggressive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2025-05-29T02:19:48Z</dcterms:created>
  <dcterms:modified xsi:type="dcterms:W3CDTF">2025-05-29T15:51:11Z</dcterms:modified>
</cp:coreProperties>
</file>