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nancial_projection_and_sensitivity/"/>
    </mc:Choice>
  </mc:AlternateContent>
  <xr:revisionPtr revIDLastSave="0" documentId="13_ncr:1_{4D6143FB-925B-1340-87A4-BCD2A2B5ECFB}" xr6:coauthVersionLast="47" xr6:coauthVersionMax="47" xr10:uidLastSave="{00000000-0000-0000-0000-000000000000}"/>
  <bookViews>
    <workbookView xWindow="7940" yWindow="780" windowWidth="19580" windowHeight="15180" activeTab="2" xr2:uid="{7C4D7752-87F6-D74B-989F-4854CE9FBA7F}"/>
  </bookViews>
  <sheets>
    <sheet name="CF_Conservative" sheetId="1" r:id="rId1"/>
    <sheet name="CF_Moderate" sheetId="4" r:id="rId2"/>
    <sheet name="CF_Aggressive" sheetId="5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E4" i="5"/>
  <c r="F4" i="5"/>
  <c r="G4" i="5"/>
  <c r="C4" i="5"/>
  <c r="D4" i="4"/>
  <c r="E4" i="4"/>
  <c r="F4" i="4"/>
  <c r="G4" i="4"/>
  <c r="C4" i="4"/>
  <c r="D4" i="1"/>
  <c r="E4" i="1"/>
  <c r="F4" i="1"/>
  <c r="G4" i="1"/>
  <c r="C4" i="1"/>
  <c r="E37" i="5"/>
  <c r="D37" i="5"/>
  <c r="M36" i="5"/>
  <c r="L36" i="5"/>
  <c r="K36" i="5"/>
  <c r="J36" i="5"/>
  <c r="E36" i="5"/>
  <c r="D36" i="5"/>
  <c r="M35" i="5"/>
  <c r="L35" i="5"/>
  <c r="K35" i="5"/>
  <c r="J35" i="5"/>
  <c r="C1" i="5"/>
  <c r="C7" i="5" s="1"/>
  <c r="C13" i="5" s="1"/>
  <c r="D36" i="4"/>
  <c r="J35" i="4"/>
  <c r="E37" i="4"/>
  <c r="D37" i="4"/>
  <c r="M36" i="4"/>
  <c r="L36" i="4"/>
  <c r="K36" i="4"/>
  <c r="J36" i="4"/>
  <c r="E36" i="4"/>
  <c r="M35" i="4"/>
  <c r="L35" i="4"/>
  <c r="K35" i="4"/>
  <c r="C1" i="4"/>
  <c r="C14" i="4" s="1"/>
  <c r="M36" i="1"/>
  <c r="M35" i="1"/>
  <c r="L36" i="1"/>
  <c r="L35" i="1"/>
  <c r="K36" i="1"/>
  <c r="K35" i="1"/>
  <c r="J36" i="1"/>
  <c r="J35" i="1"/>
  <c r="E37" i="1"/>
  <c r="D37" i="1"/>
  <c r="E36" i="1"/>
  <c r="D36" i="1"/>
  <c r="C9" i="5" l="1"/>
  <c r="C14" i="5"/>
  <c r="D1" i="5"/>
  <c r="D1" i="4"/>
  <c r="C7" i="4"/>
  <c r="C13" i="4" s="1"/>
  <c r="C9" i="4"/>
  <c r="C5" i="5" a="1"/>
  <c r="C5" i="5" s="1"/>
  <c r="C6" i="5" s="1"/>
  <c r="C8" i="5" s="1"/>
  <c r="C10" i="5" s="1"/>
  <c r="C1" i="1"/>
  <c r="C9" i="1" s="1"/>
  <c r="C5" i="4" l="1" a="1"/>
  <c r="C5" i="4" s="1"/>
  <c r="C6" i="4" s="1"/>
  <c r="C8" i="4" s="1"/>
  <c r="C10" i="4" s="1"/>
  <c r="C11" i="4" s="1"/>
  <c r="C12" i="4" s="1"/>
  <c r="B15" i="4" a="1"/>
  <c r="B15" i="4" s="1"/>
  <c r="B17" i="4" s="1"/>
  <c r="B15" i="5" a="1"/>
  <c r="B15" i="5" s="1"/>
  <c r="B17" i="5" s="1"/>
  <c r="C11" i="5"/>
  <c r="C12" i="5" s="1"/>
  <c r="E1" i="5"/>
  <c r="D14" i="5"/>
  <c r="D9" i="5"/>
  <c r="D5" i="5" a="1"/>
  <c r="D5" i="5" s="1"/>
  <c r="D6" i="5" s="1"/>
  <c r="D7" i="5"/>
  <c r="D13" i="5" s="1"/>
  <c r="D14" i="4"/>
  <c r="D9" i="4"/>
  <c r="D5" i="4" a="1"/>
  <c r="D5" i="4" s="1"/>
  <c r="D6" i="4" s="1"/>
  <c r="D7" i="4"/>
  <c r="D13" i="4" s="1"/>
  <c r="E1" i="4"/>
  <c r="C14" i="1"/>
  <c r="B15" i="1" a="1"/>
  <c r="B15" i="1" s="1"/>
  <c r="B17" i="1" s="1"/>
  <c r="D1" i="1"/>
  <c r="C5" i="1" a="1"/>
  <c r="C5" i="1" s="1"/>
  <c r="C6" i="1" s="1"/>
  <c r="C7" i="1"/>
  <c r="C13" i="1" s="1"/>
  <c r="D8" i="5" l="1"/>
  <c r="D10" i="5"/>
  <c r="D11" i="5" s="1"/>
  <c r="D12" i="5" s="1"/>
  <c r="C15" i="5"/>
  <c r="E14" i="5"/>
  <c r="E5" i="5" a="1"/>
  <c r="E5" i="5" s="1"/>
  <c r="E6" i="5" s="1"/>
  <c r="E9" i="5"/>
  <c r="E7" i="5"/>
  <c r="E13" i="5" s="1"/>
  <c r="F1" i="5"/>
  <c r="C15" i="4"/>
  <c r="E14" i="4"/>
  <c r="E5" i="4" a="1"/>
  <c r="E5" i="4" s="1"/>
  <c r="E6" i="4" s="1"/>
  <c r="E9" i="4"/>
  <c r="E7" i="4"/>
  <c r="E13" i="4" s="1"/>
  <c r="F1" i="4"/>
  <c r="D8" i="4"/>
  <c r="D10" i="4" s="1"/>
  <c r="C8" i="1"/>
  <c r="C10" i="1" s="1"/>
  <c r="C11" i="1" s="1"/>
  <c r="C12" i="1" s="1"/>
  <c r="C15" i="1" s="1"/>
  <c r="E1" i="1"/>
  <c r="D7" i="1"/>
  <c r="D13" i="1" s="1"/>
  <c r="D14" i="1"/>
  <c r="D5" i="1" a="1"/>
  <c r="D5" i="1" s="1"/>
  <c r="D6" i="1" s="1"/>
  <c r="D9" i="1"/>
  <c r="E8" i="5" l="1"/>
  <c r="E10" i="5" s="1"/>
  <c r="E11" i="5" s="1"/>
  <c r="E12" i="5" s="1"/>
  <c r="E15" i="5" s="1"/>
  <c r="D15" i="5"/>
  <c r="F14" i="5"/>
  <c r="F9" i="5"/>
  <c r="F5" i="5" a="1"/>
  <c r="F5" i="5" s="1"/>
  <c r="F6" i="5" s="1"/>
  <c r="F7" i="5"/>
  <c r="F13" i="5" s="1"/>
  <c r="G1" i="5"/>
  <c r="C17" i="5"/>
  <c r="E8" i="4"/>
  <c r="E10" i="4" s="1"/>
  <c r="D11" i="4"/>
  <c r="D12" i="4" s="1"/>
  <c r="F14" i="4"/>
  <c r="F9" i="4"/>
  <c r="F7" i="4"/>
  <c r="F13" i="4" s="1"/>
  <c r="G1" i="4"/>
  <c r="F5" i="4" a="1"/>
  <c r="F5" i="4" s="1"/>
  <c r="F6" i="4" s="1"/>
  <c r="C17" i="4"/>
  <c r="D8" i="1"/>
  <c r="D10" i="1" s="1"/>
  <c r="F1" i="1"/>
  <c r="E14" i="1"/>
  <c r="E5" i="1" a="1"/>
  <c r="E5" i="1" s="1"/>
  <c r="E6" i="1" s="1"/>
  <c r="E9" i="1"/>
  <c r="E7" i="1"/>
  <c r="E13" i="1" s="1"/>
  <c r="C17" i="1"/>
  <c r="D17" i="5" l="1"/>
  <c r="E17" i="5" s="1"/>
  <c r="F8" i="5"/>
  <c r="F10" i="5" s="1"/>
  <c r="G9" i="5"/>
  <c r="G7" i="5"/>
  <c r="G13" i="5" s="1"/>
  <c r="G14" i="5"/>
  <c r="G5" i="5" a="1"/>
  <c r="G5" i="5" s="1"/>
  <c r="G6" i="5" s="1"/>
  <c r="F8" i="4"/>
  <c r="F10" i="4" s="1"/>
  <c r="G9" i="4"/>
  <c r="G7" i="4"/>
  <c r="G13" i="4" s="1"/>
  <c r="G5" i="4" a="1"/>
  <c r="G5" i="4" s="1"/>
  <c r="G6" i="4" s="1"/>
  <c r="G14" i="4"/>
  <c r="D15" i="4"/>
  <c r="E11" i="4"/>
  <c r="E12" i="4" s="1"/>
  <c r="E15" i="4" s="1"/>
  <c r="G1" i="1"/>
  <c r="F14" i="1"/>
  <c r="F5" i="1" a="1"/>
  <c r="F5" i="1" s="1"/>
  <c r="F6" i="1" s="1"/>
  <c r="F7" i="1"/>
  <c r="F13" i="1" s="1"/>
  <c r="F9" i="1"/>
  <c r="D11" i="1"/>
  <c r="D12" i="1" s="1"/>
  <c r="E8" i="1"/>
  <c r="E10" i="1" s="1"/>
  <c r="E11" i="1" s="1"/>
  <c r="E12" i="1" s="1"/>
  <c r="E15" i="1" s="1"/>
  <c r="G8" i="4" l="1"/>
  <c r="G10" i="4"/>
  <c r="F11" i="5"/>
  <c r="F12" i="5" s="1"/>
  <c r="G8" i="5"/>
  <c r="G10" i="5" s="1"/>
  <c r="D17" i="4"/>
  <c r="G11" i="4"/>
  <c r="G12" i="4" s="1"/>
  <c r="G15" i="4" s="1"/>
  <c r="F11" i="4"/>
  <c r="F12" i="4" s="1"/>
  <c r="D15" i="1"/>
  <c r="F8" i="1"/>
  <c r="F10" i="1" s="1"/>
  <c r="F11" i="1" s="1"/>
  <c r="F12" i="1" s="1"/>
  <c r="F15" i="1" s="1"/>
  <c r="G7" i="1"/>
  <c r="G13" i="1" s="1"/>
  <c r="G5" i="1" a="1"/>
  <c r="G5" i="1" s="1"/>
  <c r="G6" i="1" s="1"/>
  <c r="G14" i="1"/>
  <c r="G9" i="1"/>
  <c r="F15" i="5" l="1"/>
  <c r="G11" i="5"/>
  <c r="G12" i="5" s="1"/>
  <c r="G15" i="5" s="1"/>
  <c r="E17" i="4"/>
  <c r="F15" i="4"/>
  <c r="B21" i="4"/>
  <c r="G8" i="1"/>
  <c r="G10" i="1" s="1"/>
  <c r="G11" i="1" s="1"/>
  <c r="G12" i="1" s="1"/>
  <c r="G15" i="1" s="1"/>
  <c r="D17" i="1"/>
  <c r="B21" i="5" l="1"/>
  <c r="B19" i="5" a="1"/>
  <c r="B19" i="5" s="1"/>
  <c r="B20" i="5"/>
  <c r="F17" i="5"/>
  <c r="F17" i="4"/>
  <c r="G17" i="4" s="1"/>
  <c r="B22" i="4" a="1"/>
  <c r="B22" i="4" s="1"/>
  <c r="B19" i="4" a="1"/>
  <c r="B19" i="4" s="1"/>
  <c r="B20" i="4"/>
  <c r="B19" i="1" a="1"/>
  <c r="B19" i="1" s="1"/>
  <c r="C37" i="1" s="1"/>
  <c r="B20" i="1"/>
  <c r="B21" i="1"/>
  <c r="E17" i="1"/>
  <c r="F17" i="1" s="1"/>
  <c r="G17" i="1" s="1"/>
  <c r="B22" i="1" l="1" a="1"/>
  <c r="B22" i="1" s="1"/>
  <c r="G17" i="5"/>
  <c r="B22" i="5" s="1" a="1"/>
  <c r="B22" i="5" s="1"/>
  <c r="G27" i="5"/>
  <c r="C27" i="5"/>
  <c r="F27" i="5"/>
  <c r="C36" i="5"/>
  <c r="B37" i="5"/>
  <c r="B36" i="5"/>
  <c r="B27" i="5"/>
  <c r="C37" i="5"/>
  <c r="B27" i="4"/>
  <c r="B36" i="4"/>
  <c r="G27" i="4"/>
  <c r="C27" i="4"/>
  <c r="F27" i="4"/>
  <c r="C37" i="4"/>
  <c r="C36" i="4"/>
  <c r="B37" i="4"/>
  <c r="C27" i="1"/>
  <c r="G27" i="1"/>
  <c r="B37" i="1"/>
  <c r="C36" i="1"/>
  <c r="F27" i="1"/>
  <c r="B36" i="1"/>
  <c r="B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tc={95EFAD43-04F6-A74D-A69C-4F78BDB1E99F}</author>
    <author>tc={E1FE58F2-E999-1441-B1CF-5BCC1600FC2A}</author>
  </authors>
  <commentList>
    <comment ref="A5" authorId="0" shapeId="0" xr:uid="{95EFAD43-04F6-A74D-A69C-4F78BDB1E9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E1FE58F2-E999-1441-B1CF-5BCC1600FC2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tc={05B6E52B-EF4F-3746-B4A2-10B7B25A4576}</author>
    <author>tc={0DCF5D2B-33D3-7640-A777-9E62A3CCBD11}</author>
  </authors>
  <commentList>
    <comment ref="A5" authorId="0" shapeId="0" xr:uid="{05B6E52B-EF4F-3746-B4A2-10B7B25A4576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0DCF5D2B-33D3-7640-A777-9E62A3CCBD11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tc={CFDCFA05-B37F-E045-BF3E-3441CE7E5B64}</author>
    <author>tc={4E215FE6-7C4B-2F48-874E-F150C26D7AD9}</author>
  </authors>
  <commentList>
    <comment ref="A5" authorId="0" shapeId="0" xr:uid="{CFDCFA05-B37F-E045-BF3E-3441CE7E5B64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4E215FE6-7C4B-2F48-874E-F150C26D7AD9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<sst xmlns="http://schemas.openxmlformats.org/spreadsheetml/2006/main" count="138" uniqueCount="44">
  <si>
    <t>variable_cost_savings</t>
  </si>
  <si>
    <t>scenario</t>
  </si>
  <si>
    <t>fixed_opex</t>
  </si>
  <si>
    <t>ebitda</t>
  </si>
  <si>
    <t>depreciation</t>
  </si>
  <si>
    <t>ebit</t>
  </si>
  <si>
    <t>interest_expense</t>
  </si>
  <si>
    <t>ebt</t>
  </si>
  <si>
    <t>corp_tax_rate</t>
  </si>
  <si>
    <t>conservative</t>
  </si>
  <si>
    <t>net_income</t>
  </si>
  <si>
    <t>depreciation_total</t>
  </si>
  <si>
    <t>principal_repayment</t>
  </si>
  <si>
    <t>free_cash_flow</t>
  </si>
  <si>
    <t>cumulative_fcf</t>
  </si>
  <si>
    <t>npv</t>
  </si>
  <si>
    <t>irr</t>
  </si>
  <si>
    <t>roi</t>
  </si>
  <si>
    <t>pay_back</t>
  </si>
  <si>
    <t>aggressive</t>
  </si>
  <si>
    <t>moderate</t>
  </si>
  <si>
    <t>year</t>
  </si>
  <si>
    <t>ebita = earnings before interest, taxes, and amortization</t>
  </si>
  <si>
    <t>NPV</t>
  </si>
  <si>
    <t>IRR</t>
  </si>
  <si>
    <t>unit_rate_scalar</t>
  </si>
  <si>
    <t>improvement_adj_pp</t>
  </si>
  <si>
    <t>unit_rate</t>
  </si>
  <si>
    <t>improvement_adj</t>
  </si>
  <si>
    <t>helper table</t>
  </si>
  <si>
    <t>driver</t>
  </si>
  <si>
    <t>low NPV</t>
  </si>
  <si>
    <t>high NPV</t>
  </si>
  <si>
    <t>change in NPV low</t>
  </si>
  <si>
    <t>change in NPV high</t>
  </si>
  <si>
    <t>sensitivity table</t>
  </si>
  <si>
    <t>unit rate scalar</t>
  </si>
  <si>
    <t>low input</t>
  </si>
  <si>
    <t>high input</t>
  </si>
  <si>
    <t>NPV @ low</t>
  </si>
  <si>
    <t>NPV @ high</t>
  </si>
  <si>
    <t>IRR @ low</t>
  </si>
  <si>
    <t>IRR @ high</t>
  </si>
  <si>
    <t>improvement adj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</si>
</sst>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Sensitivity - </a:t>
            </a:r>
            <a:r>
              <a:rPr lang="en-US" sz="1400" b="0" i="0" u="none" strike="noStrike" baseline="0">
                <a:effectLst/>
              </a:rPr>
              <a:t>±20% unit cost, ±5pp improvement</a:t>
            </a:r>
            <a:r>
              <a:rPr lang="en-US"/>
              <a:t> 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CF_Conservative!$A$36</c:f>
              <c:strCache>
                <c:ptCount val="1"/>
                <c:pt idx="0">
                  <c:v>unit_rate_scalar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CF_Conservative!$B$35:$C$35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CF_Conservative!$B$36:$C$36</c:f>
              <c:numCache>
                <c:formatCode>"$"#,##0.00_);[Red]\("$"#,##0.00\)</c:formatCode>
                <c:ptCount val="2"/>
                <c:pt idx="0">
                  <c:v>-16357.519322951242</c:v>
                </c:pt>
                <c:pt idx="1">
                  <c:v>16206.173360223978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B545-9036-AF4647D5D624}"/>
            </c:ext>
          </c:extLst>
        </c:ser>
        <c:ser>
          <c:idx val="1"/>
          <c:order val="1"/>
          <c:tx>
            <c:strRef>
              <c:f>CF_Conservative!$A$37</c:f>
              <c:strCache>
                <c:ptCount val="1"/>
                <c:pt idx="0">
                  <c:v>improvement_adj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CF_Conservative!$B$35:$C$35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CF_Conservative!$B$37:$C$37</c:f>
              <c:numCache>
                <c:formatCode>"$"#,##0.00_);[Red]\("$"#,##0.00\)</c:formatCode>
                <c:ptCount val="2"/>
                <c:pt idx="0">
                  <c:v>-4051.5433400559959</c:v>
                </c:pt>
                <c:pt idx="1">
                  <c:v>4051.5433400559978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B-B545-9036-AF4647D5D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2880112"/>
        <c:axId val="895726464"/>
      </c:barChart>
      <c:catAx>
        <c:axId val="143288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26464"/>
        <c:crosses val="autoZero"/>
        <c:auto val="1"/>
        <c:lblAlgn val="ctr"/>
        <c:lblOffset val="100"/>
        <c:noMultiLvlLbl val="0"/>
      </c:catAx>
      <c:valAx>
        <c:axId val="89572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8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NPV Sensitivity 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±20% unit cost, ±5pp improvement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CF_Moderate!$A$36</c:f>
              <c:strCache>
                <c:ptCount val="1"/>
                <c:pt idx="0">
                  <c:v>unit_rate_scalar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CF_Moderate!$B$35:$C$35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CF_Moderate!$B$36:$C$36</c:f>
              <c:numCache>
                <c:formatCode>"$"#,##0.00_);[Red]\("$"#,##0.00\)</c:formatCode>
                <c:ptCount val="2"/>
                <c:pt idx="0">
                  <c:v>-16406.513596567198</c:v>
                </c:pt>
                <c:pt idx="1">
                  <c:v>16278.197762021749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2-5F4E-B09C-991D59ED792A}"/>
            </c:ext>
          </c:extLst>
        </c:ser>
        <c:ser>
          <c:idx val="1"/>
          <c:order val="1"/>
          <c:tx>
            <c:strRef>
              <c:f>CF_Moderate!$A$37</c:f>
              <c:strCache>
                <c:ptCount val="1"/>
                <c:pt idx="0">
                  <c:v>improvement_adj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CF_Moderate!$B$35:$C$35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CF_Moderate!$B$37:$C$37</c:f>
              <c:numCache>
                <c:formatCode>"$"#,##0.00_);[Red]\("$"#,##0.00\)</c:formatCode>
                <c:ptCount val="2"/>
                <c:pt idx="0">
                  <c:v>-4069.549440505436</c:v>
                </c:pt>
                <c:pt idx="1">
                  <c:v>4069.549440505436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2-5F4E-B09C-991D59ED7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751136"/>
        <c:axId val="971681888"/>
      </c:barChart>
      <c:catAx>
        <c:axId val="49075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681888"/>
        <c:crosses val="autoZero"/>
        <c:auto val="1"/>
        <c:lblAlgn val="ctr"/>
        <c:lblOffset val="100"/>
        <c:noMultiLvlLbl val="0"/>
      </c:catAx>
      <c:valAx>
        <c:axId val="9716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5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NPV Sensitivity 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±20% unit cost, ±5pp improvement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CF_Aggressive!$A$36</c:f>
              <c:strCache>
                <c:ptCount val="1"/>
                <c:pt idx="0">
                  <c:v>unit_rate_scalar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CF_Aggressive!$B$35:$C$35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CF_Aggressive!$B$36:$C$36</c:f>
              <c:numCache>
                <c:formatCode>"$"#,##0.00_);[Red]\("$"#,##0.00\)</c:formatCode>
                <c:ptCount val="2"/>
                <c:pt idx="0">
                  <c:v>-16491.198194466644</c:v>
                </c:pt>
                <c:pt idx="1">
                  <c:v>16402.688994466655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7-2145-9AA7-731F23EECB3B}"/>
            </c:ext>
          </c:extLst>
        </c:ser>
        <c:ser>
          <c:idx val="1"/>
          <c:order val="1"/>
          <c:tx>
            <c:strRef>
              <c:f>CF_Aggressive!$A$37</c:f>
              <c:strCache>
                <c:ptCount val="1"/>
                <c:pt idx="0">
                  <c:v>improvement_adj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CF_Aggressive!$B$35:$C$35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CF_Aggressive!$B$37:$C$37</c:f>
              <c:numCache>
                <c:formatCode>"$"#,##0.00_);[Red]\("$"#,##0.00\)</c:formatCode>
                <c:ptCount val="2"/>
                <c:pt idx="0">
                  <c:v>-4100.6722486166673</c:v>
                </c:pt>
                <c:pt idx="1">
                  <c:v>4100.6722486166727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7-2145-9AA7-731F23EEC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3641008"/>
        <c:axId val="572158016"/>
      </c:barChart>
      <c:catAx>
        <c:axId val="643641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58016"/>
        <c:crosses val="autoZero"/>
        <c:auto val="1"/>
        <c:lblAlgn val="ctr"/>
        <c:lblOffset val="100"/>
        <c:noMultiLvlLbl val="0"/>
      </c:catAx>
      <c:valAx>
        <c:axId val="57215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4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801413</xdr:colOff>
      <xdr:row>41</xdr:row>
      <xdr:rowOff>61059</xdr:rowOff>
    </xdr:from>
    <xdr:to>
      <xdr:col>5</xdr:col>
      <xdr:colOff>1412690</xdr:colOff>
      <xdr:row>59</xdr:row>
      <xdr:rowOff>2164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40B496-E290-AAD1-4D00-9F81A3E42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728132</xdr:colOff>
      <xdr:row>39</xdr:row>
      <xdr:rowOff>101601</xdr:rowOff>
    </xdr:from>
    <xdr:to>
      <xdr:col>6</xdr:col>
      <xdr:colOff>1066800</xdr:colOff>
      <xdr:row>58</xdr:row>
      <xdr:rowOff>33867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9398AC-9ACA-1D2B-149F-8AE1E7FAF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727880</xdr:colOff>
      <xdr:row>39</xdr:row>
      <xdr:rowOff>201683</xdr:rowOff>
    </xdr:from>
    <xdr:to>
      <xdr:col>7</xdr:col>
      <xdr:colOff>284328</xdr:colOff>
      <xdr:row>59</xdr:row>
      <xdr:rowOff>94776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4DB44-CA3C-75C6-990C-C060AEC8D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ai_scenario_simulation/Cost_Savings_Summary.xlsx" TargetMode="External"/><Relationship Id="rId1" Type="http://schemas.openxmlformats.org/officeDocument/2006/relationships/externalLinkPath" Target="/Users/lucymalmud/Desktop/hazira-port/ai_scenario_simulation/Cost_Savings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CapEx_OpEx_Assumptions_Hazira.xlsx" TargetMode="External"/><Relationship Id="rId1" Type="http://schemas.openxmlformats.org/officeDocument/2006/relationships/externalLinkPath" Target="CapEx_OpEx_Assumptions_Hazir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5yr_CashFlow_Hazira.xlsx" TargetMode="External"/><Relationship Id="rId1" Type="http://schemas.openxmlformats.org/officeDocument/2006/relationships/externalLinkPath" Target="5yr_CashFlow_Haz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vings_by_subprocess"/>
      <sheetName val="KPI_changes"/>
      <sheetName val="Totals"/>
    </sheetNames>
    <sheetDataSet>
      <sheetData sheetId="0"/>
      <sheetData sheetId="1"/>
      <sheetData sheetId="2">
        <row r="1">
          <cell r="B1" t="str">
            <v>scenario_total_cost</v>
          </cell>
          <cell r="E1" t="str">
            <v>scenario</v>
          </cell>
        </row>
        <row r="2">
          <cell r="B2">
            <v>28846.586899999998</v>
          </cell>
          <cell r="E2" t="str">
            <v>aggressive</v>
          </cell>
        </row>
        <row r="3">
          <cell r="B3">
            <v>28627.650409999998</v>
          </cell>
          <cell r="E3" t="str">
            <v>moderate</v>
          </cell>
        </row>
        <row r="4">
          <cell r="B4">
            <v>28500.984704999999</v>
          </cell>
          <cell r="E4" t="str">
            <v>conservative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ex"/>
      <sheetName val="Assumptions"/>
      <sheetName val="CapEx_OpEx_Assumptions_Hazira"/>
    </sheetNames>
    <definedNames>
      <definedName name="discount_rate" refersTo="='Assumptions'!$C$14"/>
      <definedName name="fixed_opex" refersTo="='Capex'!$H$5"/>
      <definedName name="inflation" refersTo="='Assumptions'!$C$7"/>
      <definedName name="subtotal_capex" refersTo="='Capex'!$D$5"/>
    </definedNames>
    <sheetDataSet>
      <sheetData sheetId="0">
        <row r="5">
          <cell r="D5">
            <v>203000</v>
          </cell>
          <cell r="H5">
            <v>39.71</v>
          </cell>
        </row>
      </sheetData>
      <sheetData sheetId="1">
        <row r="5">
          <cell r="C5">
            <v>0.25</v>
          </cell>
        </row>
        <row r="7">
          <cell r="C7">
            <v>0.04</v>
          </cell>
        </row>
        <row r="14">
          <cell r="C14">
            <v>0.1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preciation_Schedule"/>
      <sheetName val="Debt_Amortisation"/>
    </sheetNames>
    <sheetDataSet>
      <sheetData sheetId="0">
        <row r="1">
          <cell r="A1" t="str">
            <v>year</v>
          </cell>
          <cell r="K1" t="str">
            <v>total_depreciation</v>
          </cell>
        </row>
        <row r="2">
          <cell r="A2">
            <v>0</v>
          </cell>
          <cell r="K2">
            <v>0</v>
          </cell>
        </row>
        <row r="3">
          <cell r="A3">
            <v>1</v>
          </cell>
          <cell r="K3">
            <v>9927.5</v>
          </cell>
        </row>
        <row r="4">
          <cell r="A4">
            <v>2</v>
          </cell>
          <cell r="K4">
            <v>9927.5</v>
          </cell>
        </row>
        <row r="5">
          <cell r="A5">
            <v>3</v>
          </cell>
          <cell r="K5">
            <v>9927.5</v>
          </cell>
        </row>
        <row r="6">
          <cell r="A6">
            <v>4</v>
          </cell>
          <cell r="K6">
            <v>9927.5</v>
          </cell>
        </row>
        <row r="7">
          <cell r="A7">
            <v>5</v>
          </cell>
          <cell r="K7">
            <v>9927.5</v>
          </cell>
        </row>
        <row r="8">
          <cell r="A8">
            <v>6</v>
          </cell>
          <cell r="K8">
            <v>9927.5</v>
          </cell>
        </row>
        <row r="9">
          <cell r="A9">
            <v>7</v>
          </cell>
          <cell r="K9">
            <v>9927.5</v>
          </cell>
        </row>
        <row r="10">
          <cell r="A10">
            <v>8</v>
          </cell>
          <cell r="K10">
            <v>9927.5</v>
          </cell>
        </row>
        <row r="11">
          <cell r="A11">
            <v>9</v>
          </cell>
          <cell r="K11">
            <v>9927.5</v>
          </cell>
        </row>
        <row r="12">
          <cell r="A12">
            <v>10</v>
          </cell>
          <cell r="K12">
            <v>9357.5</v>
          </cell>
        </row>
        <row r="13">
          <cell r="A13">
            <v>11</v>
          </cell>
          <cell r="K13">
            <v>9357.5</v>
          </cell>
        </row>
        <row r="14">
          <cell r="A14">
            <v>12</v>
          </cell>
          <cell r="K14">
            <v>9357.5</v>
          </cell>
        </row>
        <row r="15">
          <cell r="A15">
            <v>13</v>
          </cell>
          <cell r="K15">
            <v>9357.5</v>
          </cell>
        </row>
        <row r="16">
          <cell r="A16">
            <v>14</v>
          </cell>
          <cell r="K16">
            <v>9357.5</v>
          </cell>
        </row>
        <row r="17">
          <cell r="A17">
            <v>15</v>
          </cell>
          <cell r="K17">
            <v>9357.5</v>
          </cell>
        </row>
        <row r="18">
          <cell r="A18">
            <v>16</v>
          </cell>
          <cell r="K18">
            <v>9357.5</v>
          </cell>
        </row>
        <row r="19">
          <cell r="A19">
            <v>17</v>
          </cell>
          <cell r="K19">
            <v>9357.5</v>
          </cell>
        </row>
        <row r="20">
          <cell r="A20">
            <v>18</v>
          </cell>
          <cell r="K20">
            <v>9357.5</v>
          </cell>
        </row>
        <row r="21">
          <cell r="A21">
            <v>19</v>
          </cell>
          <cell r="K21">
            <v>9357.5</v>
          </cell>
        </row>
        <row r="22">
          <cell r="A22">
            <v>20</v>
          </cell>
          <cell r="K22">
            <v>9357.5</v>
          </cell>
        </row>
      </sheetData>
      <sheetData sheetId="1">
        <row r="1">
          <cell r="A1" t="str">
            <v>year</v>
          </cell>
          <cell r="C1" t="str">
            <v>interest</v>
          </cell>
          <cell r="E1" t="str">
            <v>principal_repaid</v>
          </cell>
        </row>
        <row r="2">
          <cell r="A2">
            <v>0</v>
          </cell>
        </row>
        <row r="3">
          <cell r="A3">
            <v>1</v>
          </cell>
          <cell r="C3">
            <v>13499.5</v>
          </cell>
          <cell r="E3">
            <v>9132.220151411515</v>
          </cell>
        </row>
        <row r="4">
          <cell r="A4">
            <v>2</v>
          </cell>
          <cell r="C4">
            <v>12631.939085615906</v>
          </cell>
          <cell r="E4">
            <v>9999.7810657956088</v>
          </cell>
        </row>
        <row r="5">
          <cell r="A5">
            <v>3</v>
          </cell>
          <cell r="C5">
            <v>11681.959884365322</v>
          </cell>
          <cell r="E5">
            <v>10949.760267046193</v>
          </cell>
        </row>
        <row r="6">
          <cell r="A6">
            <v>4</v>
          </cell>
          <cell r="C6">
            <v>10641.732658995934</v>
          </cell>
          <cell r="E6">
            <v>11989.987492415581</v>
          </cell>
        </row>
        <row r="7">
          <cell r="A7">
            <v>5</v>
          </cell>
          <cell r="C7">
            <v>9502.6838472164545</v>
          </cell>
          <cell r="E7">
            <v>13129.03630419506</v>
          </cell>
        </row>
        <row r="8">
          <cell r="A8">
            <v>6</v>
          </cell>
          <cell r="C8">
            <v>8255.4253983179242</v>
          </cell>
          <cell r="E8">
            <v>14376.294753093591</v>
          </cell>
        </row>
        <row r="9">
          <cell r="A9">
            <v>7</v>
          </cell>
          <cell r="C9">
            <v>6889.6773967740328</v>
          </cell>
          <cell r="E9">
            <v>15742.042754637481</v>
          </cell>
        </row>
        <row r="10">
          <cell r="A10">
            <v>8</v>
          </cell>
          <cell r="C10">
            <v>5394.1833350834713</v>
          </cell>
          <cell r="E10">
            <v>17237.536816328044</v>
          </cell>
        </row>
        <row r="11">
          <cell r="A11">
            <v>9</v>
          </cell>
          <cell r="C11">
            <v>3756.6173375323074</v>
          </cell>
          <cell r="E11">
            <v>18875.102813879206</v>
          </cell>
        </row>
        <row r="12">
          <cell r="A12">
            <v>10</v>
          </cell>
          <cell r="C12">
            <v>1963.482570213783</v>
          </cell>
          <cell r="E12">
            <v>20668.237581197733</v>
          </cell>
        </row>
        <row r="13">
          <cell r="E13"/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y Malmud" id="{5C378310-F3DF-C348-A1DB-126FD613D66D}" userId="S::lmalmud2@jh.edu::698e3534-dd3c-4c20-9ec4-5e1d8aad22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95EFAD43-04F6-A74D-A69C-4F78BDB1E99F}">
    <text>Adjusted for inflation each year</text>
  </threadedComment>
  <threadedComment ref="A22" dT="2025-05-29T13:00:34.58" personId="{5C378310-F3DF-C348-A1DB-126FD613D66D}" id="{E1FE58F2-E999-1441-B1CF-5BCC1600FC2A}">
    <text>Number of years until cumulative cash flow is positive - not expected to be immediate, values are likely off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05B6E52B-EF4F-3746-B4A2-10B7B25A4576}">
    <text>Adjusted for inflation each year</text>
  </threadedComment>
  <threadedComment ref="A22" dT="2025-05-29T13:00:34.58" personId="{5C378310-F3DF-C348-A1DB-126FD613D66D}" id="{0DCF5D2B-33D3-7640-A777-9E62A3CCBD11}">
    <text>Number of years until cumulative cash flow is positive - not expected to be immediate, values are likely off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CFDCFA05-B37F-E045-BF3E-3441CE7E5B64}">
    <text>Adjusted for inflation each year</text>
  </threadedComment>
  <threadedComment ref="A22" dT="2025-05-29T13:00:34.58" personId="{5C378310-F3DF-C348-A1DB-126FD613D66D}" id="{4E215FE6-7C4B-2F48-874E-F150C26D7AD9}">
    <text>Number of years until cumulative cash flow is positive - not expected to be immediate, values are likely off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F95-0133-9445-9436-4C25E3326ACC}">
  <dimension ref="A1:M37"/>
  <sheetViews>
    <sheetView topLeftCell="A25" zoomScale="86" workbookViewId="0">
      <selection activeCell="G44" sqref="G44"/>
    </sheetView>
  </sheetViews>
  <sheetFormatPr baseColWidth="10" defaultRowHeight="16" x14ac:dyDescent="0.2"/>
  <cols>
    <col min="1" max="1" width="21.6640625" customWidth="1"/>
    <col min="2" max="2" width="22.83203125" customWidth="1"/>
    <col min="3" max="3" width="20.1640625" customWidth="1"/>
    <col min="4" max="4" width="16.5" customWidth="1"/>
    <col min="5" max="5" width="20.6640625" customWidth="1"/>
    <col min="6" max="6" width="19.33203125" customWidth="1"/>
    <col min="7" max="7" width="16.5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G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9</v>
      </c>
    </row>
    <row r="4" spans="1:7" x14ac:dyDescent="0.2">
      <c r="A4" t="s">
        <v>0</v>
      </c>
      <c r="C4">
        <f>_xlfn.XLOOKUP($B$2,[1]Totals!$E:$E,[1]Totals!$B:$B) * $B$31 * (1+$B$32)</f>
        <v>28500.984704999999</v>
      </c>
      <c r="D4">
        <f>_xlfn.XLOOKUP($B$2,[1]Totals!$E:$E,[1]Totals!$B:$B) * $B$31 * (1+$B$32)</f>
        <v>28500.984704999999</v>
      </c>
      <c r="E4">
        <f>_xlfn.XLOOKUP($B$2,[1]Totals!$E:$E,[1]Totals!$B:$B) * $B$31 * (1+$B$32)</f>
        <v>28500.984704999999</v>
      </c>
      <c r="F4">
        <f>_xlfn.XLOOKUP($B$2,[1]Totals!$E:$E,[1]Totals!$B:$B) * $B$31 * (1+$B$32)</f>
        <v>28500.984704999999</v>
      </c>
      <c r="G4">
        <f>_xlfn.XLOOKUP($B$2,[1]Totals!$E:$E,[1]Totals!$B:$B) * $B$31 * (1+$B$32)</f>
        <v>28500.984704999999</v>
      </c>
    </row>
    <row r="5" spans="1:7" x14ac:dyDescent="0.2">
      <c r="A5" t="s">
        <v>2</v>
      </c>
      <c r="C5" cm="1">
        <f t="array" ref="C5">[2]!fixed_opex*(1+[2]!inflation)^(C1-1)</f>
        <v>39.71</v>
      </c>
      <c r="D5" cm="1">
        <f t="array" ref="D5">[2]!fixed_opex*(1+[2]!inflation)^(D1-1)</f>
        <v>41.298400000000001</v>
      </c>
      <c r="E5" cm="1">
        <f t="array" ref="E5">[2]!fixed_opex*(1+[2]!inflation)^(E1-1)</f>
        <v>42.950336000000007</v>
      </c>
      <c r="F5" cm="1">
        <f t="array" ref="F5">[2]!fixed_opex*(1+[2]!inflation)^(F1-1)</f>
        <v>44.668349440000007</v>
      </c>
      <c r="G5" cm="1">
        <f t="array" ref="G5">[2]!fixed_opex*(1+[2]!inflation)^(G1-1)</f>
        <v>46.455083417600008</v>
      </c>
    </row>
    <row r="6" spans="1:7" x14ac:dyDescent="0.2">
      <c r="A6" t="s">
        <v>3</v>
      </c>
      <c r="C6">
        <f>C4-C5</f>
        <v>28461.274705</v>
      </c>
      <c r="D6">
        <f t="shared" ref="D6:G6" si="1">D4-D5</f>
        <v>28459.686304999999</v>
      </c>
      <c r="E6">
        <f t="shared" si="1"/>
        <v>28458.034368999997</v>
      </c>
      <c r="F6">
        <f t="shared" si="1"/>
        <v>28456.31635556</v>
      </c>
      <c r="G6">
        <f t="shared" si="1"/>
        <v>28454.529621582398</v>
      </c>
    </row>
    <row r="7" spans="1:7" x14ac:dyDescent="0.2">
      <c r="A7" t="s">
        <v>11</v>
      </c>
      <c r="C7">
        <f>_xlfn.XLOOKUP(C1,[3]Depreciation_Schedule!$A:$A,[3]Depreciation_Schedule!$K:$K)</f>
        <v>9927.5</v>
      </c>
      <c r="D7">
        <f>_xlfn.XLOOKUP(D1,[3]Depreciation_Schedule!$A:$A,[3]Depreciation_Schedule!$K:$K)</f>
        <v>9927.5</v>
      </c>
      <c r="E7">
        <f>_xlfn.XLOOKUP(E1,[3]Depreciation_Schedule!$A:$A,[3]Depreciation_Schedule!$K:$K)</f>
        <v>9927.5</v>
      </c>
      <c r="F7">
        <f>_xlfn.XLOOKUP(F1,[3]Depreciation_Schedule!$A:$A,[3]Depreciation_Schedule!$K:$K)</f>
        <v>9927.5</v>
      </c>
      <c r="G7">
        <f>_xlfn.XLOOKUP(G1,[3]Depreciation_Schedule!$A:$A,[3]Depreciation_Schedule!$K:$K)</f>
        <v>9927.5</v>
      </c>
    </row>
    <row r="8" spans="1:7" x14ac:dyDescent="0.2">
      <c r="A8" t="s">
        <v>5</v>
      </c>
      <c r="C8">
        <f>C6-C7</f>
        <v>18533.774705</v>
      </c>
      <c r="D8">
        <f t="shared" ref="D8:F8" si="2">D6-D7</f>
        <v>18532.186304999999</v>
      </c>
      <c r="E8">
        <f t="shared" si="2"/>
        <v>18530.534368999997</v>
      </c>
      <c r="F8">
        <f t="shared" si="2"/>
        <v>18528.81635556</v>
      </c>
      <c r="G8">
        <f>G6-G7</f>
        <v>18527.029621582398</v>
      </c>
    </row>
    <row r="9" spans="1:7" x14ac:dyDescent="0.2">
      <c r="A9" t="s">
        <v>6</v>
      </c>
      <c r="C9">
        <f>_xlfn.XLOOKUP(C1,[3]Debt_Amortisation!$A:$A,[3]Debt_Amortisation!$C:$C)</f>
        <v>13499.5</v>
      </c>
      <c r="D9">
        <f>_xlfn.XLOOKUP(D1,[3]Debt_Amortisation!$A:$A,[3]Debt_Amortisation!$C:$C)</f>
        <v>12631.939085615906</v>
      </c>
      <c r="E9">
        <f>_xlfn.XLOOKUP(E1,[3]Debt_Amortisation!$A:$A,[3]Debt_Amortisation!$C:$C)</f>
        <v>11681.959884365322</v>
      </c>
      <c r="F9">
        <f>_xlfn.XLOOKUP(F1,[3]Debt_Amortisation!$A:$A,[3]Debt_Amortisation!$C:$C)</f>
        <v>10641.732658995934</v>
      </c>
      <c r="G9">
        <f>_xlfn.XLOOKUP(G1,[3]Debt_Amortisation!$A:$A,[3]Debt_Amortisation!$C:$C)</f>
        <v>9502.6838472164545</v>
      </c>
    </row>
    <row r="10" spans="1:7" x14ac:dyDescent="0.2">
      <c r="A10" t="s">
        <v>7</v>
      </c>
      <c r="C10">
        <f>C8-C9</f>
        <v>5034.2747049999998</v>
      </c>
      <c r="D10">
        <f t="shared" ref="D10:G10" si="3">D8-D9</f>
        <v>5900.2472193840931</v>
      </c>
      <c r="E10">
        <f t="shared" si="3"/>
        <v>6848.5744846346752</v>
      </c>
      <c r="F10">
        <f t="shared" si="3"/>
        <v>7887.0836965640665</v>
      </c>
      <c r="G10">
        <f t="shared" si="3"/>
        <v>9024.3457743659437</v>
      </c>
    </row>
    <row r="11" spans="1:7" x14ac:dyDescent="0.2">
      <c r="A11" t="s">
        <v>8</v>
      </c>
      <c r="C11">
        <f>MAX(0, C10*[2]Assumptions!$C$5)</f>
        <v>1258.56867625</v>
      </c>
      <c r="D11">
        <f>MAX(0, D10*[2]Assumptions!$C$5)</f>
        <v>1475.0618048460233</v>
      </c>
      <c r="E11">
        <f>MAX(0, E10*[2]Assumptions!$C$5)</f>
        <v>1712.1436211586688</v>
      </c>
      <c r="F11">
        <f>MAX(0, F10*[2]Assumptions!$C$5)</f>
        <v>1971.7709241410166</v>
      </c>
      <c r="G11">
        <f>MAX(0, G10*[2]Assumptions!$C$5)</f>
        <v>2256.0864435914859</v>
      </c>
    </row>
    <row r="12" spans="1:7" x14ac:dyDescent="0.2">
      <c r="A12" t="s">
        <v>10</v>
      </c>
      <c r="C12">
        <f>C10-C11</f>
        <v>3775.7060287499999</v>
      </c>
      <c r="D12">
        <f t="shared" ref="D12:G12" si="4">D10-D11</f>
        <v>4425.1854145380694</v>
      </c>
      <c r="E12">
        <f t="shared" si="4"/>
        <v>5136.4308634760064</v>
      </c>
      <c r="F12">
        <f t="shared" si="4"/>
        <v>5915.3127724230499</v>
      </c>
      <c r="G12">
        <f t="shared" si="4"/>
        <v>6768.2593307744573</v>
      </c>
    </row>
    <row r="13" spans="1:7" x14ac:dyDescent="0.2">
      <c r="A13" t="s">
        <v>4</v>
      </c>
      <c r="C13">
        <f>C7</f>
        <v>9927.5</v>
      </c>
      <c r="D13">
        <f t="shared" ref="D13:G13" si="5">D7</f>
        <v>9927.5</v>
      </c>
      <c r="E13">
        <f t="shared" si="5"/>
        <v>9927.5</v>
      </c>
      <c r="F13">
        <f t="shared" si="5"/>
        <v>9927.5</v>
      </c>
      <c r="G13">
        <f t="shared" si="5"/>
        <v>9927.5</v>
      </c>
    </row>
    <row r="14" spans="1:7" x14ac:dyDescent="0.2">
      <c r="A14" t="s">
        <v>12</v>
      </c>
      <c r="C14">
        <f>_xlfn.XLOOKUP(C1,[3]Debt_Amortisation!$A:$A,[3]Debt_Amortisation!$E:$E)</f>
        <v>9132.220151411515</v>
      </c>
      <c r="D14">
        <f>_xlfn.XLOOKUP(D1,[3]Debt_Amortisation!$A:$A,[3]Debt_Amortisation!$E:$E)</f>
        <v>9999.7810657956088</v>
      </c>
      <c r="E14">
        <f>_xlfn.XLOOKUP(E1,[3]Debt_Amortisation!$A:$A,[3]Debt_Amortisation!$E:$E)</f>
        <v>10949.760267046193</v>
      </c>
      <c r="F14">
        <f>_xlfn.XLOOKUP(F1,[3]Debt_Amortisation!$A:$A,[3]Debt_Amortisation!$E:$E)</f>
        <v>11989.987492415581</v>
      </c>
      <c r="G14">
        <f>_xlfn.XLOOKUP(G1,[3]Debt_Amortisation!$A:$A,[3]Debt_Amortisation!$E:$E)</f>
        <v>13129.03630419506</v>
      </c>
    </row>
    <row r="15" spans="1:7" x14ac:dyDescent="0.2">
      <c r="A15" t="s">
        <v>13</v>
      </c>
      <c r="B15" cm="1">
        <f t="array" ref="B15">-[2]!subtotal_capex</f>
        <v>-203000</v>
      </c>
      <c r="C15">
        <f>C12+C13-C14</f>
        <v>4570.985877338484</v>
      </c>
      <c r="D15">
        <f t="shared" ref="D15:G15" si="6">D12+D13-D14</f>
        <v>4352.9043487424606</v>
      </c>
      <c r="E15">
        <f t="shared" si="6"/>
        <v>4114.1705964298126</v>
      </c>
      <c r="F15">
        <f t="shared" si="6"/>
        <v>3852.8252800074697</v>
      </c>
      <c r="G15">
        <f t="shared" si="6"/>
        <v>3566.7230265793969</v>
      </c>
    </row>
    <row r="17" spans="1:7" x14ac:dyDescent="0.2">
      <c r="A17" t="s">
        <v>14</v>
      </c>
      <c r="B17">
        <f>B15</f>
        <v>-203000</v>
      </c>
      <c r="C17">
        <f>B17+C15</f>
        <v>-198429.01412266152</v>
      </c>
      <c r="D17">
        <f t="shared" ref="D17:G17" si="7">C17+D15</f>
        <v>-194076.10977391907</v>
      </c>
      <c r="E17">
        <f t="shared" si="7"/>
        <v>-189961.93917748926</v>
      </c>
      <c r="F17">
        <f t="shared" si="7"/>
        <v>-186109.11389748179</v>
      </c>
      <c r="G17">
        <f t="shared" si="7"/>
        <v>-182542.3908709024</v>
      </c>
    </row>
    <row r="19" spans="1:7" x14ac:dyDescent="0.2">
      <c r="A19" t="s">
        <v>15</v>
      </c>
      <c r="B19" s="1" cm="1">
        <f t="array" ref="B19">NPV([2]!discount_rate, C15:G15)</f>
        <v>15690.106467799125</v>
      </c>
    </row>
    <row r="20" spans="1:7" x14ac:dyDescent="0.2">
      <c r="A20" t="s">
        <v>16</v>
      </c>
      <c r="B20" s="2">
        <f>IRR(B15:G15)</f>
        <v>-0.48149732941814682</v>
      </c>
    </row>
    <row r="21" spans="1:7" x14ac:dyDescent="0.2">
      <c r="A21" t="s">
        <v>17</v>
      </c>
      <c r="B21">
        <f>SUM(C12:G12)/-B15</f>
        <v>0.12818174586187972</v>
      </c>
    </row>
    <row r="22" spans="1:7" x14ac:dyDescent="0.2">
      <c r="A22" t="s">
        <v>18</v>
      </c>
      <c r="B22" t="e" cm="1">
        <f t="array" ref="B22">MATCH(TRUE, C17:G17&gt;0, 0)</f>
        <v>#N/A</v>
      </c>
    </row>
    <row r="24" spans="1:7" x14ac:dyDescent="0.2">
      <c r="A24" t="s">
        <v>22</v>
      </c>
    </row>
    <row r="26" spans="1:7" x14ac:dyDescent="0.2">
      <c r="A26" t="s">
        <v>27</v>
      </c>
      <c r="B26" t="s">
        <v>23</v>
      </c>
      <c r="C26" t="s">
        <v>24</v>
      </c>
      <c r="E26" t="s">
        <v>28</v>
      </c>
      <c r="F26" t="s">
        <v>23</v>
      </c>
      <c r="G26" t="s">
        <v>24</v>
      </c>
    </row>
    <row r="27" spans="1:7" x14ac:dyDescent="0.2">
      <c r="B27" s="1">
        <f>B19</f>
        <v>15690.106467799125</v>
      </c>
      <c r="C27" s="2">
        <f>B20</f>
        <v>-0.48149732941814682</v>
      </c>
      <c r="F27" s="1">
        <f>B19</f>
        <v>15690.106467799125</v>
      </c>
      <c r="G27" s="2">
        <f>B20</f>
        <v>-0.48149732941814682</v>
      </c>
    </row>
    <row r="28" spans="1:7" x14ac:dyDescent="0.2">
      <c r="A28">
        <v>0.8</v>
      </c>
      <c r="B28">
        <f t="dataTable" ref="B28:C29" dt2D="0" dtr="0" r1="B31" ca="1"/>
        <v>-667.41285515211734</v>
      </c>
      <c r="C28" t="e">
        <v>#NUM!</v>
      </c>
      <c r="E28">
        <v>-0.05</v>
      </c>
      <c r="F28">
        <f t="dataTable" ref="F28:G29" dt2D="0" dtr="0" r1="B32"/>
        <v>11638.563127743129</v>
      </c>
      <c r="G28">
        <v>-0.52199122068951143</v>
      </c>
    </row>
    <row r="29" spans="1:7" x14ac:dyDescent="0.2">
      <c r="A29">
        <v>1.2</v>
      </c>
      <c r="B29">
        <v>31896.279828023104</v>
      </c>
      <c r="C29">
        <v>-0.37250829467541113</v>
      </c>
      <c r="E29">
        <v>0.05</v>
      </c>
      <c r="F29">
        <v>19741.649807855123</v>
      </c>
      <c r="G29">
        <v>-0.44849200378013787</v>
      </c>
    </row>
    <row r="31" spans="1:7" x14ac:dyDescent="0.2">
      <c r="A31" t="s">
        <v>25</v>
      </c>
      <c r="B31">
        <v>1</v>
      </c>
    </row>
    <row r="32" spans="1:7" x14ac:dyDescent="0.2">
      <c r="A32" t="s">
        <v>26</v>
      </c>
      <c r="B32">
        <v>0</v>
      </c>
    </row>
    <row r="34" spans="1:13" x14ac:dyDescent="0.2">
      <c r="A34" s="3" t="s">
        <v>29</v>
      </c>
      <c r="G34" s="3" t="s">
        <v>35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</row>
    <row r="35" spans="1:13" x14ac:dyDescent="0.2">
      <c r="A35" t="s">
        <v>30</v>
      </c>
      <c r="B35" t="s">
        <v>33</v>
      </c>
      <c r="C35" t="s">
        <v>34</v>
      </c>
      <c r="D35" t="s">
        <v>31</v>
      </c>
      <c r="E35" t="s">
        <v>32</v>
      </c>
      <c r="G35" t="s">
        <v>36</v>
      </c>
      <c r="H35">
        <v>0.8</v>
      </c>
      <c r="I35">
        <v>1.2</v>
      </c>
      <c r="J35">
        <f>B28</f>
        <v>-667.41285515211734</v>
      </c>
      <c r="K35">
        <f>B29</f>
        <v>31896.279828023104</v>
      </c>
      <c r="L35" t="e">
        <f>C28</f>
        <v>#NUM!</v>
      </c>
      <c r="M35">
        <f>C29</f>
        <v>-0.37250829467541113</v>
      </c>
    </row>
    <row r="36" spans="1:13" x14ac:dyDescent="0.2">
      <c r="A36" t="s">
        <v>25</v>
      </c>
      <c r="B36" s="1">
        <f>D36-B19</f>
        <v>-16357.519322951242</v>
      </c>
      <c r="C36" s="1">
        <f>E36-B19</f>
        <v>16206.173360223978</v>
      </c>
      <c r="D36">
        <f>B28</f>
        <v>-667.41285515211734</v>
      </c>
      <c r="E36">
        <f>B29</f>
        <v>31896.279828023104</v>
      </c>
      <c r="G36" t="s">
        <v>43</v>
      </c>
      <c r="H36">
        <v>-0.05</v>
      </c>
      <c r="I36">
        <v>0.05</v>
      </c>
      <c r="J36">
        <f>F28</f>
        <v>11638.563127743129</v>
      </c>
      <c r="K36">
        <f>F29</f>
        <v>19741.649807855123</v>
      </c>
      <c r="L36">
        <f>G28</f>
        <v>-0.52199122068951143</v>
      </c>
      <c r="M36">
        <f>G29</f>
        <v>-0.44849200378013787</v>
      </c>
    </row>
    <row r="37" spans="1:13" x14ac:dyDescent="0.2">
      <c r="A37" t="s">
        <v>28</v>
      </c>
      <c r="B37" s="1">
        <f>D37-B19</f>
        <v>-4051.5433400559959</v>
      </c>
      <c r="C37" s="1">
        <f>E37-B19</f>
        <v>4051.5433400559978</v>
      </c>
      <c r="D37">
        <f>F28</f>
        <v>11638.563127743129</v>
      </c>
      <c r="E37">
        <f>F29</f>
        <v>19741.649807855123</v>
      </c>
    </row>
  </sheetData>
  <pageMargins left="0.7" right="0.7" top="0.75" bottom="0.75" header="0.3" footer="0.3"/>
  <ignoredErrors>
    <ignoredError sqref="C7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4F39-5E44-984E-B8C7-CCAE3B9A3DD2}">
  <dimension ref="A1:M37"/>
  <sheetViews>
    <sheetView zoomScale="75" workbookViewId="0">
      <selection activeCell="F33" sqref="F33"/>
    </sheetView>
  </sheetViews>
  <sheetFormatPr baseColWidth="10" defaultRowHeight="16" x14ac:dyDescent="0.2"/>
  <cols>
    <col min="1" max="1" width="20" customWidth="1"/>
    <col min="2" max="2" width="27.1640625" customWidth="1"/>
    <col min="3" max="3" width="19" customWidth="1"/>
    <col min="6" max="6" width="16.6640625" customWidth="1"/>
    <col min="7" max="7" width="16.83203125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G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20</v>
      </c>
    </row>
    <row r="4" spans="1:7" x14ac:dyDescent="0.2">
      <c r="A4" t="s">
        <v>0</v>
      </c>
      <c r="C4">
        <f>_xlfn.XLOOKUP($B$2,[1]Totals!$E:$E,[1]Totals!$B:$B) * $B$31 * (1+$B$32)</f>
        <v>28627.650409999998</v>
      </c>
      <c r="D4">
        <f>_xlfn.XLOOKUP($B$2,[1]Totals!$E:$E,[1]Totals!$B:$B) * $B$31 * (1+$B$32)</f>
        <v>28627.650409999998</v>
      </c>
      <c r="E4">
        <f>_xlfn.XLOOKUP($B$2,[1]Totals!$E:$E,[1]Totals!$B:$B) * $B$31 * (1+$B$32)</f>
        <v>28627.650409999998</v>
      </c>
      <c r="F4">
        <f>_xlfn.XLOOKUP($B$2,[1]Totals!$E:$E,[1]Totals!$B:$B) * $B$31 * (1+$B$32)</f>
        <v>28627.650409999998</v>
      </c>
      <c r="G4">
        <f>_xlfn.XLOOKUP($B$2,[1]Totals!$E:$E,[1]Totals!$B:$B) * $B$31 * (1+$B$32)</f>
        <v>28627.650409999998</v>
      </c>
    </row>
    <row r="5" spans="1:7" x14ac:dyDescent="0.2">
      <c r="A5" t="s">
        <v>2</v>
      </c>
      <c r="C5" cm="1">
        <f t="array" ref="C5">[2]!fixed_opex*(1+[2]!inflation)^(C1-1)</f>
        <v>39.71</v>
      </c>
      <c r="D5" cm="1">
        <f t="array" ref="D5">[2]!fixed_opex*(1+[2]!inflation)^(D1-1)</f>
        <v>41.298400000000001</v>
      </c>
      <c r="E5" cm="1">
        <f t="array" ref="E5">[2]!fixed_opex*(1+[2]!inflation)^(E1-1)</f>
        <v>42.950336000000007</v>
      </c>
      <c r="F5" cm="1">
        <f t="array" ref="F5">[2]!fixed_opex*(1+[2]!inflation)^(F1-1)</f>
        <v>44.668349440000007</v>
      </c>
      <c r="G5" cm="1">
        <f t="array" ref="G5">[2]!fixed_opex*(1+[2]!inflation)^(G1-1)</f>
        <v>46.455083417600008</v>
      </c>
    </row>
    <row r="6" spans="1:7" x14ac:dyDescent="0.2">
      <c r="A6" t="s">
        <v>3</v>
      </c>
      <c r="C6">
        <f>C4-C5</f>
        <v>28587.940409999999</v>
      </c>
      <c r="D6">
        <f t="shared" ref="D6:G6" si="1">D4-D5</f>
        <v>28586.352009999999</v>
      </c>
      <c r="E6">
        <f t="shared" si="1"/>
        <v>28584.700073999997</v>
      </c>
      <c r="F6">
        <f t="shared" si="1"/>
        <v>28582.98206056</v>
      </c>
      <c r="G6">
        <f t="shared" si="1"/>
        <v>28581.195326582398</v>
      </c>
    </row>
    <row r="7" spans="1:7" x14ac:dyDescent="0.2">
      <c r="A7" t="s">
        <v>11</v>
      </c>
      <c r="C7">
        <f>_xlfn.XLOOKUP(C1,[3]Depreciation_Schedule!$A:$A,[3]Depreciation_Schedule!$K:$K)</f>
        <v>9927.5</v>
      </c>
      <c r="D7">
        <f>_xlfn.XLOOKUP(D1,[3]Depreciation_Schedule!$A:$A,[3]Depreciation_Schedule!$K:$K)</f>
        <v>9927.5</v>
      </c>
      <c r="E7">
        <f>_xlfn.XLOOKUP(E1,[3]Depreciation_Schedule!$A:$A,[3]Depreciation_Schedule!$K:$K)</f>
        <v>9927.5</v>
      </c>
      <c r="F7">
        <f>_xlfn.XLOOKUP(F1,[3]Depreciation_Schedule!$A:$A,[3]Depreciation_Schedule!$K:$K)</f>
        <v>9927.5</v>
      </c>
      <c r="G7">
        <f>_xlfn.XLOOKUP(G1,[3]Depreciation_Schedule!$A:$A,[3]Depreciation_Schedule!$K:$K)</f>
        <v>9927.5</v>
      </c>
    </row>
    <row r="8" spans="1:7" x14ac:dyDescent="0.2">
      <c r="A8" t="s">
        <v>5</v>
      </c>
      <c r="C8">
        <f>C6-C7</f>
        <v>18660.440409999999</v>
      </c>
      <c r="D8">
        <f t="shared" ref="D8:F8" si="2">D6-D7</f>
        <v>18658.852009999999</v>
      </c>
      <c r="E8">
        <f t="shared" si="2"/>
        <v>18657.200073999997</v>
      </c>
      <c r="F8">
        <f t="shared" si="2"/>
        <v>18655.48206056</v>
      </c>
      <c r="G8">
        <f>G6-G7</f>
        <v>18653.695326582398</v>
      </c>
    </row>
    <row r="9" spans="1:7" x14ac:dyDescent="0.2">
      <c r="A9" t="s">
        <v>6</v>
      </c>
      <c r="C9">
        <f>_xlfn.XLOOKUP(C1,[3]Debt_Amortisation!$A:$A,[3]Debt_Amortisation!$C:$C)</f>
        <v>13499.5</v>
      </c>
      <c r="D9">
        <f>_xlfn.XLOOKUP(D1,[3]Debt_Amortisation!$A:$A,[3]Debt_Amortisation!$C:$C)</f>
        <v>12631.939085615906</v>
      </c>
      <c r="E9">
        <f>_xlfn.XLOOKUP(E1,[3]Debt_Amortisation!$A:$A,[3]Debt_Amortisation!$C:$C)</f>
        <v>11681.959884365322</v>
      </c>
      <c r="F9">
        <f>_xlfn.XLOOKUP(F1,[3]Debt_Amortisation!$A:$A,[3]Debt_Amortisation!$C:$C)</f>
        <v>10641.732658995934</v>
      </c>
      <c r="G9">
        <f>_xlfn.XLOOKUP(G1,[3]Debt_Amortisation!$A:$A,[3]Debt_Amortisation!$C:$C)</f>
        <v>9502.6838472164545</v>
      </c>
    </row>
    <row r="10" spans="1:7" x14ac:dyDescent="0.2">
      <c r="A10" t="s">
        <v>7</v>
      </c>
      <c r="C10">
        <f>C8-C9</f>
        <v>5160.9404099999992</v>
      </c>
      <c r="D10">
        <f t="shared" ref="D10:G10" si="3">D8-D9</f>
        <v>6026.9129243840925</v>
      </c>
      <c r="E10">
        <f t="shared" si="3"/>
        <v>6975.2401896346746</v>
      </c>
      <c r="F10">
        <f t="shared" si="3"/>
        <v>8013.7494015640659</v>
      </c>
      <c r="G10">
        <f t="shared" si="3"/>
        <v>9151.0114793659432</v>
      </c>
    </row>
    <row r="11" spans="1:7" x14ac:dyDescent="0.2">
      <c r="A11" t="s">
        <v>8</v>
      </c>
      <c r="C11">
        <f>MAX(0, C10*[2]Assumptions!$C$5)</f>
        <v>1290.2351024999998</v>
      </c>
      <c r="D11">
        <f>MAX(0, D10*[2]Assumptions!$C$5)</f>
        <v>1506.7282310960231</v>
      </c>
      <c r="E11">
        <f>MAX(0, E10*[2]Assumptions!$C$5)</f>
        <v>1743.8100474086687</v>
      </c>
      <c r="F11">
        <f>MAX(0, F10*[2]Assumptions!$C$5)</f>
        <v>2003.4373503910165</v>
      </c>
      <c r="G11">
        <f>MAX(0, G10*[2]Assumptions!$C$5)</f>
        <v>2287.7528698414858</v>
      </c>
    </row>
    <row r="12" spans="1:7" x14ac:dyDescent="0.2">
      <c r="A12" t="s">
        <v>10</v>
      </c>
      <c r="C12">
        <f>C10-C11</f>
        <v>3870.7053074999994</v>
      </c>
      <c r="D12">
        <f t="shared" ref="D12:G12" si="4">D10-D11</f>
        <v>4520.184693288069</v>
      </c>
      <c r="E12">
        <f t="shared" si="4"/>
        <v>5231.430142226006</v>
      </c>
      <c r="F12">
        <f t="shared" si="4"/>
        <v>6010.3120511730494</v>
      </c>
      <c r="G12">
        <f t="shared" si="4"/>
        <v>6863.2586095244569</v>
      </c>
    </row>
    <row r="13" spans="1:7" x14ac:dyDescent="0.2">
      <c r="A13" t="s">
        <v>4</v>
      </c>
      <c r="C13">
        <f>C7</f>
        <v>9927.5</v>
      </c>
      <c r="D13">
        <f t="shared" ref="D13:G13" si="5">D7</f>
        <v>9927.5</v>
      </c>
      <c r="E13">
        <f t="shared" si="5"/>
        <v>9927.5</v>
      </c>
      <c r="F13">
        <f t="shared" si="5"/>
        <v>9927.5</v>
      </c>
      <c r="G13">
        <f t="shared" si="5"/>
        <v>9927.5</v>
      </c>
    </row>
    <row r="14" spans="1:7" x14ac:dyDescent="0.2">
      <c r="A14" t="s">
        <v>12</v>
      </c>
      <c r="C14">
        <f>_xlfn.XLOOKUP(C1,[3]Debt_Amortisation!$A:$A,[3]Debt_Amortisation!$E:$E)</f>
        <v>9132.220151411515</v>
      </c>
      <c r="D14">
        <f>_xlfn.XLOOKUP(D1,[3]Debt_Amortisation!$A:$A,[3]Debt_Amortisation!$E:$E)</f>
        <v>9999.7810657956088</v>
      </c>
      <c r="E14">
        <f>_xlfn.XLOOKUP(E1,[3]Debt_Amortisation!$A:$A,[3]Debt_Amortisation!$E:$E)</f>
        <v>10949.760267046193</v>
      </c>
      <c r="F14">
        <f>_xlfn.XLOOKUP(F1,[3]Debt_Amortisation!$A:$A,[3]Debt_Amortisation!$E:$E)</f>
        <v>11989.987492415581</v>
      </c>
      <c r="G14">
        <f>_xlfn.XLOOKUP(G1,[3]Debt_Amortisation!$A:$A,[3]Debt_Amortisation!$E:$E)</f>
        <v>13129.03630419506</v>
      </c>
    </row>
    <row r="15" spans="1:7" x14ac:dyDescent="0.2">
      <c r="A15" t="s">
        <v>13</v>
      </c>
      <c r="B15" cm="1">
        <f t="array" ref="B15">-[2]!subtotal_capex</f>
        <v>-203000</v>
      </c>
      <c r="C15">
        <f>C12+C13-C14</f>
        <v>4665.9851560884854</v>
      </c>
      <c r="D15">
        <f t="shared" ref="D15:G15" si="6">D12+D13-D14</f>
        <v>4447.9036274924601</v>
      </c>
      <c r="E15">
        <f t="shared" si="6"/>
        <v>4209.169875179814</v>
      </c>
      <c r="F15">
        <f t="shared" si="6"/>
        <v>3947.8245587574675</v>
      </c>
      <c r="G15">
        <f t="shared" si="6"/>
        <v>3661.7223053293947</v>
      </c>
    </row>
    <row r="17" spans="1:7" x14ac:dyDescent="0.2">
      <c r="A17" t="s">
        <v>14</v>
      </c>
      <c r="B17">
        <f>B15</f>
        <v>-203000</v>
      </c>
      <c r="C17">
        <f>B17+C15</f>
        <v>-198334.01484391151</v>
      </c>
      <c r="D17">
        <f t="shared" ref="D17:G17" si="7">C17+D15</f>
        <v>-193886.11121641906</v>
      </c>
      <c r="E17">
        <f t="shared" si="7"/>
        <v>-189676.94134123923</v>
      </c>
      <c r="F17">
        <f t="shared" si="7"/>
        <v>-185729.11678248175</v>
      </c>
      <c r="G17">
        <f t="shared" si="7"/>
        <v>-182067.39447715235</v>
      </c>
    </row>
    <row r="19" spans="1:7" x14ac:dyDescent="0.2">
      <c r="A19" t="s">
        <v>15</v>
      </c>
      <c r="B19" s="1" cm="1">
        <f t="array" ref="B19">NPV([2]!discount_rate, C15:G15)</f>
        <v>16050.228476787974</v>
      </c>
    </row>
    <row r="20" spans="1:7" x14ac:dyDescent="0.2">
      <c r="A20" t="s">
        <v>16</v>
      </c>
      <c r="B20" s="2">
        <f>IRR(B15:G15)</f>
        <v>-0.47831665405728874</v>
      </c>
    </row>
    <row r="21" spans="1:7" x14ac:dyDescent="0.2">
      <c r="A21" t="s">
        <v>17</v>
      </c>
      <c r="B21">
        <f>SUM(C12:G12)/-B15</f>
        <v>0.13052162957493391</v>
      </c>
    </row>
    <row r="22" spans="1:7" x14ac:dyDescent="0.2">
      <c r="A22" t="s">
        <v>18</v>
      </c>
      <c r="B22" t="e" cm="1">
        <f t="array" ref="B22">MATCH(TRUE, C17:G17&gt;0, 0)</f>
        <v>#N/A</v>
      </c>
    </row>
    <row r="24" spans="1:7" x14ac:dyDescent="0.2">
      <c r="A24" t="s">
        <v>22</v>
      </c>
    </row>
    <row r="26" spans="1:7" x14ac:dyDescent="0.2">
      <c r="A26" t="s">
        <v>27</v>
      </c>
      <c r="B26" t="s">
        <v>23</v>
      </c>
      <c r="C26" t="s">
        <v>24</v>
      </c>
      <c r="E26" t="s">
        <v>28</v>
      </c>
      <c r="F26" t="s">
        <v>23</v>
      </c>
      <c r="G26" t="s">
        <v>24</v>
      </c>
    </row>
    <row r="27" spans="1:7" x14ac:dyDescent="0.2">
      <c r="B27" s="1">
        <f>B19</f>
        <v>16050.228476787974</v>
      </c>
      <c r="C27" s="2">
        <f>B20</f>
        <v>-0.47831665405728874</v>
      </c>
      <c r="F27" s="1">
        <f>B19</f>
        <v>16050.228476787974</v>
      </c>
      <c r="G27" s="2">
        <f>B20</f>
        <v>-0.47831665405728874</v>
      </c>
    </row>
    <row r="28" spans="1:7" x14ac:dyDescent="0.2">
      <c r="A28">
        <v>0.8</v>
      </c>
      <c r="B28">
        <f t="dataTable" ref="B28:C29" dt2D="0" dtr="0" r1="B31"/>
        <v>-356.28511977922352</v>
      </c>
      <c r="C28" t="e">
        <v>#NUM!</v>
      </c>
      <c r="E28">
        <v>-0.05</v>
      </c>
      <c r="F28">
        <f t="dataTable" ref="F28:G29" dt2D="0" dtr="0" r1="B32" ca="1"/>
        <v>11980.679036282538</v>
      </c>
      <c r="G28">
        <v>-0.51816363509291175</v>
      </c>
    </row>
    <row r="29" spans="1:7" x14ac:dyDescent="0.2">
      <c r="A29">
        <v>1.2</v>
      </c>
      <c r="B29">
        <v>32328.426238809723</v>
      </c>
      <c r="C29">
        <v>-0.3702121795810156</v>
      </c>
      <c r="E29">
        <v>0.05</v>
      </c>
      <c r="F29">
        <v>20119.77791729341</v>
      </c>
      <c r="G29">
        <v>-0.44567995058265808</v>
      </c>
    </row>
    <row r="31" spans="1:7" x14ac:dyDescent="0.2">
      <c r="A31" t="s">
        <v>25</v>
      </c>
      <c r="B31">
        <v>1</v>
      </c>
    </row>
    <row r="32" spans="1:7" x14ac:dyDescent="0.2">
      <c r="A32" t="s">
        <v>26</v>
      </c>
      <c r="B32">
        <v>0</v>
      </c>
    </row>
    <row r="34" spans="1:13" x14ac:dyDescent="0.2">
      <c r="A34" s="3" t="s">
        <v>29</v>
      </c>
      <c r="G34" s="3" t="s">
        <v>35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</row>
    <row r="35" spans="1:13" x14ac:dyDescent="0.2">
      <c r="A35" t="s">
        <v>30</v>
      </c>
      <c r="B35" t="s">
        <v>33</v>
      </c>
      <c r="C35" t="s">
        <v>34</v>
      </c>
      <c r="D35" t="s">
        <v>31</v>
      </c>
      <c r="E35" t="s">
        <v>32</v>
      </c>
      <c r="G35" t="s">
        <v>36</v>
      </c>
      <c r="H35">
        <v>0.8</v>
      </c>
      <c r="I35">
        <v>1.2</v>
      </c>
      <c r="J35">
        <f>B28</f>
        <v>-356.28511977922352</v>
      </c>
      <c r="K35">
        <f>B29</f>
        <v>32328.426238809723</v>
      </c>
      <c r="L35" t="e">
        <f>C28</f>
        <v>#NUM!</v>
      </c>
      <c r="M35">
        <f>C29</f>
        <v>-0.3702121795810156</v>
      </c>
    </row>
    <row r="36" spans="1:13" x14ac:dyDescent="0.2">
      <c r="A36" t="s">
        <v>25</v>
      </c>
      <c r="B36" s="1">
        <f>D36-B19</f>
        <v>-16406.513596567198</v>
      </c>
      <c r="C36" s="1">
        <f>E36-B19</f>
        <v>16278.197762021749</v>
      </c>
      <c r="D36">
        <f>B28</f>
        <v>-356.28511977922352</v>
      </c>
      <c r="E36">
        <f>B29</f>
        <v>32328.426238809723</v>
      </c>
      <c r="G36" t="s">
        <v>43</v>
      </c>
      <c r="H36">
        <v>-0.05</v>
      </c>
      <c r="I36">
        <v>0.05</v>
      </c>
      <c r="J36">
        <f>F28</f>
        <v>11980.679036282538</v>
      </c>
      <c r="K36">
        <f>F29</f>
        <v>20119.77791729341</v>
      </c>
      <c r="L36">
        <f>G28</f>
        <v>-0.51816363509291175</v>
      </c>
      <c r="M36">
        <f>G29</f>
        <v>-0.44567995058265808</v>
      </c>
    </row>
    <row r="37" spans="1:13" x14ac:dyDescent="0.2">
      <c r="A37" t="s">
        <v>28</v>
      </c>
      <c r="B37" s="1">
        <f>D37-B19</f>
        <v>-4069.549440505436</v>
      </c>
      <c r="C37" s="1">
        <f>E37-B19</f>
        <v>4069.549440505436</v>
      </c>
      <c r="D37">
        <f>F28</f>
        <v>11980.679036282538</v>
      </c>
      <c r="E37">
        <f>F29</f>
        <v>20119.77791729341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CA4-3E9F-D243-87CE-D7568CEC2E0C}">
  <dimension ref="A1:M37"/>
  <sheetViews>
    <sheetView tabSelected="1" topLeftCell="A19" zoomScale="67" workbookViewId="0">
      <selection activeCell="M25" sqref="M25"/>
    </sheetView>
  </sheetViews>
  <sheetFormatPr baseColWidth="10" defaultRowHeight="16" x14ac:dyDescent="0.2"/>
  <cols>
    <col min="1" max="1" width="19.5" customWidth="1"/>
    <col min="2" max="2" width="24" customWidth="1"/>
    <col min="3" max="3" width="15.1640625" bestFit="1" customWidth="1"/>
    <col min="4" max="5" width="13" bestFit="1" customWidth="1"/>
    <col min="6" max="6" width="19.33203125" customWidth="1"/>
    <col min="7" max="7" width="13" bestFit="1" customWidth="1"/>
    <col min="8" max="9" width="11" bestFit="1" customWidth="1"/>
    <col min="10" max="11" width="13" bestFit="1" customWidth="1"/>
    <col min="12" max="13" width="11" bestFit="1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G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19</v>
      </c>
    </row>
    <row r="4" spans="1:7" x14ac:dyDescent="0.2">
      <c r="A4" t="s">
        <v>0</v>
      </c>
      <c r="C4">
        <f>_xlfn.XLOOKUP($B$2,[1]Totals!$E:$E,[1]Totals!$B:$B) * $B$31 * (1+$B$32)</f>
        <v>28846.586899999998</v>
      </c>
      <c r="D4">
        <f>_xlfn.XLOOKUP($B$2,[1]Totals!$E:$E,[1]Totals!$B:$B) * $B$31 * (1+$B$32)</f>
        <v>28846.586899999998</v>
      </c>
      <c r="E4">
        <f>_xlfn.XLOOKUP($B$2,[1]Totals!$E:$E,[1]Totals!$B:$B) * $B$31 * (1+$B$32)</f>
        <v>28846.586899999998</v>
      </c>
      <c r="F4">
        <f>_xlfn.XLOOKUP($B$2,[1]Totals!$E:$E,[1]Totals!$B:$B) * $B$31 * (1+$B$32)</f>
        <v>28846.586899999998</v>
      </c>
      <c r="G4">
        <f>_xlfn.XLOOKUP($B$2,[1]Totals!$E:$E,[1]Totals!$B:$B) * $B$31 * (1+$B$32)</f>
        <v>28846.586899999998</v>
      </c>
    </row>
    <row r="5" spans="1:7" x14ac:dyDescent="0.2">
      <c r="A5" t="s">
        <v>2</v>
      </c>
      <c r="C5" cm="1">
        <f t="array" ref="C5">[2]!fixed_opex*(1+[2]!inflation)^(C1-1)</f>
        <v>39.71</v>
      </c>
      <c r="D5" cm="1">
        <f t="array" ref="D5">[2]!fixed_opex*(1+[2]!inflation)^(D1-1)</f>
        <v>41.298400000000001</v>
      </c>
      <c r="E5" cm="1">
        <f t="array" ref="E5">[2]!fixed_opex*(1+[2]!inflation)^(E1-1)</f>
        <v>42.950336000000007</v>
      </c>
      <c r="F5" cm="1">
        <f t="array" ref="F5">[2]!fixed_opex*(1+[2]!inflation)^(F1-1)</f>
        <v>44.668349440000007</v>
      </c>
      <c r="G5" cm="1">
        <f t="array" ref="G5">[2]!fixed_opex*(1+[2]!inflation)^(G1-1)</f>
        <v>46.455083417600008</v>
      </c>
    </row>
    <row r="6" spans="1:7" x14ac:dyDescent="0.2">
      <c r="A6" t="s">
        <v>3</v>
      </c>
      <c r="C6">
        <f>C4-C5</f>
        <v>28806.876899999999</v>
      </c>
      <c r="D6">
        <f t="shared" ref="D6:G6" si="1">D4-D5</f>
        <v>28805.288499999999</v>
      </c>
      <c r="E6">
        <f t="shared" si="1"/>
        <v>28803.636563999997</v>
      </c>
      <c r="F6">
        <f t="shared" si="1"/>
        <v>28801.91855056</v>
      </c>
      <c r="G6">
        <f t="shared" si="1"/>
        <v>28800.131816582398</v>
      </c>
    </row>
    <row r="7" spans="1:7" x14ac:dyDescent="0.2">
      <c r="A7" t="s">
        <v>11</v>
      </c>
      <c r="C7">
        <f>_xlfn.XLOOKUP(C1,[3]Depreciation_Schedule!$A:$A,[3]Depreciation_Schedule!$K:$K)</f>
        <v>9927.5</v>
      </c>
      <c r="D7">
        <f>_xlfn.XLOOKUP(D1,[3]Depreciation_Schedule!$A:$A,[3]Depreciation_Schedule!$K:$K)</f>
        <v>9927.5</v>
      </c>
      <c r="E7">
        <f>_xlfn.XLOOKUP(E1,[3]Depreciation_Schedule!$A:$A,[3]Depreciation_Schedule!$K:$K)</f>
        <v>9927.5</v>
      </c>
      <c r="F7">
        <f>_xlfn.XLOOKUP(F1,[3]Depreciation_Schedule!$A:$A,[3]Depreciation_Schedule!$K:$K)</f>
        <v>9927.5</v>
      </c>
      <c r="G7">
        <f>_xlfn.XLOOKUP(G1,[3]Depreciation_Schedule!$A:$A,[3]Depreciation_Schedule!$K:$K)</f>
        <v>9927.5</v>
      </c>
    </row>
    <row r="8" spans="1:7" x14ac:dyDescent="0.2">
      <c r="A8" t="s">
        <v>5</v>
      </c>
      <c r="C8">
        <f>C6-C7</f>
        <v>18879.376899999999</v>
      </c>
      <c r="D8">
        <f t="shared" ref="D8:F8" si="2">D6-D7</f>
        <v>18877.788499999999</v>
      </c>
      <c r="E8">
        <f t="shared" si="2"/>
        <v>18876.136563999997</v>
      </c>
      <c r="F8">
        <f t="shared" si="2"/>
        <v>18874.41855056</v>
      </c>
      <c r="G8">
        <f>G6-G7</f>
        <v>18872.631816582398</v>
      </c>
    </row>
    <row r="9" spans="1:7" x14ac:dyDescent="0.2">
      <c r="A9" t="s">
        <v>6</v>
      </c>
      <c r="C9">
        <f>_xlfn.XLOOKUP(C1,[3]Debt_Amortisation!$A:$A,[3]Debt_Amortisation!$C:$C)</f>
        <v>13499.5</v>
      </c>
      <c r="D9">
        <f>_xlfn.XLOOKUP(D1,[3]Debt_Amortisation!$A:$A,[3]Debt_Amortisation!$C:$C)</f>
        <v>12631.939085615906</v>
      </c>
      <c r="E9">
        <f>_xlfn.XLOOKUP(E1,[3]Debt_Amortisation!$A:$A,[3]Debt_Amortisation!$C:$C)</f>
        <v>11681.959884365322</v>
      </c>
      <c r="F9">
        <f>_xlfn.XLOOKUP(F1,[3]Debt_Amortisation!$A:$A,[3]Debt_Amortisation!$C:$C)</f>
        <v>10641.732658995934</v>
      </c>
      <c r="G9">
        <f>_xlfn.XLOOKUP(G1,[3]Debt_Amortisation!$A:$A,[3]Debt_Amortisation!$C:$C)</f>
        <v>9502.6838472164545</v>
      </c>
    </row>
    <row r="10" spans="1:7" x14ac:dyDescent="0.2">
      <c r="A10" t="s">
        <v>7</v>
      </c>
      <c r="C10">
        <f>C8-C9</f>
        <v>5379.8768999999993</v>
      </c>
      <c r="D10">
        <f t="shared" ref="D10:G10" si="3">D8-D9</f>
        <v>6245.8494143840926</v>
      </c>
      <c r="E10">
        <f t="shared" si="3"/>
        <v>7194.1766796346747</v>
      </c>
      <c r="F10">
        <f t="shared" si="3"/>
        <v>8232.685891564066</v>
      </c>
      <c r="G10">
        <f t="shared" si="3"/>
        <v>9369.9479693659432</v>
      </c>
    </row>
    <row r="11" spans="1:7" x14ac:dyDescent="0.2">
      <c r="A11" t="s">
        <v>8</v>
      </c>
      <c r="C11">
        <f>MAX(0, C10*[2]Assumptions!$C$5)</f>
        <v>1344.9692249999998</v>
      </c>
      <c r="D11">
        <f>MAX(0, D10*[2]Assumptions!$C$5)</f>
        <v>1561.4623535960231</v>
      </c>
      <c r="E11">
        <f>MAX(0, E10*[2]Assumptions!$C$5)</f>
        <v>1798.5441699086687</v>
      </c>
      <c r="F11">
        <f>MAX(0, F10*[2]Assumptions!$C$5)</f>
        <v>2058.1714728910165</v>
      </c>
      <c r="G11">
        <f>MAX(0, G10*[2]Assumptions!$C$5)</f>
        <v>2342.4869923414858</v>
      </c>
    </row>
    <row r="12" spans="1:7" x14ac:dyDescent="0.2">
      <c r="A12" t="s">
        <v>10</v>
      </c>
      <c r="C12">
        <f>C10-C11</f>
        <v>4034.9076749999995</v>
      </c>
      <c r="D12">
        <f t="shared" ref="D12:G12" si="4">D10-D11</f>
        <v>4684.387060788069</v>
      </c>
      <c r="E12">
        <f t="shared" si="4"/>
        <v>5395.632509726006</v>
      </c>
      <c r="F12">
        <f t="shared" si="4"/>
        <v>6174.5144186730495</v>
      </c>
      <c r="G12">
        <f t="shared" si="4"/>
        <v>7027.460977024457</v>
      </c>
    </row>
    <row r="13" spans="1:7" x14ac:dyDescent="0.2">
      <c r="A13" t="s">
        <v>4</v>
      </c>
      <c r="C13">
        <f>C7</f>
        <v>9927.5</v>
      </c>
      <c r="D13">
        <f t="shared" ref="D13:G13" si="5">D7</f>
        <v>9927.5</v>
      </c>
      <c r="E13">
        <f t="shared" si="5"/>
        <v>9927.5</v>
      </c>
      <c r="F13">
        <f t="shared" si="5"/>
        <v>9927.5</v>
      </c>
      <c r="G13">
        <f t="shared" si="5"/>
        <v>9927.5</v>
      </c>
    </row>
    <row r="14" spans="1:7" x14ac:dyDescent="0.2">
      <c r="A14" t="s">
        <v>12</v>
      </c>
      <c r="C14">
        <f>_xlfn.XLOOKUP(C1,[3]Debt_Amortisation!$A:$A,[3]Debt_Amortisation!$E:$E)</f>
        <v>9132.220151411515</v>
      </c>
      <c r="D14">
        <f>_xlfn.XLOOKUP(D1,[3]Debt_Amortisation!$A:$A,[3]Debt_Amortisation!$E:$E)</f>
        <v>9999.7810657956088</v>
      </c>
      <c r="E14">
        <f>_xlfn.XLOOKUP(E1,[3]Debt_Amortisation!$A:$A,[3]Debt_Amortisation!$E:$E)</f>
        <v>10949.760267046193</v>
      </c>
      <c r="F14">
        <f>_xlfn.XLOOKUP(F1,[3]Debt_Amortisation!$A:$A,[3]Debt_Amortisation!$E:$E)</f>
        <v>11989.987492415581</v>
      </c>
      <c r="G14">
        <f>_xlfn.XLOOKUP(G1,[3]Debt_Amortisation!$A:$A,[3]Debt_Amortisation!$E:$E)</f>
        <v>13129.03630419506</v>
      </c>
    </row>
    <row r="15" spans="1:7" x14ac:dyDescent="0.2">
      <c r="A15" t="s">
        <v>13</v>
      </c>
      <c r="B15" cm="1">
        <f t="array" ref="B15">-[2]!subtotal_capex</f>
        <v>-203000</v>
      </c>
      <c r="C15">
        <f>C12+C13-C14</f>
        <v>4830.1875235884836</v>
      </c>
      <c r="D15">
        <f t="shared" ref="D15:G15" si="6">D12+D13-D14</f>
        <v>4612.1059949924602</v>
      </c>
      <c r="E15">
        <f t="shared" si="6"/>
        <v>4373.3722426798122</v>
      </c>
      <c r="F15">
        <f t="shared" si="6"/>
        <v>4112.0269262574693</v>
      </c>
      <c r="G15">
        <f t="shared" si="6"/>
        <v>3825.9246728293965</v>
      </c>
    </row>
    <row r="17" spans="1:7" x14ac:dyDescent="0.2">
      <c r="A17" t="s">
        <v>14</v>
      </c>
      <c r="B17">
        <f>B15</f>
        <v>-203000</v>
      </c>
      <c r="C17">
        <f>B17+C15</f>
        <v>-198169.81247641152</v>
      </c>
      <c r="D17">
        <f t="shared" ref="D17:G17" si="7">C17+D15</f>
        <v>-193557.70648141907</v>
      </c>
      <c r="E17">
        <f t="shared" si="7"/>
        <v>-189184.33423873925</v>
      </c>
      <c r="F17">
        <f t="shared" si="7"/>
        <v>-185072.30731248177</v>
      </c>
      <c r="G17">
        <f t="shared" si="7"/>
        <v>-181246.38263965238</v>
      </c>
    </row>
    <row r="19" spans="1:7" x14ac:dyDescent="0.2">
      <c r="A19" t="s">
        <v>15</v>
      </c>
      <c r="B19" s="1" cm="1">
        <f t="array" ref="B19">NPV([2]!discount_rate, C15:G15)</f>
        <v>16672.684639012514</v>
      </c>
    </row>
    <row r="20" spans="1:7" x14ac:dyDescent="0.2">
      <c r="A20" t="s">
        <v>16</v>
      </c>
      <c r="B20" s="2">
        <f>IRR(B15:G15)</f>
        <v>-0.47294629963571699</v>
      </c>
    </row>
    <row r="21" spans="1:7" x14ac:dyDescent="0.2">
      <c r="A21" t="s">
        <v>17</v>
      </c>
      <c r="B21">
        <f>SUM(C12:G12)/-B15</f>
        <v>0.13456602286311123</v>
      </c>
    </row>
    <row r="22" spans="1:7" x14ac:dyDescent="0.2">
      <c r="A22" t="s">
        <v>18</v>
      </c>
      <c r="B22" t="e" cm="1">
        <f t="array" ref="B22">MATCH(TRUE, C17:G17&gt;0, 0)</f>
        <v>#N/A</v>
      </c>
    </row>
    <row r="24" spans="1:7" x14ac:dyDescent="0.2">
      <c r="A24" t="s">
        <v>22</v>
      </c>
    </row>
    <row r="26" spans="1:7" x14ac:dyDescent="0.2">
      <c r="A26" t="s">
        <v>27</v>
      </c>
      <c r="B26" t="s">
        <v>23</v>
      </c>
      <c r="C26" t="s">
        <v>24</v>
      </c>
      <c r="E26" t="s">
        <v>28</v>
      </c>
      <c r="F26" t="s">
        <v>23</v>
      </c>
      <c r="G26" t="s">
        <v>24</v>
      </c>
    </row>
    <row r="27" spans="1:7" x14ac:dyDescent="0.2">
      <c r="B27" s="1">
        <f>B19</f>
        <v>16672.684639012514</v>
      </c>
      <c r="C27" s="2">
        <f>B20</f>
        <v>-0.47294629963571699</v>
      </c>
      <c r="F27" s="1">
        <f>B19</f>
        <v>16672.684639012514</v>
      </c>
      <c r="G27" s="2">
        <f>B20</f>
        <v>-0.47294629963571699</v>
      </c>
    </row>
    <row r="28" spans="1:7" x14ac:dyDescent="0.2">
      <c r="A28">
        <v>0.8</v>
      </c>
      <c r="B28">
        <f t="dataTable" ref="B28:C29" dt2D="0" dtr="0" r1="B31"/>
        <v>181.48644454586955</v>
      </c>
      <c r="C28" t="e">
        <v>#NUM!</v>
      </c>
      <c r="E28">
        <v>-0.05</v>
      </c>
      <c r="F28">
        <f t="dataTable" ref="F28:G29" dt2D="0" dtr="0" r1="B32" ca="1"/>
        <v>12572.012390395847</v>
      </c>
      <c r="G28">
        <v>-0.51175539540157322</v>
      </c>
    </row>
    <row r="29" spans="1:7" x14ac:dyDescent="0.2">
      <c r="A29">
        <v>1.2</v>
      </c>
      <c r="B29">
        <v>33075.373633479168</v>
      </c>
      <c r="C29">
        <v>-0.36629164762534538</v>
      </c>
      <c r="E29">
        <v>0.05</v>
      </c>
      <c r="F29">
        <v>20773.356887629187</v>
      </c>
      <c r="G29">
        <v>-0.44090975402148791</v>
      </c>
    </row>
    <row r="31" spans="1:7" x14ac:dyDescent="0.2">
      <c r="A31" t="s">
        <v>25</v>
      </c>
      <c r="B31">
        <v>1</v>
      </c>
    </row>
    <row r="32" spans="1:7" x14ac:dyDescent="0.2">
      <c r="A32" t="s">
        <v>26</v>
      </c>
      <c r="B32">
        <v>0</v>
      </c>
    </row>
    <row r="34" spans="1:13" x14ac:dyDescent="0.2">
      <c r="A34" s="3" t="s">
        <v>29</v>
      </c>
      <c r="G34" s="3" t="s">
        <v>35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</row>
    <row r="35" spans="1:13" x14ac:dyDescent="0.2">
      <c r="A35" t="s">
        <v>30</v>
      </c>
      <c r="B35" t="s">
        <v>33</v>
      </c>
      <c r="C35" t="s">
        <v>34</v>
      </c>
      <c r="D35" t="s">
        <v>31</v>
      </c>
      <c r="E35" t="s">
        <v>32</v>
      </c>
      <c r="G35" t="s">
        <v>36</v>
      </c>
      <c r="H35">
        <v>0.8</v>
      </c>
      <c r="I35">
        <v>1.2</v>
      </c>
      <c r="J35">
        <f>B28</f>
        <v>181.48644454586955</v>
      </c>
      <c r="K35">
        <f>B29</f>
        <v>33075.373633479168</v>
      </c>
      <c r="L35" t="e">
        <f>C28</f>
        <v>#NUM!</v>
      </c>
      <c r="M35">
        <f>C29</f>
        <v>-0.36629164762534538</v>
      </c>
    </row>
    <row r="36" spans="1:13" x14ac:dyDescent="0.2">
      <c r="A36" t="s">
        <v>25</v>
      </c>
      <c r="B36" s="1">
        <f>D36-B19</f>
        <v>-16491.198194466644</v>
      </c>
      <c r="C36" s="1">
        <f>E36-B19</f>
        <v>16402.688994466655</v>
      </c>
      <c r="D36">
        <f>B28</f>
        <v>181.48644454586955</v>
      </c>
      <c r="E36">
        <f>B29</f>
        <v>33075.373633479168</v>
      </c>
      <c r="G36" t="s">
        <v>43</v>
      </c>
      <c r="H36">
        <v>-0.05</v>
      </c>
      <c r="I36">
        <v>0.05</v>
      </c>
      <c r="J36">
        <f>F28</f>
        <v>12572.012390395847</v>
      </c>
      <c r="K36">
        <f>F29</f>
        <v>20773.356887629187</v>
      </c>
      <c r="L36">
        <f>G28</f>
        <v>-0.51175539540157322</v>
      </c>
      <c r="M36">
        <f>G29</f>
        <v>-0.44090975402148791</v>
      </c>
    </row>
    <row r="37" spans="1:13" x14ac:dyDescent="0.2">
      <c r="A37" t="s">
        <v>28</v>
      </c>
      <c r="B37" s="1">
        <f>D37-B19</f>
        <v>-4100.6722486166673</v>
      </c>
      <c r="C37" s="1">
        <f>E37-B19</f>
        <v>4100.6722486166727</v>
      </c>
      <c r="D37">
        <f>F28</f>
        <v>12572.012390395847</v>
      </c>
      <c r="E37">
        <f>F29</f>
        <v>20773.356887629187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CF_Conservative</vt:lpstr>
      <vt:lpstr>CF_Moderate</vt:lpstr>
      <vt:lpstr>CF_Aggressive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2025-05-29T02:19:48Z</dcterms:created>
  <dcterms:modified xsi:type="dcterms:W3CDTF">2025-05-29T21:16:36Z</dcterms:modified>
</cp:coreProperties>
</file>